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820174f59487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ca06cd0755584122"/>
    <sheet name="PEGAR" sheetId="2" r:id="R2148daf342284fc5"/>
    <sheet name="CONTROLES" sheetId="3" r:id="R735b9c20fe284567"/>
    <sheet name="LÉEME" sheetId="4" r:id="R96574ad34f9447f9"/>
  </sheets>
  <definedNames>
    <definedName name="_xlnm.Print_Area" localSheetId="0">OFFSET('RESUMEN'!$B$2,0,0,MAX(22,'RESUMEN'!$E$8+12)-1,6)</definedName>
    <definedName name="_xlnm.Print_Area" localSheetId="1">'PEGAR'!$B$2:$N$512</definedName>
    <definedName name="_xlnm.Print_Area" localSheetId="2">OFFSET('CONTROLES'!$B$2,0,0,MAX(17,COUNT('CONTROLES'!$B$13:$B$512)+12)-1,9),'CONTROLES'!$B$520:$J$536</definedName>
    <definedName name="_xlnm.Print_Area" localSheetId="3">'LÉEME'!$B$2:$H$90</definedName>
  </definedNames>
  <calcPr calcMode="auto" fullCalcOnLoad="1" forceFullCalc="1" calcCompleted="0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#,##0.000000;[Red]-#,##0.000000;0.000000"/>
    <numFmt numFmtId="201" formatCode="0.00"/>
  </numFmts>
  <fonts count="9">
    <font>
      <sz val="11"/>
      <name val="Carlito"/>
    </font>
    <font>
      <sz val="11"/>
      <color rgb="FF0B1F3A"/>
      <name val="Arial"/>
    </font>
    <font>
      <b/>
      <sz val="17"/>
      <color rgb="FF0B1F3A"/>
      <name val="Arial"/>
    </font>
    <font>
      <b/>
      <sz val="10"/>
      <color rgb="FFFFFFFF"/>
      <name val="Arial"/>
    </font>
    <font>
      <sz val="10"/>
      <color rgb="FF0B1F3A"/>
      <name val="Arial"/>
    </font>
    <font>
      <b/>
      <sz val="11"/>
      <color rgb="FF0B1F3A"/>
      <name val="Arial"/>
    </font>
    <font>
      <sz val="11"/>
      <color rgb="FFE87524"/>
      <name val="Arial"/>
    </font>
    <font>
      <b/>
      <sz val="10"/>
      <color rgb="FF0B1F3A"/>
      <name val="Arial"/>
    </font>
    <font>
      <sz val="10"/>
      <color rgb="FF52617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1F3A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87524"/>
      </bottom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1" hidden="0"/>
    </xf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200" fontId="1" fillId="4" borderId="0" xfId="0" applyNumberFormat="1" applyFont="1" applyFill="1" applyBorder="1" applyAlignment="1">
      <alignment vertical="center"/>
    </xf>
    <xf numFmtId="200" fontId="1" fillId="2" borderId="0" xfId="0" applyNumberFormat="1" applyFont="1" applyFill="1" applyBorder="1" applyAlignment="1">
      <alignment vertical="center"/>
    </xf>
    <xf numFmtId="201" fontId="1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 wrapText="1"/>
    </xf>
    <xf numFmtId="0" fontId="4" fillId="4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 applyProtection="1">
      <alignment vertical="center"/>
      <protection locked="1" hidden="0"/>
    </xf>
    <xf numFmtId="0" fontId="2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2" borderId="1" xfId="0" applyNumberFormat="1" applyFont="1" applyFill="1" applyBorder="1" applyAlignment="1" applyProtection="1">
      <alignment vertical="center"/>
      <protection locked="1" hidden="0"/>
    </xf>
    <xf numFmtId="0" fontId="1" fillId="2" borderId="0" xfId="0" applyNumberFormat="1" applyFont="1" applyFill="1" applyBorder="1" applyAlignment="1" applyProtection="1">
      <alignment vertical="center" wrapText="1"/>
      <protection locked="1" hidden="0"/>
    </xf>
    <xf numFmtId="0" fontId="7" fillId="2" borderId="0" xfId="0" applyNumberFormat="1" applyFont="1" applyFill="1" applyBorder="1" applyAlignment="1" applyProtection="1">
      <alignment vertical="center" wrapText="1"/>
      <protection locked="1" hidden="0"/>
    </xf>
    <xf numFmtId="0" fontId="4" fillId="4" borderId="0" xfId="0" applyNumberFormat="1" applyFont="1" applyFill="1" applyBorder="1" applyAlignment="1" applyProtection="1">
      <alignment vertical="center" wrapText="1"/>
      <protection locked="0" hidden="0"/>
    </xf>
    <xf numFmtId="0" fontId="4" fillId="2" borderId="0" xfId="0" applyNumberFormat="1" applyFont="1" applyFill="1" applyBorder="1" applyAlignment="1" applyProtection="1">
      <alignment vertical="center" wrapText="1"/>
      <protection locked="1" hidden="0"/>
    </xf>
    <xf numFmtId="0" fontId="3" fillId="3" borderId="0" xfId="0" applyNumberFormat="1" applyFont="1" applyFill="1" applyBorder="1" applyAlignment="1" applyProtection="1">
      <alignment horizontal="center" vertical="center" wrapText="1"/>
      <protection locked="1" hidden="0"/>
    </xf>
    <xf numFmtId="0" fontId="1" fillId="4" borderId="0" xfId="0" applyNumberFormat="1" applyFont="1" applyFill="1" applyBorder="1" applyAlignment="1" applyProtection="1">
      <alignment vertical="center"/>
      <protection locked="0" hidden="0"/>
    </xf>
    <xf numFmtId="0" fontId="5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4" borderId="0" xfId="0" applyNumberFormat="1" applyFont="1" applyFill="1" applyBorder="1" applyAlignment="1" applyProtection="1">
      <alignment vertical="center" wrapText="1"/>
      <protection locked="0" hidden="0"/>
    </xf>
    <xf numFmtId="200" fontId="1" fillId="4" borderId="0" xfId="0" applyNumberFormat="1" applyFont="1" applyFill="1" applyBorder="1" applyAlignment="1" applyProtection="1">
      <alignment vertical="center"/>
      <protection locked="0" hidden="0"/>
    </xf>
    <xf numFmtId="200" fontId="1" fillId="2" borderId="0" xfId="0" applyNumberFormat="1" applyFont="1" applyFill="1" applyBorder="1" applyAlignment="1" applyProtection="1">
      <alignment vertical="center"/>
      <protection locked="1" hidden="0"/>
    </xf>
    <xf numFmtId="201" fontId="1" fillId="2" borderId="0" xfId="0" applyNumberFormat="1" applyFont="1" applyFill="1" applyBorder="1" applyAlignment="1" applyProtection="1">
      <alignment vertical="center"/>
      <protection locked="1" hidden="0"/>
    </xf>
    <xf numFmtId="0" fontId="6" fillId="2" borderId="0" xfId="0" applyNumberFormat="1" applyFont="1" applyFill="1" applyBorder="1" applyAlignment="1" applyProtection="1">
      <alignment vertical="center"/>
      <protection locked="1" hidden="0"/>
    </xf>
    <xf numFmtId="0" fontId="8" fillId="2" borderId="0" xfId="0" applyNumberFormat="1" applyFont="1" applyFill="1" applyBorder="1" applyAlignment="1" applyProtection="1">
      <alignment vertical="center" wrapText="1"/>
      <protection locked="1" hidden="0"/>
    </xf>
  </cellXfs>
  <cellStyles count="1">
    <cellStyle name="Normal" xfId="0"/>
  </cellStyles>
  <dxfs count="8"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795200"/>
      </font>
      <fill>
        <patternFill patternType="solid">
          <bgColor rgb="FFFFF0D1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6906ec4924be2" /><Relationship Type="http://schemas.openxmlformats.org/officeDocument/2006/relationships/theme" Target="/xl/theme/theme1.xml" Id="Rec89e750ccc340ff" /><Relationship Type="http://schemas.openxmlformats.org/officeDocument/2006/relationships/sharedStrings" Target="/xl/sharedStrings.xml" Id="Rec996a3dfae94642" /><Relationship Type="http://schemas.openxmlformats.org/officeDocument/2006/relationships/worksheet" Target="/xl/worksheets/sheet1.xml" Id="Rca06cd0755584122" /><Relationship Type="http://schemas.openxmlformats.org/officeDocument/2006/relationships/worksheet" Target="/xl/worksheets/sheet2.xml" Id="R2148daf342284fc5" /><Relationship Type="http://schemas.openxmlformats.org/officeDocument/2006/relationships/worksheet" Target="/xl/worksheets/sheet3.xml" Id="R735b9c20fe284567" /><Relationship Type="http://schemas.openxmlformats.org/officeDocument/2006/relationships/worksheet" Target="/xl/worksheets/sheet4.xml" Id="R96574ad34f9447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96b5e80e8934de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4118d2b0bd664a7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8044ff996e7849e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947fabcb8a1a481a" /></Relationships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1</xdr:row>
      <xdr:rowOff>0</xdr:rowOff>
    </xdr:from>
    <xdr:ext cx="428625" cy="428625"/>
    <xdr:pic>
      <xdr:nvPicPr>
        <xdr:cNvPr id="1" name="8cfecae6-d929-403f-b5ef-c83edb465d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6b5e80e8934d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13</xdr:col>
      <xdr:colOff>0</xdr:colOff>
      <xdr:row>1</xdr:row>
      <xdr:rowOff>0</xdr:rowOff>
    </xdr:from>
    <xdr:ext cx="428625" cy="428625"/>
    <xdr:pic>
      <xdr:nvPicPr>
        <xdr:cNvPr id="1" name="fbb05315-1dfa-4589-a3bb-d6bcd66233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118d2b0bd664a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9</xdr:col>
      <xdr:colOff>0</xdr:colOff>
      <xdr:row>1</xdr:row>
      <xdr:rowOff>0</xdr:rowOff>
    </xdr:from>
    <xdr:ext cx="428625" cy="428625"/>
    <xdr:pic>
      <xdr:nvPicPr>
        <xdr:cNvPr id="1" name="b5c8cb9d-3c48-4f9f-a8a1-4da8c6a2b6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44ff996e7849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28625" cy="428625"/>
    <xdr:pic>
      <xdr:nvPicPr>
        <xdr:cNvPr id="1" name="c87e2f46-eb42-4ac0-8b2e-71071d63006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7fabcb8a1a48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fe8061a7b5d4b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d071ad0c51c486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1da7cff961a74fb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b6d4ba98379043ab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1F3A"/>
    <pageSetUpPr fitToPage="1"/>
  </sheetPr>
  <sheetViews>
    <sheetView showGridLines="0" workbookViewId="0" zoomScale="80">
      <pane ySplit="12" topLeftCell="A13" activePane="bottomLeft" state="frozen"/>
    </sheetView>
  </sheetViews>
  <sheetFormatPr defaultRowHeight="15"/>
  <cols>
    <col min="1" max="1" width="3" hidden="0" customWidth="1"/>
    <col min="2" max="2" width="14" hidden="0" customWidth="1"/>
    <col min="3" max="3" width="24" hidden="0" customWidth="1"/>
    <col min="4" max="4" width="16" hidden="0" customWidth="1"/>
    <col min="5" max="5" width="45" hidden="0" customWidth="1"/>
    <col min="6" max="6" width="88" hidden="0" customWidth="1"/>
    <col min="7" max="7" width="13" hidden="0" customWidth="1"/>
  </cols>
  <sheetData>
    <row r="1" ht="22" customHeight="1">
      <c r="B1" s="27"/>
      <c r="C1" s="27"/>
      <c r="D1" s="27"/>
      <c r="E1" s="27"/>
      <c r="F1" s="27"/>
      <c r="G1" s="27"/>
    </row>
    <row r="2" ht="24" customHeight="1">
      <c r="B2" s="28" t="str">
        <v>Avisos para revisar las mediciones</v>
      </c>
      <c r="C2" s="28"/>
      <c r="D2" s="28"/>
      <c r="E2" s="28"/>
      <c r="F2" s="28"/>
      <c r="G2" s="27"/>
    </row>
    <row r="3" ht="24" customHeight="1">
      <c r="B3" s="28"/>
      <c r="C3" s="28"/>
      <c r="D3" s="28"/>
      <c r="E3" s="28"/>
      <c r="F3" s="28"/>
      <c r="G3" s="27"/>
    </row>
    <row r="4" ht="22" customHeight="1">
      <c r="B4" s="29"/>
      <c r="C4" s="29"/>
      <c r="D4" s="29"/>
      <c r="E4" s="29"/>
      <c r="F4" s="29"/>
      <c r="G4" s="29"/>
    </row>
    <row r="5" ht="22" customHeight="1">
      <c r="B5" s="27"/>
      <c r="C5" s="27"/>
      <c r="D5" s="27"/>
      <c r="E5" s="27"/>
      <c r="F5" s="27"/>
      <c r="G5" s="27"/>
    </row>
    <row r="6" ht="25" customHeight="1">
      <c r="B6" s="30" t="str">
        <v>Partidas identificadas</v>
      </c>
      <c r="C6" s="30"/>
      <c r="D6" s="30"/>
      <c r="E6" s="27" t="n">
        <f>COUNTIFS('PEGAR'!$V$13:$V$512,1)</f>
        <v>4</v>
      </c>
      <c r="F6" s="27"/>
      <c r="G6" s="27"/>
    </row>
    <row r="7" ht="40" customHeight="1">
      <c r="B7" s="31" t="str">
        <v>Nota de alcance · manual</v>
      </c>
      <c r="C7" s="31"/>
      <c r="D7" s="32" t="str">
        <v>Ejemplo: cotejamos si el encachado separado mide la misma zona que el ya incluido en la solera.</v>
      </c>
      <c r="E7" s="32"/>
      <c r="F7" s="32"/>
      <c r="G7" s="32"/>
    </row>
    <row r="8" ht="25" customHeight="1">
      <c r="B8" s="30" t="str">
        <v>Avisos numéricos para enviar</v>
      </c>
      <c r="C8" s="30"/>
      <c r="D8" s="30"/>
      <c r="E8" s="27" t="n">
        <f>COUNTIFS('CONTROLES'!$AG$13:$AG$1012,"&gt;0")</f>
        <v>3</v>
      </c>
      <c r="F8" s="30" t="str">
        <f>IF(COUNTA('PEGAR'!B13:L512)=0,"Sin datos que revisar",IF(E8=0,"Sin avisos numéricos; revisamos el alcance aparte","Revisamos las filas indicadas antes de cerrar"))</f>
        <v>Revisamos las filas indicadas antes de cerrar</v>
      </c>
      <c r="G8" s="30"/>
    </row>
    <row r="9" ht="22" customHeight="1">
      <c r="B9" s="27"/>
      <c r="C9" s="27"/>
      <c r="D9" s="27"/>
      <c r="E9" s="27"/>
      <c r="F9" s="27"/>
      <c r="G9" s="27"/>
    </row>
    <row r="10" ht="30" customHeight="1">
      <c r="B10" s="33" t="str">
        <v>Empezamos en PEGAR. Podemos copiar esta lista al técnico: contiene solo avisos, no modifica sus mediciones ni aprueba el alcance.</v>
      </c>
      <c r="C10" s="33"/>
      <c r="D10" s="33"/>
      <c r="E10" s="33"/>
      <c r="F10" s="33"/>
      <c r="G10" s="33"/>
    </row>
    <row r="11" ht="22" customHeight="1">
      <c r="B11" s="27"/>
      <c r="C11" s="27"/>
      <c r="D11" s="27"/>
      <c r="E11" s="27"/>
      <c r="F11" s="27"/>
      <c r="G11" s="27"/>
    </row>
    <row r="12" ht="40" customHeight="1">
      <c r="B12" s="34" t="str">
        <v>ID / fila</v>
      </c>
      <c r="C12" s="34" t="str">
        <v>Capítulo</v>
      </c>
      <c r="D12" s="34" t="str">
        <v>Código</v>
      </c>
      <c r="E12" s="34" t="str">
        <v>Descripción</v>
      </c>
      <c r="F12" s="34" t="str">
        <v>Qué pedimos comprobar</v>
      </c>
      <c r="G12" s="34" t="str">
        <v>Semáforo</v>
      </c>
    </row>
    <row r="13" ht="30" hidden="0" customHeight="1">
      <c r="B13" s="30" t="str">
        <f>IF(1&gt;$E$8,"",INDEX('CONTROLES'!$AB$13:$AB$1012,MATCH(1,'CONTROLES'!$AH$13:$AH$1012,0)))</f>
        <v>ID 1</v>
      </c>
      <c r="C13" s="30" t="str">
        <f>IF(1&gt;$E$8,"",INDEX('CONTROLES'!$AC$13:$AC$1012,MATCH(1,'CONTROLES'!$AH$13:$AH$1012,0)))</f>
        <v>Ejemplo · Estructura</v>
      </c>
      <c r="D13" s="30" t="str">
        <f>IF(1&gt;$E$8,"",INDEX('CONTROLES'!$AD$13:$AD$1012,MATCH(1,'CONTROLES'!$AH$13:$AH$1012,0)))</f>
        <v>MUR-01</v>
      </c>
      <c r="E13" s="30" t="str">
        <f>IF(1&gt;$E$8,"",INDEX('CONTROLES'!$AE$13:$AE$1012,MATCH(1,'CONTROLES'!$AH$13:$AH$1012,0)))</f>
        <v>Ejemplo aproximado · muro con unidad a comprobar</v>
      </c>
      <c r="F13" s="30" t="str">
        <f>IF(1&gt;$E$8,"",INDEX('CONTROLES'!$AF$13:$AF$1012,MATCH(1,'CONTROLES'!$AH$13:$AH$1012,0)))</f>
        <v>Parece m³: encontramos tres dimensiones bajo m².
</v>
      </c>
      <c r="G13" s="30" t="str">
        <f>IF(1&gt;$E$8,"",IF(INDEX('CONTROLES'!$AG$13:$AG$1012,MATCH(1,'CONTROLES'!$AH$13:$AH$1012,0))=2,"ROJO","ÁMBAR"))</f>
        <v>ÁMBAR</v>
      </c>
    </row>
    <row r="14" ht="30" hidden="0" customHeight="1">
      <c r="B14" s="30" t="str">
        <f>IF(2&gt;$E$8,"",INDEX('CONTROLES'!$AB$13:$AB$1012,MATCH(2,'CONTROLES'!$AH$13:$AH$1012,0)))</f>
        <v>ID 3</v>
      </c>
      <c r="C14" s="30" t="str">
        <f>IF(2&gt;$E$8,"",INDEX('CONTROLES'!$AC$13:$AC$1012,MATCH(2,'CONTROLES'!$AH$13:$AH$1012,0)))</f>
        <v>Ejemplo · Cimentación</v>
      </c>
      <c r="D14" s="30" t="str">
        <f>IF(2&gt;$E$8,"",INDEX('CONTROLES'!$AD$13:$AD$1012,MATCH(2,'CONTROLES'!$AH$13:$AH$1012,0)))</f>
        <v>BASE-01</v>
      </c>
      <c r="E14" s="30" t="str">
        <f>IF(2&gt;$E$8,"",INDEX('CONTROLES'!$AE$13:$AE$1012,MATCH(2,'CONTROLES'!$AH$13:$AH$1012,0)))</f>
        <v>Ejemplo real anonimizado · encachado separado; revisar zonas</v>
      </c>
      <c r="F14" s="30" t="str">
        <f>IF(2&gt;$E$8,"",INDEX('CONTROLES'!$AF$13:$AF$1012,MATCH(2,'CONTROLES'!$AH$13:$AH$1012,0)))</f>
        <v>Revisamos dimensiones, cantidades directas, ceros o deducciones en PEGAR.
</v>
      </c>
      <c r="G14" s="30" t="str">
        <f>IF(2&gt;$E$8,"",IF(INDEX('CONTROLES'!$AG$13:$AG$1012,MATCH(2,'CONTROLES'!$AH$13:$AH$1012,0))=2,"ROJO","ÁMBAR"))</f>
        <v>ÁMBAR</v>
      </c>
    </row>
    <row r="15" ht="30" hidden="0" customHeight="1">
      <c r="B15" s="30" t="str">
        <f>IF(3&gt;$E$8,"",INDEX('CONTROLES'!$AB$13:$AB$1012,MATCH(3,'CONTROLES'!$AH$13:$AH$1012,0)))</f>
        <v>ID 4</v>
      </c>
      <c r="C15" s="30" t="str">
        <f>IF(3&gt;$E$8,"",INDEX('CONTROLES'!$AC$13:$AC$1012,MATCH(3,'CONTROLES'!$AH$13:$AH$1012,0)))</f>
        <v>Ejemplo · Equipamiento</v>
      </c>
      <c r="D15" s="30" t="str">
        <f>IF(3&gt;$E$8,"",INDEX('CONTROLES'!$AD$13:$AD$1012,MATCH(3,'CONTROLES'!$AH$13:$AH$1012,0)))</f>
        <v>EQU-01</v>
      </c>
      <c r="E15" s="30" t="str">
        <f>IF(3&gt;$E$8,"",INDEX('CONTROLES'!$AE$13:$AE$1012,MATCH(3,'CONTROLES'!$AH$13:$AH$1012,0)))</f>
        <v>Ejemplo real anonimizado · confirmamos cero frente a una unidad</v>
      </c>
      <c r="F15" s="30" t="str">
        <f>IF(3&gt;$E$8,"",INDEX('CONTROLES'!$AF$13:$AF$1012,MATCH(3,'CONTROLES'!$AH$13:$AH$1012,0)))</f>
        <v>Las líneas difieren del total en más de 0,01; confirmamos cantidad o exclusión.
</v>
      </c>
      <c r="G15" s="30" t="str">
        <f>IF(3&gt;$E$8,"",IF(INDEX('CONTROLES'!$AG$13:$AG$1012,MATCH(3,'CONTROLES'!$AH$13:$AH$1012,0))=2,"ROJO","ÁMBAR"))</f>
        <v>ROJO</v>
      </c>
    </row>
    <row r="16" ht="15" hidden="0" customHeight="1">
      <c r="B16" s="30">
        <f>IF(4&gt;$E$8,"",INDEX('CONTROLES'!$AB$13:$AB$1012,MATCH(4,'CONTROLES'!$AH$13:$AH$1012,0)))</f>
      </c>
      <c r="C16" s="30">
        <f>IF(4&gt;$E$8,"",INDEX('CONTROLES'!$AC$13:$AC$1012,MATCH(4,'CONTROLES'!$AH$13:$AH$1012,0)))</f>
      </c>
      <c r="D16" s="30">
        <f>IF(4&gt;$E$8,"",INDEX('CONTROLES'!$AD$13:$AD$1012,MATCH(4,'CONTROLES'!$AH$13:$AH$1012,0)))</f>
      </c>
      <c r="E16" s="30">
        <f>IF(4&gt;$E$8,"",INDEX('CONTROLES'!$AE$13:$AE$1012,MATCH(4,'CONTROLES'!$AH$13:$AH$1012,0)))</f>
      </c>
      <c r="F16" s="30">
        <f>IF(4&gt;$E$8,"",INDEX('CONTROLES'!$AF$13:$AF$1012,MATCH(4,'CONTROLES'!$AH$13:$AH$1012,0)))</f>
      </c>
      <c r="G16" s="30">
        <f>IF(4&gt;$E$8,"",IF(INDEX('CONTROLES'!$AG$13:$AG$1012,MATCH(4,'CONTROLES'!$AH$13:$AH$1012,0))=2,"ROJO","ÁMBAR"))</f>
      </c>
    </row>
    <row r="17" ht="22" customHeight="1">
      <c r="B17" s="30">
        <f>IF(5&gt;$E$8,"",INDEX('CONTROLES'!$AB$13:$AB$1012,MATCH(5,'CONTROLES'!$AH$13:$AH$1012,0)))</f>
      </c>
      <c r="C17" s="30">
        <f>IF(5&gt;$E$8,"",INDEX('CONTROLES'!$AC$13:$AC$1012,MATCH(5,'CONTROLES'!$AH$13:$AH$1012,0)))</f>
      </c>
      <c r="D17" s="30">
        <f>IF(5&gt;$E$8,"",INDEX('CONTROLES'!$AD$13:$AD$1012,MATCH(5,'CONTROLES'!$AH$13:$AH$1012,0)))</f>
      </c>
      <c r="E17" s="30">
        <f>IF(5&gt;$E$8,"",INDEX('CONTROLES'!$AE$13:$AE$1012,MATCH(5,'CONTROLES'!$AH$13:$AH$1012,0)))</f>
      </c>
      <c r="F17" s="30">
        <f>IF(5&gt;$E$8,"",INDEX('CONTROLES'!$AF$13:$AF$1012,MATCH(5,'CONTROLES'!$AH$13:$AH$1012,0)))</f>
      </c>
      <c r="G17" s="30">
        <f>IF(5&gt;$E$8,"",IF(INDEX('CONTROLES'!$AG$13:$AG$1012,MATCH(5,'CONTROLES'!$AH$13:$AH$1012,0))=2,"ROJO","ÁMBAR"))</f>
      </c>
    </row>
    <row r="18" ht="22" customHeight="1">
      <c r="B18" s="30">
        <f>IF(6&gt;$E$8,"",INDEX('CONTROLES'!$AB$13:$AB$1012,MATCH(6,'CONTROLES'!$AH$13:$AH$1012,0)))</f>
      </c>
      <c r="C18" s="30">
        <f>IF(6&gt;$E$8,"",INDEX('CONTROLES'!$AC$13:$AC$1012,MATCH(6,'CONTROLES'!$AH$13:$AH$1012,0)))</f>
      </c>
      <c r="D18" s="30">
        <f>IF(6&gt;$E$8,"",INDEX('CONTROLES'!$AD$13:$AD$1012,MATCH(6,'CONTROLES'!$AH$13:$AH$1012,0)))</f>
      </c>
      <c r="E18" s="30">
        <f>IF(6&gt;$E$8,"",INDEX('CONTROLES'!$AE$13:$AE$1012,MATCH(6,'CONTROLES'!$AH$13:$AH$1012,0)))</f>
      </c>
      <c r="F18" s="30">
        <f>IF(6&gt;$E$8,"",INDEX('CONTROLES'!$AF$13:$AF$1012,MATCH(6,'CONTROLES'!$AH$13:$AH$1012,0)))</f>
      </c>
      <c r="G18" s="30">
        <f>IF(6&gt;$E$8,"",IF(INDEX('CONTROLES'!$AG$13:$AG$1012,MATCH(6,'CONTROLES'!$AH$13:$AH$1012,0))=2,"ROJO","ÁMBAR"))</f>
      </c>
    </row>
    <row r="19" ht="22" customHeight="1">
      <c r="B19" s="30">
        <f>IF(7&gt;$E$8,"",INDEX('CONTROLES'!$AB$13:$AB$1012,MATCH(7,'CONTROLES'!$AH$13:$AH$1012,0)))</f>
      </c>
      <c r="C19" s="30">
        <f>IF(7&gt;$E$8,"",INDEX('CONTROLES'!$AC$13:$AC$1012,MATCH(7,'CONTROLES'!$AH$13:$AH$1012,0)))</f>
      </c>
      <c r="D19" s="30">
        <f>IF(7&gt;$E$8,"",INDEX('CONTROLES'!$AD$13:$AD$1012,MATCH(7,'CONTROLES'!$AH$13:$AH$1012,0)))</f>
      </c>
      <c r="E19" s="30">
        <f>IF(7&gt;$E$8,"",INDEX('CONTROLES'!$AE$13:$AE$1012,MATCH(7,'CONTROLES'!$AH$13:$AH$1012,0)))</f>
      </c>
      <c r="F19" s="30">
        <f>IF(7&gt;$E$8,"",INDEX('CONTROLES'!$AF$13:$AF$1012,MATCH(7,'CONTROLES'!$AH$13:$AH$1012,0)))</f>
      </c>
      <c r="G19" s="30">
        <f>IF(7&gt;$E$8,"",IF(INDEX('CONTROLES'!$AG$13:$AG$1012,MATCH(7,'CONTROLES'!$AH$13:$AH$1012,0))=2,"ROJO","ÁMBAR"))</f>
      </c>
    </row>
    <row r="20" ht="22" customHeight="1">
      <c r="B20" s="30">
        <f>IF(8&gt;$E$8,"",INDEX('CONTROLES'!$AB$13:$AB$1012,MATCH(8,'CONTROLES'!$AH$13:$AH$1012,0)))</f>
      </c>
      <c r="C20" s="30">
        <f>IF(8&gt;$E$8,"",INDEX('CONTROLES'!$AC$13:$AC$1012,MATCH(8,'CONTROLES'!$AH$13:$AH$1012,0)))</f>
      </c>
      <c r="D20" s="30">
        <f>IF(8&gt;$E$8,"",INDEX('CONTROLES'!$AD$13:$AD$1012,MATCH(8,'CONTROLES'!$AH$13:$AH$1012,0)))</f>
      </c>
      <c r="E20" s="30">
        <f>IF(8&gt;$E$8,"",INDEX('CONTROLES'!$AE$13:$AE$1012,MATCH(8,'CONTROLES'!$AH$13:$AH$1012,0)))</f>
      </c>
      <c r="F20" s="30">
        <f>IF(8&gt;$E$8,"",INDEX('CONTROLES'!$AF$13:$AF$1012,MATCH(8,'CONTROLES'!$AH$13:$AH$1012,0)))</f>
      </c>
      <c r="G20" s="30">
        <f>IF(8&gt;$E$8,"",IF(INDEX('CONTROLES'!$AG$13:$AG$1012,MATCH(8,'CONTROLES'!$AH$13:$AH$1012,0))=2,"ROJO","ÁMBAR"))</f>
      </c>
    </row>
    <row r="21" ht="22" customHeight="1">
      <c r="B21" s="30">
        <f>IF(9&gt;$E$8,"",INDEX('CONTROLES'!$AB$13:$AB$1012,MATCH(9,'CONTROLES'!$AH$13:$AH$1012,0)))</f>
      </c>
      <c r="C21" s="30">
        <f>IF(9&gt;$E$8,"",INDEX('CONTROLES'!$AC$13:$AC$1012,MATCH(9,'CONTROLES'!$AH$13:$AH$1012,0)))</f>
      </c>
      <c r="D21" s="30">
        <f>IF(9&gt;$E$8,"",INDEX('CONTROLES'!$AD$13:$AD$1012,MATCH(9,'CONTROLES'!$AH$13:$AH$1012,0)))</f>
      </c>
      <c r="E21" s="30">
        <f>IF(9&gt;$E$8,"",INDEX('CONTROLES'!$AE$13:$AE$1012,MATCH(9,'CONTROLES'!$AH$13:$AH$1012,0)))</f>
      </c>
      <c r="F21" s="30">
        <f>IF(9&gt;$E$8,"",INDEX('CONTROLES'!$AF$13:$AF$1012,MATCH(9,'CONTROLES'!$AH$13:$AH$1012,0)))</f>
      </c>
      <c r="G21" s="30">
        <f>IF(9&gt;$E$8,"",IF(INDEX('CONTROLES'!$AG$13:$AG$1012,MATCH(9,'CONTROLES'!$AH$13:$AH$1012,0))=2,"ROJO","ÁMBAR"))</f>
      </c>
    </row>
    <row r="22" ht="22" customHeight="1">
      <c r="B22" s="30">
        <f>IF(10&gt;$E$8,"",INDEX('CONTROLES'!$AB$13:$AB$1012,MATCH(10,'CONTROLES'!$AH$13:$AH$1012,0)))</f>
      </c>
      <c r="C22" s="30">
        <f>IF(10&gt;$E$8,"",INDEX('CONTROLES'!$AC$13:$AC$1012,MATCH(10,'CONTROLES'!$AH$13:$AH$1012,0)))</f>
      </c>
      <c r="D22" s="30">
        <f>IF(10&gt;$E$8,"",INDEX('CONTROLES'!$AD$13:$AD$1012,MATCH(10,'CONTROLES'!$AH$13:$AH$1012,0)))</f>
      </c>
      <c r="E22" s="30">
        <f>IF(10&gt;$E$8,"",INDEX('CONTROLES'!$AE$13:$AE$1012,MATCH(10,'CONTROLES'!$AH$13:$AH$1012,0)))</f>
      </c>
      <c r="F22" s="30">
        <f>IF(10&gt;$E$8,"",INDEX('CONTROLES'!$AF$13:$AF$1012,MATCH(10,'CONTROLES'!$AH$13:$AH$1012,0)))</f>
      </c>
      <c r="G22" s="30">
        <f>IF(10&gt;$E$8,"",IF(INDEX('CONTROLES'!$AG$13:$AG$1012,MATCH(10,'CONTROLES'!$AH$13:$AH$1012,0))=2,"ROJO","ÁMBAR"))</f>
      </c>
    </row>
    <row r="23" ht="22" customHeight="1">
      <c r="B23" s="30">
        <f>IF(11&gt;$E$8,"",INDEX('CONTROLES'!$AB$13:$AB$1012,MATCH(11,'CONTROLES'!$AH$13:$AH$1012,0)))</f>
      </c>
      <c r="C23" s="30">
        <f>IF(11&gt;$E$8,"",INDEX('CONTROLES'!$AC$13:$AC$1012,MATCH(11,'CONTROLES'!$AH$13:$AH$1012,0)))</f>
      </c>
      <c r="D23" s="30">
        <f>IF(11&gt;$E$8,"",INDEX('CONTROLES'!$AD$13:$AD$1012,MATCH(11,'CONTROLES'!$AH$13:$AH$1012,0)))</f>
      </c>
      <c r="E23" s="30">
        <f>IF(11&gt;$E$8,"",INDEX('CONTROLES'!$AE$13:$AE$1012,MATCH(11,'CONTROLES'!$AH$13:$AH$1012,0)))</f>
      </c>
      <c r="F23" s="30">
        <f>IF(11&gt;$E$8,"",INDEX('CONTROLES'!$AF$13:$AF$1012,MATCH(11,'CONTROLES'!$AH$13:$AH$1012,0)))</f>
      </c>
      <c r="G23" s="30">
        <f>IF(11&gt;$E$8,"",IF(INDEX('CONTROLES'!$AG$13:$AG$1012,MATCH(11,'CONTROLES'!$AH$13:$AH$1012,0))=2,"ROJO","ÁMBAR"))</f>
      </c>
    </row>
    <row r="24" ht="22" customHeight="1">
      <c r="B24" s="30">
        <f>IF(12&gt;$E$8,"",INDEX('CONTROLES'!$AB$13:$AB$1012,MATCH(12,'CONTROLES'!$AH$13:$AH$1012,0)))</f>
      </c>
      <c r="C24" s="30">
        <f>IF(12&gt;$E$8,"",INDEX('CONTROLES'!$AC$13:$AC$1012,MATCH(12,'CONTROLES'!$AH$13:$AH$1012,0)))</f>
      </c>
      <c r="D24" s="30">
        <f>IF(12&gt;$E$8,"",INDEX('CONTROLES'!$AD$13:$AD$1012,MATCH(12,'CONTROLES'!$AH$13:$AH$1012,0)))</f>
      </c>
      <c r="E24" s="30">
        <f>IF(12&gt;$E$8,"",INDEX('CONTROLES'!$AE$13:$AE$1012,MATCH(12,'CONTROLES'!$AH$13:$AH$1012,0)))</f>
      </c>
      <c r="F24" s="30">
        <f>IF(12&gt;$E$8,"",INDEX('CONTROLES'!$AF$13:$AF$1012,MATCH(12,'CONTROLES'!$AH$13:$AH$1012,0)))</f>
      </c>
      <c r="G24" s="30">
        <f>IF(12&gt;$E$8,"",IF(INDEX('CONTROLES'!$AG$13:$AG$1012,MATCH(12,'CONTROLES'!$AH$13:$AH$1012,0))=2,"ROJO","ÁMBAR"))</f>
      </c>
    </row>
    <row r="25" ht="22" customHeight="1">
      <c r="B25" s="30">
        <f>IF(13&gt;$E$8,"",INDEX('CONTROLES'!$AB$13:$AB$1012,MATCH(13,'CONTROLES'!$AH$13:$AH$1012,0)))</f>
      </c>
      <c r="C25" s="30">
        <f>IF(13&gt;$E$8,"",INDEX('CONTROLES'!$AC$13:$AC$1012,MATCH(13,'CONTROLES'!$AH$13:$AH$1012,0)))</f>
      </c>
      <c r="D25" s="30">
        <f>IF(13&gt;$E$8,"",INDEX('CONTROLES'!$AD$13:$AD$1012,MATCH(13,'CONTROLES'!$AH$13:$AH$1012,0)))</f>
      </c>
      <c r="E25" s="30">
        <f>IF(13&gt;$E$8,"",INDEX('CONTROLES'!$AE$13:$AE$1012,MATCH(13,'CONTROLES'!$AH$13:$AH$1012,0)))</f>
      </c>
      <c r="F25" s="30">
        <f>IF(13&gt;$E$8,"",INDEX('CONTROLES'!$AF$13:$AF$1012,MATCH(13,'CONTROLES'!$AH$13:$AH$1012,0)))</f>
      </c>
      <c r="G25" s="30">
        <f>IF(13&gt;$E$8,"",IF(INDEX('CONTROLES'!$AG$13:$AG$1012,MATCH(13,'CONTROLES'!$AH$13:$AH$1012,0))=2,"ROJO","ÁMBAR"))</f>
      </c>
    </row>
    <row r="26" ht="22" customHeight="1">
      <c r="B26" s="30">
        <f>IF(14&gt;$E$8,"",INDEX('CONTROLES'!$AB$13:$AB$1012,MATCH(14,'CONTROLES'!$AH$13:$AH$1012,0)))</f>
      </c>
      <c r="C26" s="30">
        <f>IF(14&gt;$E$8,"",INDEX('CONTROLES'!$AC$13:$AC$1012,MATCH(14,'CONTROLES'!$AH$13:$AH$1012,0)))</f>
      </c>
      <c r="D26" s="30">
        <f>IF(14&gt;$E$8,"",INDEX('CONTROLES'!$AD$13:$AD$1012,MATCH(14,'CONTROLES'!$AH$13:$AH$1012,0)))</f>
      </c>
      <c r="E26" s="30">
        <f>IF(14&gt;$E$8,"",INDEX('CONTROLES'!$AE$13:$AE$1012,MATCH(14,'CONTROLES'!$AH$13:$AH$1012,0)))</f>
      </c>
      <c r="F26" s="30">
        <f>IF(14&gt;$E$8,"",INDEX('CONTROLES'!$AF$13:$AF$1012,MATCH(14,'CONTROLES'!$AH$13:$AH$1012,0)))</f>
      </c>
      <c r="G26" s="30">
        <f>IF(14&gt;$E$8,"",IF(INDEX('CONTROLES'!$AG$13:$AG$1012,MATCH(14,'CONTROLES'!$AH$13:$AH$1012,0))=2,"ROJO","ÁMBAR"))</f>
      </c>
    </row>
    <row r="27" ht="22" customHeight="1">
      <c r="B27" s="30">
        <f>IF(15&gt;$E$8,"",INDEX('CONTROLES'!$AB$13:$AB$1012,MATCH(15,'CONTROLES'!$AH$13:$AH$1012,0)))</f>
      </c>
      <c r="C27" s="30">
        <f>IF(15&gt;$E$8,"",INDEX('CONTROLES'!$AC$13:$AC$1012,MATCH(15,'CONTROLES'!$AH$13:$AH$1012,0)))</f>
      </c>
      <c r="D27" s="30">
        <f>IF(15&gt;$E$8,"",INDEX('CONTROLES'!$AD$13:$AD$1012,MATCH(15,'CONTROLES'!$AH$13:$AH$1012,0)))</f>
      </c>
      <c r="E27" s="30">
        <f>IF(15&gt;$E$8,"",INDEX('CONTROLES'!$AE$13:$AE$1012,MATCH(15,'CONTROLES'!$AH$13:$AH$1012,0)))</f>
      </c>
      <c r="F27" s="30">
        <f>IF(15&gt;$E$8,"",INDEX('CONTROLES'!$AF$13:$AF$1012,MATCH(15,'CONTROLES'!$AH$13:$AH$1012,0)))</f>
      </c>
      <c r="G27" s="30">
        <f>IF(15&gt;$E$8,"",IF(INDEX('CONTROLES'!$AG$13:$AG$1012,MATCH(15,'CONTROLES'!$AH$13:$AH$1012,0))=2,"ROJO","ÁMBAR"))</f>
      </c>
    </row>
    <row r="28" ht="22" customHeight="1">
      <c r="B28" s="30">
        <f>IF(16&gt;$E$8,"",INDEX('CONTROLES'!$AB$13:$AB$1012,MATCH(16,'CONTROLES'!$AH$13:$AH$1012,0)))</f>
      </c>
      <c r="C28" s="30">
        <f>IF(16&gt;$E$8,"",INDEX('CONTROLES'!$AC$13:$AC$1012,MATCH(16,'CONTROLES'!$AH$13:$AH$1012,0)))</f>
      </c>
      <c r="D28" s="30">
        <f>IF(16&gt;$E$8,"",INDEX('CONTROLES'!$AD$13:$AD$1012,MATCH(16,'CONTROLES'!$AH$13:$AH$1012,0)))</f>
      </c>
      <c r="E28" s="30">
        <f>IF(16&gt;$E$8,"",INDEX('CONTROLES'!$AE$13:$AE$1012,MATCH(16,'CONTROLES'!$AH$13:$AH$1012,0)))</f>
      </c>
      <c r="F28" s="30">
        <f>IF(16&gt;$E$8,"",INDEX('CONTROLES'!$AF$13:$AF$1012,MATCH(16,'CONTROLES'!$AH$13:$AH$1012,0)))</f>
      </c>
      <c r="G28" s="30">
        <f>IF(16&gt;$E$8,"",IF(INDEX('CONTROLES'!$AG$13:$AG$1012,MATCH(16,'CONTROLES'!$AH$13:$AH$1012,0))=2,"ROJO","ÁMBAR"))</f>
      </c>
    </row>
    <row r="29" ht="22" customHeight="1">
      <c r="B29" s="30">
        <f>IF(17&gt;$E$8,"",INDEX('CONTROLES'!$AB$13:$AB$1012,MATCH(17,'CONTROLES'!$AH$13:$AH$1012,0)))</f>
      </c>
      <c r="C29" s="30">
        <f>IF(17&gt;$E$8,"",INDEX('CONTROLES'!$AC$13:$AC$1012,MATCH(17,'CONTROLES'!$AH$13:$AH$1012,0)))</f>
      </c>
      <c r="D29" s="30">
        <f>IF(17&gt;$E$8,"",INDEX('CONTROLES'!$AD$13:$AD$1012,MATCH(17,'CONTROLES'!$AH$13:$AH$1012,0)))</f>
      </c>
      <c r="E29" s="30">
        <f>IF(17&gt;$E$8,"",INDEX('CONTROLES'!$AE$13:$AE$1012,MATCH(17,'CONTROLES'!$AH$13:$AH$1012,0)))</f>
      </c>
      <c r="F29" s="30">
        <f>IF(17&gt;$E$8,"",INDEX('CONTROLES'!$AF$13:$AF$1012,MATCH(17,'CONTROLES'!$AH$13:$AH$1012,0)))</f>
      </c>
      <c r="G29" s="30">
        <f>IF(17&gt;$E$8,"",IF(INDEX('CONTROLES'!$AG$13:$AG$1012,MATCH(17,'CONTROLES'!$AH$13:$AH$1012,0))=2,"ROJO","ÁMBAR"))</f>
      </c>
    </row>
    <row r="30" ht="22" customHeight="1">
      <c r="B30" s="30">
        <f>IF(18&gt;$E$8,"",INDEX('CONTROLES'!$AB$13:$AB$1012,MATCH(18,'CONTROLES'!$AH$13:$AH$1012,0)))</f>
      </c>
      <c r="C30" s="30">
        <f>IF(18&gt;$E$8,"",INDEX('CONTROLES'!$AC$13:$AC$1012,MATCH(18,'CONTROLES'!$AH$13:$AH$1012,0)))</f>
      </c>
      <c r="D30" s="30">
        <f>IF(18&gt;$E$8,"",INDEX('CONTROLES'!$AD$13:$AD$1012,MATCH(18,'CONTROLES'!$AH$13:$AH$1012,0)))</f>
      </c>
      <c r="E30" s="30">
        <f>IF(18&gt;$E$8,"",INDEX('CONTROLES'!$AE$13:$AE$1012,MATCH(18,'CONTROLES'!$AH$13:$AH$1012,0)))</f>
      </c>
      <c r="F30" s="30">
        <f>IF(18&gt;$E$8,"",INDEX('CONTROLES'!$AF$13:$AF$1012,MATCH(18,'CONTROLES'!$AH$13:$AH$1012,0)))</f>
      </c>
      <c r="G30" s="30">
        <f>IF(18&gt;$E$8,"",IF(INDEX('CONTROLES'!$AG$13:$AG$1012,MATCH(18,'CONTROLES'!$AH$13:$AH$1012,0))=2,"ROJO","ÁMBAR"))</f>
      </c>
    </row>
    <row r="31" ht="22" customHeight="1">
      <c r="B31" s="30">
        <f>IF(19&gt;$E$8,"",INDEX('CONTROLES'!$AB$13:$AB$1012,MATCH(19,'CONTROLES'!$AH$13:$AH$1012,0)))</f>
      </c>
      <c r="C31" s="30">
        <f>IF(19&gt;$E$8,"",INDEX('CONTROLES'!$AC$13:$AC$1012,MATCH(19,'CONTROLES'!$AH$13:$AH$1012,0)))</f>
      </c>
      <c r="D31" s="30">
        <f>IF(19&gt;$E$8,"",INDEX('CONTROLES'!$AD$13:$AD$1012,MATCH(19,'CONTROLES'!$AH$13:$AH$1012,0)))</f>
      </c>
      <c r="E31" s="30">
        <f>IF(19&gt;$E$8,"",INDEX('CONTROLES'!$AE$13:$AE$1012,MATCH(19,'CONTROLES'!$AH$13:$AH$1012,0)))</f>
      </c>
      <c r="F31" s="30">
        <f>IF(19&gt;$E$8,"",INDEX('CONTROLES'!$AF$13:$AF$1012,MATCH(19,'CONTROLES'!$AH$13:$AH$1012,0)))</f>
      </c>
      <c r="G31" s="30">
        <f>IF(19&gt;$E$8,"",IF(INDEX('CONTROLES'!$AG$13:$AG$1012,MATCH(19,'CONTROLES'!$AH$13:$AH$1012,0))=2,"ROJO","ÁMBAR"))</f>
      </c>
    </row>
    <row r="32" ht="22" customHeight="1">
      <c r="B32" s="30">
        <f>IF(20&gt;$E$8,"",INDEX('CONTROLES'!$AB$13:$AB$1012,MATCH(20,'CONTROLES'!$AH$13:$AH$1012,0)))</f>
      </c>
      <c r="C32" s="30">
        <f>IF(20&gt;$E$8,"",INDEX('CONTROLES'!$AC$13:$AC$1012,MATCH(20,'CONTROLES'!$AH$13:$AH$1012,0)))</f>
      </c>
      <c r="D32" s="30">
        <f>IF(20&gt;$E$8,"",INDEX('CONTROLES'!$AD$13:$AD$1012,MATCH(20,'CONTROLES'!$AH$13:$AH$1012,0)))</f>
      </c>
      <c r="E32" s="30">
        <f>IF(20&gt;$E$8,"",INDEX('CONTROLES'!$AE$13:$AE$1012,MATCH(20,'CONTROLES'!$AH$13:$AH$1012,0)))</f>
      </c>
      <c r="F32" s="30">
        <f>IF(20&gt;$E$8,"",INDEX('CONTROLES'!$AF$13:$AF$1012,MATCH(20,'CONTROLES'!$AH$13:$AH$1012,0)))</f>
      </c>
      <c r="G32" s="30">
        <f>IF(20&gt;$E$8,"",IF(INDEX('CONTROLES'!$AG$13:$AG$1012,MATCH(20,'CONTROLES'!$AH$13:$AH$1012,0))=2,"ROJO","ÁMBAR"))</f>
      </c>
    </row>
    <row r="33" ht="22" customHeight="1">
      <c r="B33" s="30">
        <f>IF(21&gt;$E$8,"",INDEX('CONTROLES'!$AB$13:$AB$1012,MATCH(21,'CONTROLES'!$AH$13:$AH$1012,0)))</f>
      </c>
      <c r="C33" s="30">
        <f>IF(21&gt;$E$8,"",INDEX('CONTROLES'!$AC$13:$AC$1012,MATCH(21,'CONTROLES'!$AH$13:$AH$1012,0)))</f>
      </c>
      <c r="D33" s="30">
        <f>IF(21&gt;$E$8,"",INDEX('CONTROLES'!$AD$13:$AD$1012,MATCH(21,'CONTROLES'!$AH$13:$AH$1012,0)))</f>
      </c>
      <c r="E33" s="30">
        <f>IF(21&gt;$E$8,"",INDEX('CONTROLES'!$AE$13:$AE$1012,MATCH(21,'CONTROLES'!$AH$13:$AH$1012,0)))</f>
      </c>
      <c r="F33" s="30">
        <f>IF(21&gt;$E$8,"",INDEX('CONTROLES'!$AF$13:$AF$1012,MATCH(21,'CONTROLES'!$AH$13:$AH$1012,0)))</f>
      </c>
      <c r="G33" s="30">
        <f>IF(21&gt;$E$8,"",IF(INDEX('CONTROLES'!$AG$13:$AG$1012,MATCH(21,'CONTROLES'!$AH$13:$AH$1012,0))=2,"ROJO","ÁMBAR"))</f>
      </c>
    </row>
    <row r="34" ht="22" customHeight="1">
      <c r="B34" s="30">
        <f>IF(22&gt;$E$8,"",INDEX('CONTROLES'!$AB$13:$AB$1012,MATCH(22,'CONTROLES'!$AH$13:$AH$1012,0)))</f>
      </c>
      <c r="C34" s="30">
        <f>IF(22&gt;$E$8,"",INDEX('CONTROLES'!$AC$13:$AC$1012,MATCH(22,'CONTROLES'!$AH$13:$AH$1012,0)))</f>
      </c>
      <c r="D34" s="30">
        <f>IF(22&gt;$E$8,"",INDEX('CONTROLES'!$AD$13:$AD$1012,MATCH(22,'CONTROLES'!$AH$13:$AH$1012,0)))</f>
      </c>
      <c r="E34" s="30">
        <f>IF(22&gt;$E$8,"",INDEX('CONTROLES'!$AE$13:$AE$1012,MATCH(22,'CONTROLES'!$AH$13:$AH$1012,0)))</f>
      </c>
      <c r="F34" s="30">
        <f>IF(22&gt;$E$8,"",INDEX('CONTROLES'!$AF$13:$AF$1012,MATCH(22,'CONTROLES'!$AH$13:$AH$1012,0)))</f>
      </c>
      <c r="G34" s="30">
        <f>IF(22&gt;$E$8,"",IF(INDEX('CONTROLES'!$AG$13:$AG$1012,MATCH(22,'CONTROLES'!$AH$13:$AH$1012,0))=2,"ROJO","ÁMBAR"))</f>
      </c>
    </row>
    <row r="35" ht="22" customHeight="1">
      <c r="B35" s="30">
        <f>IF(23&gt;$E$8,"",INDEX('CONTROLES'!$AB$13:$AB$1012,MATCH(23,'CONTROLES'!$AH$13:$AH$1012,0)))</f>
      </c>
      <c r="C35" s="30">
        <f>IF(23&gt;$E$8,"",INDEX('CONTROLES'!$AC$13:$AC$1012,MATCH(23,'CONTROLES'!$AH$13:$AH$1012,0)))</f>
      </c>
      <c r="D35" s="30">
        <f>IF(23&gt;$E$8,"",INDEX('CONTROLES'!$AD$13:$AD$1012,MATCH(23,'CONTROLES'!$AH$13:$AH$1012,0)))</f>
      </c>
      <c r="E35" s="30">
        <f>IF(23&gt;$E$8,"",INDEX('CONTROLES'!$AE$13:$AE$1012,MATCH(23,'CONTROLES'!$AH$13:$AH$1012,0)))</f>
      </c>
      <c r="F35" s="30">
        <f>IF(23&gt;$E$8,"",INDEX('CONTROLES'!$AF$13:$AF$1012,MATCH(23,'CONTROLES'!$AH$13:$AH$1012,0)))</f>
      </c>
      <c r="G35" s="30">
        <f>IF(23&gt;$E$8,"",IF(INDEX('CONTROLES'!$AG$13:$AG$1012,MATCH(23,'CONTROLES'!$AH$13:$AH$1012,0))=2,"ROJO","ÁMBAR"))</f>
      </c>
    </row>
    <row r="36" ht="22" customHeight="1">
      <c r="B36" s="30">
        <f>IF(24&gt;$E$8,"",INDEX('CONTROLES'!$AB$13:$AB$1012,MATCH(24,'CONTROLES'!$AH$13:$AH$1012,0)))</f>
      </c>
      <c r="C36" s="30">
        <f>IF(24&gt;$E$8,"",INDEX('CONTROLES'!$AC$13:$AC$1012,MATCH(24,'CONTROLES'!$AH$13:$AH$1012,0)))</f>
      </c>
      <c r="D36" s="30">
        <f>IF(24&gt;$E$8,"",INDEX('CONTROLES'!$AD$13:$AD$1012,MATCH(24,'CONTROLES'!$AH$13:$AH$1012,0)))</f>
      </c>
      <c r="E36" s="30">
        <f>IF(24&gt;$E$8,"",INDEX('CONTROLES'!$AE$13:$AE$1012,MATCH(24,'CONTROLES'!$AH$13:$AH$1012,0)))</f>
      </c>
      <c r="F36" s="30">
        <f>IF(24&gt;$E$8,"",INDEX('CONTROLES'!$AF$13:$AF$1012,MATCH(24,'CONTROLES'!$AH$13:$AH$1012,0)))</f>
      </c>
      <c r="G36" s="30">
        <f>IF(24&gt;$E$8,"",IF(INDEX('CONTROLES'!$AG$13:$AG$1012,MATCH(24,'CONTROLES'!$AH$13:$AH$1012,0))=2,"ROJO","ÁMBAR"))</f>
      </c>
    </row>
    <row r="37" ht="22" customHeight="1">
      <c r="B37" s="30">
        <f>IF(25&gt;$E$8,"",INDEX('CONTROLES'!$AB$13:$AB$1012,MATCH(25,'CONTROLES'!$AH$13:$AH$1012,0)))</f>
      </c>
      <c r="C37" s="30">
        <f>IF(25&gt;$E$8,"",INDEX('CONTROLES'!$AC$13:$AC$1012,MATCH(25,'CONTROLES'!$AH$13:$AH$1012,0)))</f>
      </c>
      <c r="D37" s="30">
        <f>IF(25&gt;$E$8,"",INDEX('CONTROLES'!$AD$13:$AD$1012,MATCH(25,'CONTROLES'!$AH$13:$AH$1012,0)))</f>
      </c>
      <c r="E37" s="30">
        <f>IF(25&gt;$E$8,"",INDEX('CONTROLES'!$AE$13:$AE$1012,MATCH(25,'CONTROLES'!$AH$13:$AH$1012,0)))</f>
      </c>
      <c r="F37" s="30">
        <f>IF(25&gt;$E$8,"",INDEX('CONTROLES'!$AF$13:$AF$1012,MATCH(25,'CONTROLES'!$AH$13:$AH$1012,0)))</f>
      </c>
      <c r="G37" s="30">
        <f>IF(25&gt;$E$8,"",IF(INDEX('CONTROLES'!$AG$13:$AG$1012,MATCH(25,'CONTROLES'!$AH$13:$AH$1012,0))=2,"ROJO","ÁMBAR"))</f>
      </c>
    </row>
    <row r="38" ht="22" customHeight="1">
      <c r="B38" s="30">
        <f>IF(26&gt;$E$8,"",INDEX('CONTROLES'!$AB$13:$AB$1012,MATCH(26,'CONTROLES'!$AH$13:$AH$1012,0)))</f>
      </c>
      <c r="C38" s="30">
        <f>IF(26&gt;$E$8,"",INDEX('CONTROLES'!$AC$13:$AC$1012,MATCH(26,'CONTROLES'!$AH$13:$AH$1012,0)))</f>
      </c>
      <c r="D38" s="30">
        <f>IF(26&gt;$E$8,"",INDEX('CONTROLES'!$AD$13:$AD$1012,MATCH(26,'CONTROLES'!$AH$13:$AH$1012,0)))</f>
      </c>
      <c r="E38" s="30">
        <f>IF(26&gt;$E$8,"",INDEX('CONTROLES'!$AE$13:$AE$1012,MATCH(26,'CONTROLES'!$AH$13:$AH$1012,0)))</f>
      </c>
      <c r="F38" s="30">
        <f>IF(26&gt;$E$8,"",INDEX('CONTROLES'!$AF$13:$AF$1012,MATCH(26,'CONTROLES'!$AH$13:$AH$1012,0)))</f>
      </c>
      <c r="G38" s="30">
        <f>IF(26&gt;$E$8,"",IF(INDEX('CONTROLES'!$AG$13:$AG$1012,MATCH(26,'CONTROLES'!$AH$13:$AH$1012,0))=2,"ROJO","ÁMBAR"))</f>
      </c>
    </row>
    <row r="39" ht="22" customHeight="1">
      <c r="B39" s="30">
        <f>IF(27&gt;$E$8,"",INDEX('CONTROLES'!$AB$13:$AB$1012,MATCH(27,'CONTROLES'!$AH$13:$AH$1012,0)))</f>
      </c>
      <c r="C39" s="30">
        <f>IF(27&gt;$E$8,"",INDEX('CONTROLES'!$AC$13:$AC$1012,MATCH(27,'CONTROLES'!$AH$13:$AH$1012,0)))</f>
      </c>
      <c r="D39" s="30">
        <f>IF(27&gt;$E$8,"",INDEX('CONTROLES'!$AD$13:$AD$1012,MATCH(27,'CONTROLES'!$AH$13:$AH$1012,0)))</f>
      </c>
      <c r="E39" s="30">
        <f>IF(27&gt;$E$8,"",INDEX('CONTROLES'!$AE$13:$AE$1012,MATCH(27,'CONTROLES'!$AH$13:$AH$1012,0)))</f>
      </c>
      <c r="F39" s="30">
        <f>IF(27&gt;$E$8,"",INDEX('CONTROLES'!$AF$13:$AF$1012,MATCH(27,'CONTROLES'!$AH$13:$AH$1012,0)))</f>
      </c>
      <c r="G39" s="30">
        <f>IF(27&gt;$E$8,"",IF(INDEX('CONTROLES'!$AG$13:$AG$1012,MATCH(27,'CONTROLES'!$AH$13:$AH$1012,0))=2,"ROJO","ÁMBAR"))</f>
      </c>
    </row>
    <row r="40" ht="22" customHeight="1">
      <c r="B40" s="30">
        <f>IF(28&gt;$E$8,"",INDEX('CONTROLES'!$AB$13:$AB$1012,MATCH(28,'CONTROLES'!$AH$13:$AH$1012,0)))</f>
      </c>
      <c r="C40" s="30">
        <f>IF(28&gt;$E$8,"",INDEX('CONTROLES'!$AC$13:$AC$1012,MATCH(28,'CONTROLES'!$AH$13:$AH$1012,0)))</f>
      </c>
      <c r="D40" s="30">
        <f>IF(28&gt;$E$8,"",INDEX('CONTROLES'!$AD$13:$AD$1012,MATCH(28,'CONTROLES'!$AH$13:$AH$1012,0)))</f>
      </c>
      <c r="E40" s="30">
        <f>IF(28&gt;$E$8,"",INDEX('CONTROLES'!$AE$13:$AE$1012,MATCH(28,'CONTROLES'!$AH$13:$AH$1012,0)))</f>
      </c>
      <c r="F40" s="30">
        <f>IF(28&gt;$E$8,"",INDEX('CONTROLES'!$AF$13:$AF$1012,MATCH(28,'CONTROLES'!$AH$13:$AH$1012,0)))</f>
      </c>
      <c r="G40" s="30">
        <f>IF(28&gt;$E$8,"",IF(INDEX('CONTROLES'!$AG$13:$AG$1012,MATCH(28,'CONTROLES'!$AH$13:$AH$1012,0))=2,"ROJO","ÁMBAR"))</f>
      </c>
    </row>
    <row r="41" ht="22" customHeight="1">
      <c r="B41" s="30">
        <f>IF(29&gt;$E$8,"",INDEX('CONTROLES'!$AB$13:$AB$1012,MATCH(29,'CONTROLES'!$AH$13:$AH$1012,0)))</f>
      </c>
      <c r="C41" s="30">
        <f>IF(29&gt;$E$8,"",INDEX('CONTROLES'!$AC$13:$AC$1012,MATCH(29,'CONTROLES'!$AH$13:$AH$1012,0)))</f>
      </c>
      <c r="D41" s="30">
        <f>IF(29&gt;$E$8,"",INDEX('CONTROLES'!$AD$13:$AD$1012,MATCH(29,'CONTROLES'!$AH$13:$AH$1012,0)))</f>
      </c>
      <c r="E41" s="30">
        <f>IF(29&gt;$E$8,"",INDEX('CONTROLES'!$AE$13:$AE$1012,MATCH(29,'CONTROLES'!$AH$13:$AH$1012,0)))</f>
      </c>
      <c r="F41" s="30">
        <f>IF(29&gt;$E$8,"",INDEX('CONTROLES'!$AF$13:$AF$1012,MATCH(29,'CONTROLES'!$AH$13:$AH$1012,0)))</f>
      </c>
      <c r="G41" s="30">
        <f>IF(29&gt;$E$8,"",IF(INDEX('CONTROLES'!$AG$13:$AG$1012,MATCH(29,'CONTROLES'!$AH$13:$AH$1012,0))=2,"ROJO","ÁMBAR"))</f>
      </c>
    </row>
    <row r="42" ht="22" customHeight="1">
      <c r="B42" s="30">
        <f>IF(30&gt;$E$8,"",INDEX('CONTROLES'!$AB$13:$AB$1012,MATCH(30,'CONTROLES'!$AH$13:$AH$1012,0)))</f>
      </c>
      <c r="C42" s="30">
        <f>IF(30&gt;$E$8,"",INDEX('CONTROLES'!$AC$13:$AC$1012,MATCH(30,'CONTROLES'!$AH$13:$AH$1012,0)))</f>
      </c>
      <c r="D42" s="30">
        <f>IF(30&gt;$E$8,"",INDEX('CONTROLES'!$AD$13:$AD$1012,MATCH(30,'CONTROLES'!$AH$13:$AH$1012,0)))</f>
      </c>
      <c r="E42" s="30">
        <f>IF(30&gt;$E$8,"",INDEX('CONTROLES'!$AE$13:$AE$1012,MATCH(30,'CONTROLES'!$AH$13:$AH$1012,0)))</f>
      </c>
      <c r="F42" s="30">
        <f>IF(30&gt;$E$8,"",INDEX('CONTROLES'!$AF$13:$AF$1012,MATCH(30,'CONTROLES'!$AH$13:$AH$1012,0)))</f>
      </c>
      <c r="G42" s="30">
        <f>IF(30&gt;$E$8,"",IF(INDEX('CONTROLES'!$AG$13:$AG$1012,MATCH(30,'CONTROLES'!$AH$13:$AH$1012,0))=2,"ROJO","ÁMBAR"))</f>
      </c>
    </row>
    <row r="43" ht="22" customHeight="1">
      <c r="B43" s="30">
        <f>IF(31&gt;$E$8,"",INDEX('CONTROLES'!$AB$13:$AB$1012,MATCH(31,'CONTROLES'!$AH$13:$AH$1012,0)))</f>
      </c>
      <c r="C43" s="30">
        <f>IF(31&gt;$E$8,"",INDEX('CONTROLES'!$AC$13:$AC$1012,MATCH(31,'CONTROLES'!$AH$13:$AH$1012,0)))</f>
      </c>
      <c r="D43" s="30">
        <f>IF(31&gt;$E$8,"",INDEX('CONTROLES'!$AD$13:$AD$1012,MATCH(31,'CONTROLES'!$AH$13:$AH$1012,0)))</f>
      </c>
      <c r="E43" s="30">
        <f>IF(31&gt;$E$8,"",INDEX('CONTROLES'!$AE$13:$AE$1012,MATCH(31,'CONTROLES'!$AH$13:$AH$1012,0)))</f>
      </c>
      <c r="F43" s="30">
        <f>IF(31&gt;$E$8,"",INDEX('CONTROLES'!$AF$13:$AF$1012,MATCH(31,'CONTROLES'!$AH$13:$AH$1012,0)))</f>
      </c>
      <c r="G43" s="30">
        <f>IF(31&gt;$E$8,"",IF(INDEX('CONTROLES'!$AG$13:$AG$1012,MATCH(31,'CONTROLES'!$AH$13:$AH$1012,0))=2,"ROJO","ÁMBAR"))</f>
      </c>
    </row>
    <row r="44" ht="22" customHeight="1">
      <c r="B44" s="30">
        <f>IF(32&gt;$E$8,"",INDEX('CONTROLES'!$AB$13:$AB$1012,MATCH(32,'CONTROLES'!$AH$13:$AH$1012,0)))</f>
      </c>
      <c r="C44" s="30">
        <f>IF(32&gt;$E$8,"",INDEX('CONTROLES'!$AC$13:$AC$1012,MATCH(32,'CONTROLES'!$AH$13:$AH$1012,0)))</f>
      </c>
      <c r="D44" s="30">
        <f>IF(32&gt;$E$8,"",INDEX('CONTROLES'!$AD$13:$AD$1012,MATCH(32,'CONTROLES'!$AH$13:$AH$1012,0)))</f>
      </c>
      <c r="E44" s="30">
        <f>IF(32&gt;$E$8,"",INDEX('CONTROLES'!$AE$13:$AE$1012,MATCH(32,'CONTROLES'!$AH$13:$AH$1012,0)))</f>
      </c>
      <c r="F44" s="30">
        <f>IF(32&gt;$E$8,"",INDEX('CONTROLES'!$AF$13:$AF$1012,MATCH(32,'CONTROLES'!$AH$13:$AH$1012,0)))</f>
      </c>
      <c r="G44" s="30">
        <f>IF(32&gt;$E$8,"",IF(INDEX('CONTROLES'!$AG$13:$AG$1012,MATCH(32,'CONTROLES'!$AH$13:$AH$1012,0))=2,"ROJO","ÁMBAR"))</f>
      </c>
    </row>
    <row r="45" ht="22" customHeight="1">
      <c r="B45" s="30">
        <f>IF(33&gt;$E$8,"",INDEX('CONTROLES'!$AB$13:$AB$1012,MATCH(33,'CONTROLES'!$AH$13:$AH$1012,0)))</f>
      </c>
      <c r="C45" s="30">
        <f>IF(33&gt;$E$8,"",INDEX('CONTROLES'!$AC$13:$AC$1012,MATCH(33,'CONTROLES'!$AH$13:$AH$1012,0)))</f>
      </c>
      <c r="D45" s="30">
        <f>IF(33&gt;$E$8,"",INDEX('CONTROLES'!$AD$13:$AD$1012,MATCH(33,'CONTROLES'!$AH$13:$AH$1012,0)))</f>
      </c>
      <c r="E45" s="30">
        <f>IF(33&gt;$E$8,"",INDEX('CONTROLES'!$AE$13:$AE$1012,MATCH(33,'CONTROLES'!$AH$13:$AH$1012,0)))</f>
      </c>
      <c r="F45" s="30">
        <f>IF(33&gt;$E$8,"",INDEX('CONTROLES'!$AF$13:$AF$1012,MATCH(33,'CONTROLES'!$AH$13:$AH$1012,0)))</f>
      </c>
      <c r="G45" s="30">
        <f>IF(33&gt;$E$8,"",IF(INDEX('CONTROLES'!$AG$13:$AG$1012,MATCH(33,'CONTROLES'!$AH$13:$AH$1012,0))=2,"ROJO","ÁMBAR"))</f>
      </c>
    </row>
    <row r="46" ht="22" customHeight="1">
      <c r="B46" s="30">
        <f>IF(34&gt;$E$8,"",INDEX('CONTROLES'!$AB$13:$AB$1012,MATCH(34,'CONTROLES'!$AH$13:$AH$1012,0)))</f>
      </c>
      <c r="C46" s="30">
        <f>IF(34&gt;$E$8,"",INDEX('CONTROLES'!$AC$13:$AC$1012,MATCH(34,'CONTROLES'!$AH$13:$AH$1012,0)))</f>
      </c>
      <c r="D46" s="30">
        <f>IF(34&gt;$E$8,"",INDEX('CONTROLES'!$AD$13:$AD$1012,MATCH(34,'CONTROLES'!$AH$13:$AH$1012,0)))</f>
      </c>
      <c r="E46" s="30">
        <f>IF(34&gt;$E$8,"",INDEX('CONTROLES'!$AE$13:$AE$1012,MATCH(34,'CONTROLES'!$AH$13:$AH$1012,0)))</f>
      </c>
      <c r="F46" s="30">
        <f>IF(34&gt;$E$8,"",INDEX('CONTROLES'!$AF$13:$AF$1012,MATCH(34,'CONTROLES'!$AH$13:$AH$1012,0)))</f>
      </c>
      <c r="G46" s="30">
        <f>IF(34&gt;$E$8,"",IF(INDEX('CONTROLES'!$AG$13:$AG$1012,MATCH(34,'CONTROLES'!$AH$13:$AH$1012,0))=2,"ROJO","ÁMBAR"))</f>
      </c>
    </row>
    <row r="47" ht="22" customHeight="1">
      <c r="B47" s="30">
        <f>IF(35&gt;$E$8,"",INDEX('CONTROLES'!$AB$13:$AB$1012,MATCH(35,'CONTROLES'!$AH$13:$AH$1012,0)))</f>
      </c>
      <c r="C47" s="30">
        <f>IF(35&gt;$E$8,"",INDEX('CONTROLES'!$AC$13:$AC$1012,MATCH(35,'CONTROLES'!$AH$13:$AH$1012,0)))</f>
      </c>
      <c r="D47" s="30">
        <f>IF(35&gt;$E$8,"",INDEX('CONTROLES'!$AD$13:$AD$1012,MATCH(35,'CONTROLES'!$AH$13:$AH$1012,0)))</f>
      </c>
      <c r="E47" s="30">
        <f>IF(35&gt;$E$8,"",INDEX('CONTROLES'!$AE$13:$AE$1012,MATCH(35,'CONTROLES'!$AH$13:$AH$1012,0)))</f>
      </c>
      <c r="F47" s="30">
        <f>IF(35&gt;$E$8,"",INDEX('CONTROLES'!$AF$13:$AF$1012,MATCH(35,'CONTROLES'!$AH$13:$AH$1012,0)))</f>
      </c>
      <c r="G47" s="30">
        <f>IF(35&gt;$E$8,"",IF(INDEX('CONTROLES'!$AG$13:$AG$1012,MATCH(35,'CONTROLES'!$AH$13:$AH$1012,0))=2,"ROJO","ÁMBAR"))</f>
      </c>
    </row>
    <row r="48" ht="22" customHeight="1">
      <c r="B48" s="30">
        <f>IF(36&gt;$E$8,"",INDEX('CONTROLES'!$AB$13:$AB$1012,MATCH(36,'CONTROLES'!$AH$13:$AH$1012,0)))</f>
      </c>
      <c r="C48" s="30">
        <f>IF(36&gt;$E$8,"",INDEX('CONTROLES'!$AC$13:$AC$1012,MATCH(36,'CONTROLES'!$AH$13:$AH$1012,0)))</f>
      </c>
      <c r="D48" s="30">
        <f>IF(36&gt;$E$8,"",INDEX('CONTROLES'!$AD$13:$AD$1012,MATCH(36,'CONTROLES'!$AH$13:$AH$1012,0)))</f>
      </c>
      <c r="E48" s="30">
        <f>IF(36&gt;$E$8,"",INDEX('CONTROLES'!$AE$13:$AE$1012,MATCH(36,'CONTROLES'!$AH$13:$AH$1012,0)))</f>
      </c>
      <c r="F48" s="30">
        <f>IF(36&gt;$E$8,"",INDEX('CONTROLES'!$AF$13:$AF$1012,MATCH(36,'CONTROLES'!$AH$13:$AH$1012,0)))</f>
      </c>
      <c r="G48" s="30">
        <f>IF(36&gt;$E$8,"",IF(INDEX('CONTROLES'!$AG$13:$AG$1012,MATCH(36,'CONTROLES'!$AH$13:$AH$1012,0))=2,"ROJO","ÁMBAR"))</f>
      </c>
    </row>
    <row r="49" ht="22" customHeight="1">
      <c r="B49" s="30">
        <f>IF(37&gt;$E$8,"",INDEX('CONTROLES'!$AB$13:$AB$1012,MATCH(37,'CONTROLES'!$AH$13:$AH$1012,0)))</f>
      </c>
      <c r="C49" s="30">
        <f>IF(37&gt;$E$8,"",INDEX('CONTROLES'!$AC$13:$AC$1012,MATCH(37,'CONTROLES'!$AH$13:$AH$1012,0)))</f>
      </c>
      <c r="D49" s="30">
        <f>IF(37&gt;$E$8,"",INDEX('CONTROLES'!$AD$13:$AD$1012,MATCH(37,'CONTROLES'!$AH$13:$AH$1012,0)))</f>
      </c>
      <c r="E49" s="30">
        <f>IF(37&gt;$E$8,"",INDEX('CONTROLES'!$AE$13:$AE$1012,MATCH(37,'CONTROLES'!$AH$13:$AH$1012,0)))</f>
      </c>
      <c r="F49" s="30">
        <f>IF(37&gt;$E$8,"",INDEX('CONTROLES'!$AF$13:$AF$1012,MATCH(37,'CONTROLES'!$AH$13:$AH$1012,0)))</f>
      </c>
      <c r="G49" s="30">
        <f>IF(37&gt;$E$8,"",IF(INDEX('CONTROLES'!$AG$13:$AG$1012,MATCH(37,'CONTROLES'!$AH$13:$AH$1012,0))=2,"ROJO","ÁMBAR"))</f>
      </c>
    </row>
    <row r="50" ht="22" customHeight="1">
      <c r="B50" s="30">
        <f>IF(38&gt;$E$8,"",INDEX('CONTROLES'!$AB$13:$AB$1012,MATCH(38,'CONTROLES'!$AH$13:$AH$1012,0)))</f>
      </c>
      <c r="C50" s="30">
        <f>IF(38&gt;$E$8,"",INDEX('CONTROLES'!$AC$13:$AC$1012,MATCH(38,'CONTROLES'!$AH$13:$AH$1012,0)))</f>
      </c>
      <c r="D50" s="30">
        <f>IF(38&gt;$E$8,"",INDEX('CONTROLES'!$AD$13:$AD$1012,MATCH(38,'CONTROLES'!$AH$13:$AH$1012,0)))</f>
      </c>
      <c r="E50" s="30">
        <f>IF(38&gt;$E$8,"",INDEX('CONTROLES'!$AE$13:$AE$1012,MATCH(38,'CONTROLES'!$AH$13:$AH$1012,0)))</f>
      </c>
      <c r="F50" s="30">
        <f>IF(38&gt;$E$8,"",INDEX('CONTROLES'!$AF$13:$AF$1012,MATCH(38,'CONTROLES'!$AH$13:$AH$1012,0)))</f>
      </c>
      <c r="G50" s="30">
        <f>IF(38&gt;$E$8,"",IF(INDEX('CONTROLES'!$AG$13:$AG$1012,MATCH(38,'CONTROLES'!$AH$13:$AH$1012,0))=2,"ROJO","ÁMBAR"))</f>
      </c>
    </row>
    <row r="51" ht="22" customHeight="1">
      <c r="B51" s="30">
        <f>IF(39&gt;$E$8,"",INDEX('CONTROLES'!$AB$13:$AB$1012,MATCH(39,'CONTROLES'!$AH$13:$AH$1012,0)))</f>
      </c>
      <c r="C51" s="30">
        <f>IF(39&gt;$E$8,"",INDEX('CONTROLES'!$AC$13:$AC$1012,MATCH(39,'CONTROLES'!$AH$13:$AH$1012,0)))</f>
      </c>
      <c r="D51" s="30">
        <f>IF(39&gt;$E$8,"",INDEX('CONTROLES'!$AD$13:$AD$1012,MATCH(39,'CONTROLES'!$AH$13:$AH$1012,0)))</f>
      </c>
      <c r="E51" s="30">
        <f>IF(39&gt;$E$8,"",INDEX('CONTROLES'!$AE$13:$AE$1012,MATCH(39,'CONTROLES'!$AH$13:$AH$1012,0)))</f>
      </c>
      <c r="F51" s="30">
        <f>IF(39&gt;$E$8,"",INDEX('CONTROLES'!$AF$13:$AF$1012,MATCH(39,'CONTROLES'!$AH$13:$AH$1012,0)))</f>
      </c>
      <c r="G51" s="30">
        <f>IF(39&gt;$E$8,"",IF(INDEX('CONTROLES'!$AG$13:$AG$1012,MATCH(39,'CONTROLES'!$AH$13:$AH$1012,0))=2,"ROJO","ÁMBAR"))</f>
      </c>
    </row>
    <row r="52" ht="22" customHeight="1">
      <c r="B52" s="30">
        <f>IF(40&gt;$E$8,"",INDEX('CONTROLES'!$AB$13:$AB$1012,MATCH(40,'CONTROLES'!$AH$13:$AH$1012,0)))</f>
      </c>
      <c r="C52" s="30">
        <f>IF(40&gt;$E$8,"",INDEX('CONTROLES'!$AC$13:$AC$1012,MATCH(40,'CONTROLES'!$AH$13:$AH$1012,0)))</f>
      </c>
      <c r="D52" s="30">
        <f>IF(40&gt;$E$8,"",INDEX('CONTROLES'!$AD$13:$AD$1012,MATCH(40,'CONTROLES'!$AH$13:$AH$1012,0)))</f>
      </c>
      <c r="E52" s="30">
        <f>IF(40&gt;$E$8,"",INDEX('CONTROLES'!$AE$13:$AE$1012,MATCH(40,'CONTROLES'!$AH$13:$AH$1012,0)))</f>
      </c>
      <c r="F52" s="30">
        <f>IF(40&gt;$E$8,"",INDEX('CONTROLES'!$AF$13:$AF$1012,MATCH(40,'CONTROLES'!$AH$13:$AH$1012,0)))</f>
      </c>
      <c r="G52" s="30">
        <f>IF(40&gt;$E$8,"",IF(INDEX('CONTROLES'!$AG$13:$AG$1012,MATCH(40,'CONTROLES'!$AH$13:$AH$1012,0))=2,"ROJO","ÁMBAR"))</f>
      </c>
    </row>
    <row r="53" ht="22" customHeight="1">
      <c r="B53" s="30">
        <f>IF(41&gt;$E$8,"",INDEX('CONTROLES'!$AB$13:$AB$1012,MATCH(41,'CONTROLES'!$AH$13:$AH$1012,0)))</f>
      </c>
      <c r="C53" s="30">
        <f>IF(41&gt;$E$8,"",INDEX('CONTROLES'!$AC$13:$AC$1012,MATCH(41,'CONTROLES'!$AH$13:$AH$1012,0)))</f>
      </c>
      <c r="D53" s="30">
        <f>IF(41&gt;$E$8,"",INDEX('CONTROLES'!$AD$13:$AD$1012,MATCH(41,'CONTROLES'!$AH$13:$AH$1012,0)))</f>
      </c>
      <c r="E53" s="30">
        <f>IF(41&gt;$E$8,"",INDEX('CONTROLES'!$AE$13:$AE$1012,MATCH(41,'CONTROLES'!$AH$13:$AH$1012,0)))</f>
      </c>
      <c r="F53" s="30">
        <f>IF(41&gt;$E$8,"",INDEX('CONTROLES'!$AF$13:$AF$1012,MATCH(41,'CONTROLES'!$AH$13:$AH$1012,0)))</f>
      </c>
      <c r="G53" s="30">
        <f>IF(41&gt;$E$8,"",IF(INDEX('CONTROLES'!$AG$13:$AG$1012,MATCH(41,'CONTROLES'!$AH$13:$AH$1012,0))=2,"ROJO","ÁMBAR"))</f>
      </c>
    </row>
    <row r="54" ht="22" customHeight="1">
      <c r="B54" s="30">
        <f>IF(42&gt;$E$8,"",INDEX('CONTROLES'!$AB$13:$AB$1012,MATCH(42,'CONTROLES'!$AH$13:$AH$1012,0)))</f>
      </c>
      <c r="C54" s="30">
        <f>IF(42&gt;$E$8,"",INDEX('CONTROLES'!$AC$13:$AC$1012,MATCH(42,'CONTROLES'!$AH$13:$AH$1012,0)))</f>
      </c>
      <c r="D54" s="30">
        <f>IF(42&gt;$E$8,"",INDEX('CONTROLES'!$AD$13:$AD$1012,MATCH(42,'CONTROLES'!$AH$13:$AH$1012,0)))</f>
      </c>
      <c r="E54" s="30">
        <f>IF(42&gt;$E$8,"",INDEX('CONTROLES'!$AE$13:$AE$1012,MATCH(42,'CONTROLES'!$AH$13:$AH$1012,0)))</f>
      </c>
      <c r="F54" s="30">
        <f>IF(42&gt;$E$8,"",INDEX('CONTROLES'!$AF$13:$AF$1012,MATCH(42,'CONTROLES'!$AH$13:$AH$1012,0)))</f>
      </c>
      <c r="G54" s="30">
        <f>IF(42&gt;$E$8,"",IF(INDEX('CONTROLES'!$AG$13:$AG$1012,MATCH(42,'CONTROLES'!$AH$13:$AH$1012,0))=2,"ROJO","ÁMBAR"))</f>
      </c>
    </row>
    <row r="55" ht="22" customHeight="1">
      <c r="B55" s="30">
        <f>IF(43&gt;$E$8,"",INDEX('CONTROLES'!$AB$13:$AB$1012,MATCH(43,'CONTROLES'!$AH$13:$AH$1012,0)))</f>
      </c>
      <c r="C55" s="30">
        <f>IF(43&gt;$E$8,"",INDEX('CONTROLES'!$AC$13:$AC$1012,MATCH(43,'CONTROLES'!$AH$13:$AH$1012,0)))</f>
      </c>
      <c r="D55" s="30">
        <f>IF(43&gt;$E$8,"",INDEX('CONTROLES'!$AD$13:$AD$1012,MATCH(43,'CONTROLES'!$AH$13:$AH$1012,0)))</f>
      </c>
      <c r="E55" s="30">
        <f>IF(43&gt;$E$8,"",INDEX('CONTROLES'!$AE$13:$AE$1012,MATCH(43,'CONTROLES'!$AH$13:$AH$1012,0)))</f>
      </c>
      <c r="F55" s="30">
        <f>IF(43&gt;$E$8,"",INDEX('CONTROLES'!$AF$13:$AF$1012,MATCH(43,'CONTROLES'!$AH$13:$AH$1012,0)))</f>
      </c>
      <c r="G55" s="30">
        <f>IF(43&gt;$E$8,"",IF(INDEX('CONTROLES'!$AG$13:$AG$1012,MATCH(43,'CONTROLES'!$AH$13:$AH$1012,0))=2,"ROJO","ÁMBAR"))</f>
      </c>
    </row>
    <row r="56" ht="22" customHeight="1">
      <c r="B56" s="30">
        <f>IF(44&gt;$E$8,"",INDEX('CONTROLES'!$AB$13:$AB$1012,MATCH(44,'CONTROLES'!$AH$13:$AH$1012,0)))</f>
      </c>
      <c r="C56" s="30">
        <f>IF(44&gt;$E$8,"",INDEX('CONTROLES'!$AC$13:$AC$1012,MATCH(44,'CONTROLES'!$AH$13:$AH$1012,0)))</f>
      </c>
      <c r="D56" s="30">
        <f>IF(44&gt;$E$8,"",INDEX('CONTROLES'!$AD$13:$AD$1012,MATCH(44,'CONTROLES'!$AH$13:$AH$1012,0)))</f>
      </c>
      <c r="E56" s="30">
        <f>IF(44&gt;$E$8,"",INDEX('CONTROLES'!$AE$13:$AE$1012,MATCH(44,'CONTROLES'!$AH$13:$AH$1012,0)))</f>
      </c>
      <c r="F56" s="30">
        <f>IF(44&gt;$E$8,"",INDEX('CONTROLES'!$AF$13:$AF$1012,MATCH(44,'CONTROLES'!$AH$13:$AH$1012,0)))</f>
      </c>
      <c r="G56" s="30">
        <f>IF(44&gt;$E$8,"",IF(INDEX('CONTROLES'!$AG$13:$AG$1012,MATCH(44,'CONTROLES'!$AH$13:$AH$1012,0))=2,"ROJO","ÁMBAR"))</f>
      </c>
    </row>
    <row r="57" ht="22" customHeight="1">
      <c r="B57" s="30">
        <f>IF(45&gt;$E$8,"",INDEX('CONTROLES'!$AB$13:$AB$1012,MATCH(45,'CONTROLES'!$AH$13:$AH$1012,0)))</f>
      </c>
      <c r="C57" s="30">
        <f>IF(45&gt;$E$8,"",INDEX('CONTROLES'!$AC$13:$AC$1012,MATCH(45,'CONTROLES'!$AH$13:$AH$1012,0)))</f>
      </c>
      <c r="D57" s="30">
        <f>IF(45&gt;$E$8,"",INDEX('CONTROLES'!$AD$13:$AD$1012,MATCH(45,'CONTROLES'!$AH$13:$AH$1012,0)))</f>
      </c>
      <c r="E57" s="30">
        <f>IF(45&gt;$E$8,"",INDEX('CONTROLES'!$AE$13:$AE$1012,MATCH(45,'CONTROLES'!$AH$13:$AH$1012,0)))</f>
      </c>
      <c r="F57" s="30">
        <f>IF(45&gt;$E$8,"",INDEX('CONTROLES'!$AF$13:$AF$1012,MATCH(45,'CONTROLES'!$AH$13:$AH$1012,0)))</f>
      </c>
      <c r="G57" s="30">
        <f>IF(45&gt;$E$8,"",IF(INDEX('CONTROLES'!$AG$13:$AG$1012,MATCH(45,'CONTROLES'!$AH$13:$AH$1012,0))=2,"ROJO","ÁMBAR"))</f>
      </c>
    </row>
    <row r="58" ht="22" customHeight="1">
      <c r="B58" s="30">
        <f>IF(46&gt;$E$8,"",INDEX('CONTROLES'!$AB$13:$AB$1012,MATCH(46,'CONTROLES'!$AH$13:$AH$1012,0)))</f>
      </c>
      <c r="C58" s="30">
        <f>IF(46&gt;$E$8,"",INDEX('CONTROLES'!$AC$13:$AC$1012,MATCH(46,'CONTROLES'!$AH$13:$AH$1012,0)))</f>
      </c>
      <c r="D58" s="30">
        <f>IF(46&gt;$E$8,"",INDEX('CONTROLES'!$AD$13:$AD$1012,MATCH(46,'CONTROLES'!$AH$13:$AH$1012,0)))</f>
      </c>
      <c r="E58" s="30">
        <f>IF(46&gt;$E$8,"",INDEX('CONTROLES'!$AE$13:$AE$1012,MATCH(46,'CONTROLES'!$AH$13:$AH$1012,0)))</f>
      </c>
      <c r="F58" s="30">
        <f>IF(46&gt;$E$8,"",INDEX('CONTROLES'!$AF$13:$AF$1012,MATCH(46,'CONTROLES'!$AH$13:$AH$1012,0)))</f>
      </c>
      <c r="G58" s="30">
        <f>IF(46&gt;$E$8,"",IF(INDEX('CONTROLES'!$AG$13:$AG$1012,MATCH(46,'CONTROLES'!$AH$13:$AH$1012,0))=2,"ROJO","ÁMBAR"))</f>
      </c>
    </row>
    <row r="59" ht="22" customHeight="1">
      <c r="B59" s="30">
        <f>IF(47&gt;$E$8,"",INDEX('CONTROLES'!$AB$13:$AB$1012,MATCH(47,'CONTROLES'!$AH$13:$AH$1012,0)))</f>
      </c>
      <c r="C59" s="30">
        <f>IF(47&gt;$E$8,"",INDEX('CONTROLES'!$AC$13:$AC$1012,MATCH(47,'CONTROLES'!$AH$13:$AH$1012,0)))</f>
      </c>
      <c r="D59" s="30">
        <f>IF(47&gt;$E$8,"",INDEX('CONTROLES'!$AD$13:$AD$1012,MATCH(47,'CONTROLES'!$AH$13:$AH$1012,0)))</f>
      </c>
      <c r="E59" s="30">
        <f>IF(47&gt;$E$8,"",INDEX('CONTROLES'!$AE$13:$AE$1012,MATCH(47,'CONTROLES'!$AH$13:$AH$1012,0)))</f>
      </c>
      <c r="F59" s="30">
        <f>IF(47&gt;$E$8,"",INDEX('CONTROLES'!$AF$13:$AF$1012,MATCH(47,'CONTROLES'!$AH$13:$AH$1012,0)))</f>
      </c>
      <c r="G59" s="30">
        <f>IF(47&gt;$E$8,"",IF(INDEX('CONTROLES'!$AG$13:$AG$1012,MATCH(47,'CONTROLES'!$AH$13:$AH$1012,0))=2,"ROJO","ÁMBAR"))</f>
      </c>
    </row>
    <row r="60" ht="22" customHeight="1">
      <c r="B60" s="30">
        <f>IF(48&gt;$E$8,"",INDEX('CONTROLES'!$AB$13:$AB$1012,MATCH(48,'CONTROLES'!$AH$13:$AH$1012,0)))</f>
      </c>
      <c r="C60" s="30">
        <f>IF(48&gt;$E$8,"",INDEX('CONTROLES'!$AC$13:$AC$1012,MATCH(48,'CONTROLES'!$AH$13:$AH$1012,0)))</f>
      </c>
      <c r="D60" s="30">
        <f>IF(48&gt;$E$8,"",INDEX('CONTROLES'!$AD$13:$AD$1012,MATCH(48,'CONTROLES'!$AH$13:$AH$1012,0)))</f>
      </c>
      <c r="E60" s="30">
        <f>IF(48&gt;$E$8,"",INDEX('CONTROLES'!$AE$13:$AE$1012,MATCH(48,'CONTROLES'!$AH$13:$AH$1012,0)))</f>
      </c>
      <c r="F60" s="30">
        <f>IF(48&gt;$E$8,"",INDEX('CONTROLES'!$AF$13:$AF$1012,MATCH(48,'CONTROLES'!$AH$13:$AH$1012,0)))</f>
      </c>
      <c r="G60" s="30">
        <f>IF(48&gt;$E$8,"",IF(INDEX('CONTROLES'!$AG$13:$AG$1012,MATCH(48,'CONTROLES'!$AH$13:$AH$1012,0))=2,"ROJO","ÁMBAR"))</f>
      </c>
    </row>
    <row r="61" ht="22" customHeight="1">
      <c r="B61" s="30">
        <f>IF(49&gt;$E$8,"",INDEX('CONTROLES'!$AB$13:$AB$1012,MATCH(49,'CONTROLES'!$AH$13:$AH$1012,0)))</f>
      </c>
      <c r="C61" s="30">
        <f>IF(49&gt;$E$8,"",INDEX('CONTROLES'!$AC$13:$AC$1012,MATCH(49,'CONTROLES'!$AH$13:$AH$1012,0)))</f>
      </c>
      <c r="D61" s="30">
        <f>IF(49&gt;$E$8,"",INDEX('CONTROLES'!$AD$13:$AD$1012,MATCH(49,'CONTROLES'!$AH$13:$AH$1012,0)))</f>
      </c>
      <c r="E61" s="30">
        <f>IF(49&gt;$E$8,"",INDEX('CONTROLES'!$AE$13:$AE$1012,MATCH(49,'CONTROLES'!$AH$13:$AH$1012,0)))</f>
      </c>
      <c r="F61" s="30">
        <f>IF(49&gt;$E$8,"",INDEX('CONTROLES'!$AF$13:$AF$1012,MATCH(49,'CONTROLES'!$AH$13:$AH$1012,0)))</f>
      </c>
      <c r="G61" s="30">
        <f>IF(49&gt;$E$8,"",IF(INDEX('CONTROLES'!$AG$13:$AG$1012,MATCH(49,'CONTROLES'!$AH$13:$AH$1012,0))=2,"ROJO","ÁMBAR"))</f>
      </c>
    </row>
    <row r="62" ht="22" customHeight="1">
      <c r="B62" s="30">
        <f>IF(50&gt;$E$8,"",INDEX('CONTROLES'!$AB$13:$AB$1012,MATCH(50,'CONTROLES'!$AH$13:$AH$1012,0)))</f>
      </c>
      <c r="C62" s="30">
        <f>IF(50&gt;$E$8,"",INDEX('CONTROLES'!$AC$13:$AC$1012,MATCH(50,'CONTROLES'!$AH$13:$AH$1012,0)))</f>
      </c>
      <c r="D62" s="30">
        <f>IF(50&gt;$E$8,"",INDEX('CONTROLES'!$AD$13:$AD$1012,MATCH(50,'CONTROLES'!$AH$13:$AH$1012,0)))</f>
      </c>
      <c r="E62" s="30">
        <f>IF(50&gt;$E$8,"",INDEX('CONTROLES'!$AE$13:$AE$1012,MATCH(50,'CONTROLES'!$AH$13:$AH$1012,0)))</f>
      </c>
      <c r="F62" s="30">
        <f>IF(50&gt;$E$8,"",INDEX('CONTROLES'!$AF$13:$AF$1012,MATCH(50,'CONTROLES'!$AH$13:$AH$1012,0)))</f>
      </c>
      <c r="G62" s="30">
        <f>IF(50&gt;$E$8,"",IF(INDEX('CONTROLES'!$AG$13:$AG$1012,MATCH(50,'CONTROLES'!$AH$13:$AH$1012,0))=2,"ROJO","ÁMBAR"))</f>
      </c>
    </row>
    <row r="63" ht="22" customHeight="1">
      <c r="B63" s="30">
        <f>IF(51&gt;$E$8,"",INDEX('CONTROLES'!$AB$13:$AB$1012,MATCH(51,'CONTROLES'!$AH$13:$AH$1012,0)))</f>
      </c>
      <c r="C63" s="30">
        <f>IF(51&gt;$E$8,"",INDEX('CONTROLES'!$AC$13:$AC$1012,MATCH(51,'CONTROLES'!$AH$13:$AH$1012,0)))</f>
      </c>
      <c r="D63" s="30">
        <f>IF(51&gt;$E$8,"",INDEX('CONTROLES'!$AD$13:$AD$1012,MATCH(51,'CONTROLES'!$AH$13:$AH$1012,0)))</f>
      </c>
      <c r="E63" s="30">
        <f>IF(51&gt;$E$8,"",INDEX('CONTROLES'!$AE$13:$AE$1012,MATCH(51,'CONTROLES'!$AH$13:$AH$1012,0)))</f>
      </c>
      <c r="F63" s="30">
        <f>IF(51&gt;$E$8,"",INDEX('CONTROLES'!$AF$13:$AF$1012,MATCH(51,'CONTROLES'!$AH$13:$AH$1012,0)))</f>
      </c>
      <c r="G63" s="30">
        <f>IF(51&gt;$E$8,"",IF(INDEX('CONTROLES'!$AG$13:$AG$1012,MATCH(51,'CONTROLES'!$AH$13:$AH$1012,0))=2,"ROJO","ÁMBAR"))</f>
      </c>
    </row>
    <row r="64" ht="22" customHeight="1">
      <c r="B64" s="30">
        <f>IF(52&gt;$E$8,"",INDEX('CONTROLES'!$AB$13:$AB$1012,MATCH(52,'CONTROLES'!$AH$13:$AH$1012,0)))</f>
      </c>
      <c r="C64" s="30">
        <f>IF(52&gt;$E$8,"",INDEX('CONTROLES'!$AC$13:$AC$1012,MATCH(52,'CONTROLES'!$AH$13:$AH$1012,0)))</f>
      </c>
      <c r="D64" s="30">
        <f>IF(52&gt;$E$8,"",INDEX('CONTROLES'!$AD$13:$AD$1012,MATCH(52,'CONTROLES'!$AH$13:$AH$1012,0)))</f>
      </c>
      <c r="E64" s="30">
        <f>IF(52&gt;$E$8,"",INDEX('CONTROLES'!$AE$13:$AE$1012,MATCH(52,'CONTROLES'!$AH$13:$AH$1012,0)))</f>
      </c>
      <c r="F64" s="30">
        <f>IF(52&gt;$E$8,"",INDEX('CONTROLES'!$AF$13:$AF$1012,MATCH(52,'CONTROLES'!$AH$13:$AH$1012,0)))</f>
      </c>
      <c r="G64" s="30">
        <f>IF(52&gt;$E$8,"",IF(INDEX('CONTROLES'!$AG$13:$AG$1012,MATCH(52,'CONTROLES'!$AH$13:$AH$1012,0))=2,"ROJO","ÁMBAR"))</f>
      </c>
    </row>
    <row r="65" ht="22" customHeight="1">
      <c r="B65" s="30">
        <f>IF(53&gt;$E$8,"",INDEX('CONTROLES'!$AB$13:$AB$1012,MATCH(53,'CONTROLES'!$AH$13:$AH$1012,0)))</f>
      </c>
      <c r="C65" s="30">
        <f>IF(53&gt;$E$8,"",INDEX('CONTROLES'!$AC$13:$AC$1012,MATCH(53,'CONTROLES'!$AH$13:$AH$1012,0)))</f>
      </c>
      <c r="D65" s="30">
        <f>IF(53&gt;$E$8,"",INDEX('CONTROLES'!$AD$13:$AD$1012,MATCH(53,'CONTROLES'!$AH$13:$AH$1012,0)))</f>
      </c>
      <c r="E65" s="30">
        <f>IF(53&gt;$E$8,"",INDEX('CONTROLES'!$AE$13:$AE$1012,MATCH(53,'CONTROLES'!$AH$13:$AH$1012,0)))</f>
      </c>
      <c r="F65" s="30">
        <f>IF(53&gt;$E$8,"",INDEX('CONTROLES'!$AF$13:$AF$1012,MATCH(53,'CONTROLES'!$AH$13:$AH$1012,0)))</f>
      </c>
      <c r="G65" s="30">
        <f>IF(53&gt;$E$8,"",IF(INDEX('CONTROLES'!$AG$13:$AG$1012,MATCH(53,'CONTROLES'!$AH$13:$AH$1012,0))=2,"ROJO","ÁMBAR"))</f>
      </c>
    </row>
    <row r="66" ht="22" customHeight="1">
      <c r="B66" s="30">
        <f>IF(54&gt;$E$8,"",INDEX('CONTROLES'!$AB$13:$AB$1012,MATCH(54,'CONTROLES'!$AH$13:$AH$1012,0)))</f>
      </c>
      <c r="C66" s="30">
        <f>IF(54&gt;$E$8,"",INDEX('CONTROLES'!$AC$13:$AC$1012,MATCH(54,'CONTROLES'!$AH$13:$AH$1012,0)))</f>
      </c>
      <c r="D66" s="30">
        <f>IF(54&gt;$E$8,"",INDEX('CONTROLES'!$AD$13:$AD$1012,MATCH(54,'CONTROLES'!$AH$13:$AH$1012,0)))</f>
      </c>
      <c r="E66" s="30">
        <f>IF(54&gt;$E$8,"",INDEX('CONTROLES'!$AE$13:$AE$1012,MATCH(54,'CONTROLES'!$AH$13:$AH$1012,0)))</f>
      </c>
      <c r="F66" s="30">
        <f>IF(54&gt;$E$8,"",INDEX('CONTROLES'!$AF$13:$AF$1012,MATCH(54,'CONTROLES'!$AH$13:$AH$1012,0)))</f>
      </c>
      <c r="G66" s="30">
        <f>IF(54&gt;$E$8,"",IF(INDEX('CONTROLES'!$AG$13:$AG$1012,MATCH(54,'CONTROLES'!$AH$13:$AH$1012,0))=2,"ROJO","ÁMBAR"))</f>
      </c>
    </row>
    <row r="67" ht="22" customHeight="1">
      <c r="B67" s="30">
        <f>IF(55&gt;$E$8,"",INDEX('CONTROLES'!$AB$13:$AB$1012,MATCH(55,'CONTROLES'!$AH$13:$AH$1012,0)))</f>
      </c>
      <c r="C67" s="30">
        <f>IF(55&gt;$E$8,"",INDEX('CONTROLES'!$AC$13:$AC$1012,MATCH(55,'CONTROLES'!$AH$13:$AH$1012,0)))</f>
      </c>
      <c r="D67" s="30">
        <f>IF(55&gt;$E$8,"",INDEX('CONTROLES'!$AD$13:$AD$1012,MATCH(55,'CONTROLES'!$AH$13:$AH$1012,0)))</f>
      </c>
      <c r="E67" s="30">
        <f>IF(55&gt;$E$8,"",INDEX('CONTROLES'!$AE$13:$AE$1012,MATCH(55,'CONTROLES'!$AH$13:$AH$1012,0)))</f>
      </c>
      <c r="F67" s="30">
        <f>IF(55&gt;$E$8,"",INDEX('CONTROLES'!$AF$13:$AF$1012,MATCH(55,'CONTROLES'!$AH$13:$AH$1012,0)))</f>
      </c>
      <c r="G67" s="30">
        <f>IF(55&gt;$E$8,"",IF(INDEX('CONTROLES'!$AG$13:$AG$1012,MATCH(55,'CONTROLES'!$AH$13:$AH$1012,0))=2,"ROJO","ÁMBAR"))</f>
      </c>
    </row>
    <row r="68" ht="22" customHeight="1">
      <c r="B68" s="30">
        <f>IF(56&gt;$E$8,"",INDEX('CONTROLES'!$AB$13:$AB$1012,MATCH(56,'CONTROLES'!$AH$13:$AH$1012,0)))</f>
      </c>
      <c r="C68" s="30">
        <f>IF(56&gt;$E$8,"",INDEX('CONTROLES'!$AC$13:$AC$1012,MATCH(56,'CONTROLES'!$AH$13:$AH$1012,0)))</f>
      </c>
      <c r="D68" s="30">
        <f>IF(56&gt;$E$8,"",INDEX('CONTROLES'!$AD$13:$AD$1012,MATCH(56,'CONTROLES'!$AH$13:$AH$1012,0)))</f>
      </c>
      <c r="E68" s="30">
        <f>IF(56&gt;$E$8,"",INDEX('CONTROLES'!$AE$13:$AE$1012,MATCH(56,'CONTROLES'!$AH$13:$AH$1012,0)))</f>
      </c>
      <c r="F68" s="30">
        <f>IF(56&gt;$E$8,"",INDEX('CONTROLES'!$AF$13:$AF$1012,MATCH(56,'CONTROLES'!$AH$13:$AH$1012,0)))</f>
      </c>
      <c r="G68" s="30">
        <f>IF(56&gt;$E$8,"",IF(INDEX('CONTROLES'!$AG$13:$AG$1012,MATCH(56,'CONTROLES'!$AH$13:$AH$1012,0))=2,"ROJO","ÁMBAR"))</f>
      </c>
    </row>
    <row r="69" ht="22" customHeight="1">
      <c r="B69" s="30">
        <f>IF(57&gt;$E$8,"",INDEX('CONTROLES'!$AB$13:$AB$1012,MATCH(57,'CONTROLES'!$AH$13:$AH$1012,0)))</f>
      </c>
      <c r="C69" s="30">
        <f>IF(57&gt;$E$8,"",INDEX('CONTROLES'!$AC$13:$AC$1012,MATCH(57,'CONTROLES'!$AH$13:$AH$1012,0)))</f>
      </c>
      <c r="D69" s="30">
        <f>IF(57&gt;$E$8,"",INDEX('CONTROLES'!$AD$13:$AD$1012,MATCH(57,'CONTROLES'!$AH$13:$AH$1012,0)))</f>
      </c>
      <c r="E69" s="30">
        <f>IF(57&gt;$E$8,"",INDEX('CONTROLES'!$AE$13:$AE$1012,MATCH(57,'CONTROLES'!$AH$13:$AH$1012,0)))</f>
      </c>
      <c r="F69" s="30">
        <f>IF(57&gt;$E$8,"",INDEX('CONTROLES'!$AF$13:$AF$1012,MATCH(57,'CONTROLES'!$AH$13:$AH$1012,0)))</f>
      </c>
      <c r="G69" s="30">
        <f>IF(57&gt;$E$8,"",IF(INDEX('CONTROLES'!$AG$13:$AG$1012,MATCH(57,'CONTROLES'!$AH$13:$AH$1012,0))=2,"ROJO","ÁMBAR"))</f>
      </c>
    </row>
    <row r="70" ht="22" customHeight="1">
      <c r="B70" s="30">
        <f>IF(58&gt;$E$8,"",INDEX('CONTROLES'!$AB$13:$AB$1012,MATCH(58,'CONTROLES'!$AH$13:$AH$1012,0)))</f>
      </c>
      <c r="C70" s="30">
        <f>IF(58&gt;$E$8,"",INDEX('CONTROLES'!$AC$13:$AC$1012,MATCH(58,'CONTROLES'!$AH$13:$AH$1012,0)))</f>
      </c>
      <c r="D70" s="30">
        <f>IF(58&gt;$E$8,"",INDEX('CONTROLES'!$AD$13:$AD$1012,MATCH(58,'CONTROLES'!$AH$13:$AH$1012,0)))</f>
      </c>
      <c r="E70" s="30">
        <f>IF(58&gt;$E$8,"",INDEX('CONTROLES'!$AE$13:$AE$1012,MATCH(58,'CONTROLES'!$AH$13:$AH$1012,0)))</f>
      </c>
      <c r="F70" s="30">
        <f>IF(58&gt;$E$8,"",INDEX('CONTROLES'!$AF$13:$AF$1012,MATCH(58,'CONTROLES'!$AH$13:$AH$1012,0)))</f>
      </c>
      <c r="G70" s="30">
        <f>IF(58&gt;$E$8,"",IF(INDEX('CONTROLES'!$AG$13:$AG$1012,MATCH(58,'CONTROLES'!$AH$13:$AH$1012,0))=2,"ROJO","ÁMBAR"))</f>
      </c>
    </row>
    <row r="71" ht="22" customHeight="1">
      <c r="B71" s="30">
        <f>IF(59&gt;$E$8,"",INDEX('CONTROLES'!$AB$13:$AB$1012,MATCH(59,'CONTROLES'!$AH$13:$AH$1012,0)))</f>
      </c>
      <c r="C71" s="30">
        <f>IF(59&gt;$E$8,"",INDEX('CONTROLES'!$AC$13:$AC$1012,MATCH(59,'CONTROLES'!$AH$13:$AH$1012,0)))</f>
      </c>
      <c r="D71" s="30">
        <f>IF(59&gt;$E$8,"",INDEX('CONTROLES'!$AD$13:$AD$1012,MATCH(59,'CONTROLES'!$AH$13:$AH$1012,0)))</f>
      </c>
      <c r="E71" s="30">
        <f>IF(59&gt;$E$8,"",INDEX('CONTROLES'!$AE$13:$AE$1012,MATCH(59,'CONTROLES'!$AH$13:$AH$1012,0)))</f>
      </c>
      <c r="F71" s="30">
        <f>IF(59&gt;$E$8,"",INDEX('CONTROLES'!$AF$13:$AF$1012,MATCH(59,'CONTROLES'!$AH$13:$AH$1012,0)))</f>
      </c>
      <c r="G71" s="30">
        <f>IF(59&gt;$E$8,"",IF(INDEX('CONTROLES'!$AG$13:$AG$1012,MATCH(59,'CONTROLES'!$AH$13:$AH$1012,0))=2,"ROJO","ÁMBAR"))</f>
      </c>
    </row>
    <row r="72" ht="22" customHeight="1">
      <c r="B72" s="30">
        <f>IF(60&gt;$E$8,"",INDEX('CONTROLES'!$AB$13:$AB$1012,MATCH(60,'CONTROLES'!$AH$13:$AH$1012,0)))</f>
      </c>
      <c r="C72" s="30">
        <f>IF(60&gt;$E$8,"",INDEX('CONTROLES'!$AC$13:$AC$1012,MATCH(60,'CONTROLES'!$AH$13:$AH$1012,0)))</f>
      </c>
      <c r="D72" s="30">
        <f>IF(60&gt;$E$8,"",INDEX('CONTROLES'!$AD$13:$AD$1012,MATCH(60,'CONTROLES'!$AH$13:$AH$1012,0)))</f>
      </c>
      <c r="E72" s="30">
        <f>IF(60&gt;$E$8,"",INDEX('CONTROLES'!$AE$13:$AE$1012,MATCH(60,'CONTROLES'!$AH$13:$AH$1012,0)))</f>
      </c>
      <c r="F72" s="30">
        <f>IF(60&gt;$E$8,"",INDEX('CONTROLES'!$AF$13:$AF$1012,MATCH(60,'CONTROLES'!$AH$13:$AH$1012,0)))</f>
      </c>
      <c r="G72" s="30">
        <f>IF(60&gt;$E$8,"",IF(INDEX('CONTROLES'!$AG$13:$AG$1012,MATCH(60,'CONTROLES'!$AH$13:$AH$1012,0))=2,"ROJO","ÁMBAR"))</f>
      </c>
    </row>
    <row r="73" ht="22" customHeight="1">
      <c r="B73" s="30">
        <f>IF(61&gt;$E$8,"",INDEX('CONTROLES'!$AB$13:$AB$1012,MATCH(61,'CONTROLES'!$AH$13:$AH$1012,0)))</f>
      </c>
      <c r="C73" s="30">
        <f>IF(61&gt;$E$8,"",INDEX('CONTROLES'!$AC$13:$AC$1012,MATCH(61,'CONTROLES'!$AH$13:$AH$1012,0)))</f>
      </c>
      <c r="D73" s="30">
        <f>IF(61&gt;$E$8,"",INDEX('CONTROLES'!$AD$13:$AD$1012,MATCH(61,'CONTROLES'!$AH$13:$AH$1012,0)))</f>
      </c>
      <c r="E73" s="30">
        <f>IF(61&gt;$E$8,"",INDEX('CONTROLES'!$AE$13:$AE$1012,MATCH(61,'CONTROLES'!$AH$13:$AH$1012,0)))</f>
      </c>
      <c r="F73" s="30">
        <f>IF(61&gt;$E$8,"",INDEX('CONTROLES'!$AF$13:$AF$1012,MATCH(61,'CONTROLES'!$AH$13:$AH$1012,0)))</f>
      </c>
      <c r="G73" s="30">
        <f>IF(61&gt;$E$8,"",IF(INDEX('CONTROLES'!$AG$13:$AG$1012,MATCH(61,'CONTROLES'!$AH$13:$AH$1012,0))=2,"ROJO","ÁMBAR"))</f>
      </c>
    </row>
    <row r="74" ht="22" customHeight="1">
      <c r="B74" s="30">
        <f>IF(62&gt;$E$8,"",INDEX('CONTROLES'!$AB$13:$AB$1012,MATCH(62,'CONTROLES'!$AH$13:$AH$1012,0)))</f>
      </c>
      <c r="C74" s="30">
        <f>IF(62&gt;$E$8,"",INDEX('CONTROLES'!$AC$13:$AC$1012,MATCH(62,'CONTROLES'!$AH$13:$AH$1012,0)))</f>
      </c>
      <c r="D74" s="30">
        <f>IF(62&gt;$E$8,"",INDEX('CONTROLES'!$AD$13:$AD$1012,MATCH(62,'CONTROLES'!$AH$13:$AH$1012,0)))</f>
      </c>
      <c r="E74" s="30">
        <f>IF(62&gt;$E$8,"",INDEX('CONTROLES'!$AE$13:$AE$1012,MATCH(62,'CONTROLES'!$AH$13:$AH$1012,0)))</f>
      </c>
      <c r="F74" s="30">
        <f>IF(62&gt;$E$8,"",INDEX('CONTROLES'!$AF$13:$AF$1012,MATCH(62,'CONTROLES'!$AH$13:$AH$1012,0)))</f>
      </c>
      <c r="G74" s="30">
        <f>IF(62&gt;$E$8,"",IF(INDEX('CONTROLES'!$AG$13:$AG$1012,MATCH(62,'CONTROLES'!$AH$13:$AH$1012,0))=2,"ROJO","ÁMBAR"))</f>
      </c>
    </row>
    <row r="75" ht="22" customHeight="1">
      <c r="B75" s="30">
        <f>IF(63&gt;$E$8,"",INDEX('CONTROLES'!$AB$13:$AB$1012,MATCH(63,'CONTROLES'!$AH$13:$AH$1012,0)))</f>
      </c>
      <c r="C75" s="30">
        <f>IF(63&gt;$E$8,"",INDEX('CONTROLES'!$AC$13:$AC$1012,MATCH(63,'CONTROLES'!$AH$13:$AH$1012,0)))</f>
      </c>
      <c r="D75" s="30">
        <f>IF(63&gt;$E$8,"",INDEX('CONTROLES'!$AD$13:$AD$1012,MATCH(63,'CONTROLES'!$AH$13:$AH$1012,0)))</f>
      </c>
      <c r="E75" s="30">
        <f>IF(63&gt;$E$8,"",INDEX('CONTROLES'!$AE$13:$AE$1012,MATCH(63,'CONTROLES'!$AH$13:$AH$1012,0)))</f>
      </c>
      <c r="F75" s="30">
        <f>IF(63&gt;$E$8,"",INDEX('CONTROLES'!$AF$13:$AF$1012,MATCH(63,'CONTROLES'!$AH$13:$AH$1012,0)))</f>
      </c>
      <c r="G75" s="30">
        <f>IF(63&gt;$E$8,"",IF(INDEX('CONTROLES'!$AG$13:$AG$1012,MATCH(63,'CONTROLES'!$AH$13:$AH$1012,0))=2,"ROJO","ÁMBAR"))</f>
      </c>
    </row>
    <row r="76" ht="22" customHeight="1">
      <c r="B76" s="30">
        <f>IF(64&gt;$E$8,"",INDEX('CONTROLES'!$AB$13:$AB$1012,MATCH(64,'CONTROLES'!$AH$13:$AH$1012,0)))</f>
      </c>
      <c r="C76" s="30">
        <f>IF(64&gt;$E$8,"",INDEX('CONTROLES'!$AC$13:$AC$1012,MATCH(64,'CONTROLES'!$AH$13:$AH$1012,0)))</f>
      </c>
      <c r="D76" s="30">
        <f>IF(64&gt;$E$8,"",INDEX('CONTROLES'!$AD$13:$AD$1012,MATCH(64,'CONTROLES'!$AH$13:$AH$1012,0)))</f>
      </c>
      <c r="E76" s="30">
        <f>IF(64&gt;$E$8,"",INDEX('CONTROLES'!$AE$13:$AE$1012,MATCH(64,'CONTROLES'!$AH$13:$AH$1012,0)))</f>
      </c>
      <c r="F76" s="30">
        <f>IF(64&gt;$E$8,"",INDEX('CONTROLES'!$AF$13:$AF$1012,MATCH(64,'CONTROLES'!$AH$13:$AH$1012,0)))</f>
      </c>
      <c r="G76" s="30">
        <f>IF(64&gt;$E$8,"",IF(INDEX('CONTROLES'!$AG$13:$AG$1012,MATCH(64,'CONTROLES'!$AH$13:$AH$1012,0))=2,"ROJO","ÁMBAR"))</f>
      </c>
    </row>
    <row r="77" ht="22" customHeight="1">
      <c r="B77" s="30">
        <f>IF(65&gt;$E$8,"",INDEX('CONTROLES'!$AB$13:$AB$1012,MATCH(65,'CONTROLES'!$AH$13:$AH$1012,0)))</f>
      </c>
      <c r="C77" s="30">
        <f>IF(65&gt;$E$8,"",INDEX('CONTROLES'!$AC$13:$AC$1012,MATCH(65,'CONTROLES'!$AH$13:$AH$1012,0)))</f>
      </c>
      <c r="D77" s="30">
        <f>IF(65&gt;$E$8,"",INDEX('CONTROLES'!$AD$13:$AD$1012,MATCH(65,'CONTROLES'!$AH$13:$AH$1012,0)))</f>
      </c>
      <c r="E77" s="30">
        <f>IF(65&gt;$E$8,"",INDEX('CONTROLES'!$AE$13:$AE$1012,MATCH(65,'CONTROLES'!$AH$13:$AH$1012,0)))</f>
      </c>
      <c r="F77" s="30">
        <f>IF(65&gt;$E$8,"",INDEX('CONTROLES'!$AF$13:$AF$1012,MATCH(65,'CONTROLES'!$AH$13:$AH$1012,0)))</f>
      </c>
      <c r="G77" s="30">
        <f>IF(65&gt;$E$8,"",IF(INDEX('CONTROLES'!$AG$13:$AG$1012,MATCH(65,'CONTROLES'!$AH$13:$AH$1012,0))=2,"ROJO","ÁMBAR"))</f>
      </c>
    </row>
    <row r="78" ht="22" customHeight="1">
      <c r="B78" s="30">
        <f>IF(66&gt;$E$8,"",INDEX('CONTROLES'!$AB$13:$AB$1012,MATCH(66,'CONTROLES'!$AH$13:$AH$1012,0)))</f>
      </c>
      <c r="C78" s="30">
        <f>IF(66&gt;$E$8,"",INDEX('CONTROLES'!$AC$13:$AC$1012,MATCH(66,'CONTROLES'!$AH$13:$AH$1012,0)))</f>
      </c>
      <c r="D78" s="30">
        <f>IF(66&gt;$E$8,"",INDEX('CONTROLES'!$AD$13:$AD$1012,MATCH(66,'CONTROLES'!$AH$13:$AH$1012,0)))</f>
      </c>
      <c r="E78" s="30">
        <f>IF(66&gt;$E$8,"",INDEX('CONTROLES'!$AE$13:$AE$1012,MATCH(66,'CONTROLES'!$AH$13:$AH$1012,0)))</f>
      </c>
      <c r="F78" s="30">
        <f>IF(66&gt;$E$8,"",INDEX('CONTROLES'!$AF$13:$AF$1012,MATCH(66,'CONTROLES'!$AH$13:$AH$1012,0)))</f>
      </c>
      <c r="G78" s="30">
        <f>IF(66&gt;$E$8,"",IF(INDEX('CONTROLES'!$AG$13:$AG$1012,MATCH(66,'CONTROLES'!$AH$13:$AH$1012,0))=2,"ROJO","ÁMBAR"))</f>
      </c>
    </row>
    <row r="79" ht="22" customHeight="1">
      <c r="B79" s="30">
        <f>IF(67&gt;$E$8,"",INDEX('CONTROLES'!$AB$13:$AB$1012,MATCH(67,'CONTROLES'!$AH$13:$AH$1012,0)))</f>
      </c>
      <c r="C79" s="30">
        <f>IF(67&gt;$E$8,"",INDEX('CONTROLES'!$AC$13:$AC$1012,MATCH(67,'CONTROLES'!$AH$13:$AH$1012,0)))</f>
      </c>
      <c r="D79" s="30">
        <f>IF(67&gt;$E$8,"",INDEX('CONTROLES'!$AD$13:$AD$1012,MATCH(67,'CONTROLES'!$AH$13:$AH$1012,0)))</f>
      </c>
      <c r="E79" s="30">
        <f>IF(67&gt;$E$8,"",INDEX('CONTROLES'!$AE$13:$AE$1012,MATCH(67,'CONTROLES'!$AH$13:$AH$1012,0)))</f>
      </c>
      <c r="F79" s="30">
        <f>IF(67&gt;$E$8,"",INDEX('CONTROLES'!$AF$13:$AF$1012,MATCH(67,'CONTROLES'!$AH$13:$AH$1012,0)))</f>
      </c>
      <c r="G79" s="30">
        <f>IF(67&gt;$E$8,"",IF(INDEX('CONTROLES'!$AG$13:$AG$1012,MATCH(67,'CONTROLES'!$AH$13:$AH$1012,0))=2,"ROJO","ÁMBAR"))</f>
      </c>
    </row>
    <row r="80" ht="22" customHeight="1">
      <c r="B80" s="30">
        <f>IF(68&gt;$E$8,"",INDEX('CONTROLES'!$AB$13:$AB$1012,MATCH(68,'CONTROLES'!$AH$13:$AH$1012,0)))</f>
      </c>
      <c r="C80" s="30">
        <f>IF(68&gt;$E$8,"",INDEX('CONTROLES'!$AC$13:$AC$1012,MATCH(68,'CONTROLES'!$AH$13:$AH$1012,0)))</f>
      </c>
      <c r="D80" s="30">
        <f>IF(68&gt;$E$8,"",INDEX('CONTROLES'!$AD$13:$AD$1012,MATCH(68,'CONTROLES'!$AH$13:$AH$1012,0)))</f>
      </c>
      <c r="E80" s="30">
        <f>IF(68&gt;$E$8,"",INDEX('CONTROLES'!$AE$13:$AE$1012,MATCH(68,'CONTROLES'!$AH$13:$AH$1012,0)))</f>
      </c>
      <c r="F80" s="30">
        <f>IF(68&gt;$E$8,"",INDEX('CONTROLES'!$AF$13:$AF$1012,MATCH(68,'CONTROLES'!$AH$13:$AH$1012,0)))</f>
      </c>
      <c r="G80" s="30">
        <f>IF(68&gt;$E$8,"",IF(INDEX('CONTROLES'!$AG$13:$AG$1012,MATCH(68,'CONTROLES'!$AH$13:$AH$1012,0))=2,"ROJO","ÁMBAR"))</f>
      </c>
    </row>
    <row r="81" ht="22" customHeight="1">
      <c r="B81" s="30">
        <f>IF(69&gt;$E$8,"",INDEX('CONTROLES'!$AB$13:$AB$1012,MATCH(69,'CONTROLES'!$AH$13:$AH$1012,0)))</f>
      </c>
      <c r="C81" s="30">
        <f>IF(69&gt;$E$8,"",INDEX('CONTROLES'!$AC$13:$AC$1012,MATCH(69,'CONTROLES'!$AH$13:$AH$1012,0)))</f>
      </c>
      <c r="D81" s="30">
        <f>IF(69&gt;$E$8,"",INDEX('CONTROLES'!$AD$13:$AD$1012,MATCH(69,'CONTROLES'!$AH$13:$AH$1012,0)))</f>
      </c>
      <c r="E81" s="30">
        <f>IF(69&gt;$E$8,"",INDEX('CONTROLES'!$AE$13:$AE$1012,MATCH(69,'CONTROLES'!$AH$13:$AH$1012,0)))</f>
      </c>
      <c r="F81" s="30">
        <f>IF(69&gt;$E$8,"",INDEX('CONTROLES'!$AF$13:$AF$1012,MATCH(69,'CONTROLES'!$AH$13:$AH$1012,0)))</f>
      </c>
      <c r="G81" s="30">
        <f>IF(69&gt;$E$8,"",IF(INDEX('CONTROLES'!$AG$13:$AG$1012,MATCH(69,'CONTROLES'!$AH$13:$AH$1012,0))=2,"ROJO","ÁMBAR"))</f>
      </c>
    </row>
    <row r="82" ht="22" customHeight="1">
      <c r="B82" s="30">
        <f>IF(70&gt;$E$8,"",INDEX('CONTROLES'!$AB$13:$AB$1012,MATCH(70,'CONTROLES'!$AH$13:$AH$1012,0)))</f>
      </c>
      <c r="C82" s="30">
        <f>IF(70&gt;$E$8,"",INDEX('CONTROLES'!$AC$13:$AC$1012,MATCH(70,'CONTROLES'!$AH$13:$AH$1012,0)))</f>
      </c>
      <c r="D82" s="30">
        <f>IF(70&gt;$E$8,"",INDEX('CONTROLES'!$AD$13:$AD$1012,MATCH(70,'CONTROLES'!$AH$13:$AH$1012,0)))</f>
      </c>
      <c r="E82" s="30">
        <f>IF(70&gt;$E$8,"",INDEX('CONTROLES'!$AE$13:$AE$1012,MATCH(70,'CONTROLES'!$AH$13:$AH$1012,0)))</f>
      </c>
      <c r="F82" s="30">
        <f>IF(70&gt;$E$8,"",INDEX('CONTROLES'!$AF$13:$AF$1012,MATCH(70,'CONTROLES'!$AH$13:$AH$1012,0)))</f>
      </c>
      <c r="G82" s="30">
        <f>IF(70&gt;$E$8,"",IF(INDEX('CONTROLES'!$AG$13:$AG$1012,MATCH(70,'CONTROLES'!$AH$13:$AH$1012,0))=2,"ROJO","ÁMBAR"))</f>
      </c>
    </row>
    <row r="83" ht="22" customHeight="1">
      <c r="B83" s="30">
        <f>IF(71&gt;$E$8,"",INDEX('CONTROLES'!$AB$13:$AB$1012,MATCH(71,'CONTROLES'!$AH$13:$AH$1012,0)))</f>
      </c>
      <c r="C83" s="30">
        <f>IF(71&gt;$E$8,"",INDEX('CONTROLES'!$AC$13:$AC$1012,MATCH(71,'CONTROLES'!$AH$13:$AH$1012,0)))</f>
      </c>
      <c r="D83" s="30">
        <f>IF(71&gt;$E$8,"",INDEX('CONTROLES'!$AD$13:$AD$1012,MATCH(71,'CONTROLES'!$AH$13:$AH$1012,0)))</f>
      </c>
      <c r="E83" s="30">
        <f>IF(71&gt;$E$8,"",INDEX('CONTROLES'!$AE$13:$AE$1012,MATCH(71,'CONTROLES'!$AH$13:$AH$1012,0)))</f>
      </c>
      <c r="F83" s="30">
        <f>IF(71&gt;$E$8,"",INDEX('CONTROLES'!$AF$13:$AF$1012,MATCH(71,'CONTROLES'!$AH$13:$AH$1012,0)))</f>
      </c>
      <c r="G83" s="30">
        <f>IF(71&gt;$E$8,"",IF(INDEX('CONTROLES'!$AG$13:$AG$1012,MATCH(71,'CONTROLES'!$AH$13:$AH$1012,0))=2,"ROJO","ÁMBAR"))</f>
      </c>
    </row>
    <row r="84" ht="22" customHeight="1">
      <c r="B84" s="30">
        <f>IF(72&gt;$E$8,"",INDEX('CONTROLES'!$AB$13:$AB$1012,MATCH(72,'CONTROLES'!$AH$13:$AH$1012,0)))</f>
      </c>
      <c r="C84" s="30">
        <f>IF(72&gt;$E$8,"",INDEX('CONTROLES'!$AC$13:$AC$1012,MATCH(72,'CONTROLES'!$AH$13:$AH$1012,0)))</f>
      </c>
      <c r="D84" s="30">
        <f>IF(72&gt;$E$8,"",INDEX('CONTROLES'!$AD$13:$AD$1012,MATCH(72,'CONTROLES'!$AH$13:$AH$1012,0)))</f>
      </c>
      <c r="E84" s="30">
        <f>IF(72&gt;$E$8,"",INDEX('CONTROLES'!$AE$13:$AE$1012,MATCH(72,'CONTROLES'!$AH$13:$AH$1012,0)))</f>
      </c>
      <c r="F84" s="30">
        <f>IF(72&gt;$E$8,"",INDEX('CONTROLES'!$AF$13:$AF$1012,MATCH(72,'CONTROLES'!$AH$13:$AH$1012,0)))</f>
      </c>
      <c r="G84" s="30">
        <f>IF(72&gt;$E$8,"",IF(INDEX('CONTROLES'!$AG$13:$AG$1012,MATCH(72,'CONTROLES'!$AH$13:$AH$1012,0))=2,"ROJO","ÁMBAR"))</f>
      </c>
    </row>
    <row r="85" ht="22" customHeight="1">
      <c r="B85" s="30">
        <f>IF(73&gt;$E$8,"",INDEX('CONTROLES'!$AB$13:$AB$1012,MATCH(73,'CONTROLES'!$AH$13:$AH$1012,0)))</f>
      </c>
      <c r="C85" s="30">
        <f>IF(73&gt;$E$8,"",INDEX('CONTROLES'!$AC$13:$AC$1012,MATCH(73,'CONTROLES'!$AH$13:$AH$1012,0)))</f>
      </c>
      <c r="D85" s="30">
        <f>IF(73&gt;$E$8,"",INDEX('CONTROLES'!$AD$13:$AD$1012,MATCH(73,'CONTROLES'!$AH$13:$AH$1012,0)))</f>
      </c>
      <c r="E85" s="30">
        <f>IF(73&gt;$E$8,"",INDEX('CONTROLES'!$AE$13:$AE$1012,MATCH(73,'CONTROLES'!$AH$13:$AH$1012,0)))</f>
      </c>
      <c r="F85" s="30">
        <f>IF(73&gt;$E$8,"",INDEX('CONTROLES'!$AF$13:$AF$1012,MATCH(73,'CONTROLES'!$AH$13:$AH$1012,0)))</f>
      </c>
      <c r="G85" s="30">
        <f>IF(73&gt;$E$8,"",IF(INDEX('CONTROLES'!$AG$13:$AG$1012,MATCH(73,'CONTROLES'!$AH$13:$AH$1012,0))=2,"ROJO","ÁMBAR"))</f>
      </c>
    </row>
    <row r="86" ht="22" customHeight="1">
      <c r="B86" s="30">
        <f>IF(74&gt;$E$8,"",INDEX('CONTROLES'!$AB$13:$AB$1012,MATCH(74,'CONTROLES'!$AH$13:$AH$1012,0)))</f>
      </c>
      <c r="C86" s="30">
        <f>IF(74&gt;$E$8,"",INDEX('CONTROLES'!$AC$13:$AC$1012,MATCH(74,'CONTROLES'!$AH$13:$AH$1012,0)))</f>
      </c>
      <c r="D86" s="30">
        <f>IF(74&gt;$E$8,"",INDEX('CONTROLES'!$AD$13:$AD$1012,MATCH(74,'CONTROLES'!$AH$13:$AH$1012,0)))</f>
      </c>
      <c r="E86" s="30">
        <f>IF(74&gt;$E$8,"",INDEX('CONTROLES'!$AE$13:$AE$1012,MATCH(74,'CONTROLES'!$AH$13:$AH$1012,0)))</f>
      </c>
      <c r="F86" s="30">
        <f>IF(74&gt;$E$8,"",INDEX('CONTROLES'!$AF$13:$AF$1012,MATCH(74,'CONTROLES'!$AH$13:$AH$1012,0)))</f>
      </c>
      <c r="G86" s="30">
        <f>IF(74&gt;$E$8,"",IF(INDEX('CONTROLES'!$AG$13:$AG$1012,MATCH(74,'CONTROLES'!$AH$13:$AH$1012,0))=2,"ROJO","ÁMBAR"))</f>
      </c>
    </row>
    <row r="87" ht="22" customHeight="1">
      <c r="B87" s="30">
        <f>IF(75&gt;$E$8,"",INDEX('CONTROLES'!$AB$13:$AB$1012,MATCH(75,'CONTROLES'!$AH$13:$AH$1012,0)))</f>
      </c>
      <c r="C87" s="30">
        <f>IF(75&gt;$E$8,"",INDEX('CONTROLES'!$AC$13:$AC$1012,MATCH(75,'CONTROLES'!$AH$13:$AH$1012,0)))</f>
      </c>
      <c r="D87" s="30">
        <f>IF(75&gt;$E$8,"",INDEX('CONTROLES'!$AD$13:$AD$1012,MATCH(75,'CONTROLES'!$AH$13:$AH$1012,0)))</f>
      </c>
      <c r="E87" s="30">
        <f>IF(75&gt;$E$8,"",INDEX('CONTROLES'!$AE$13:$AE$1012,MATCH(75,'CONTROLES'!$AH$13:$AH$1012,0)))</f>
      </c>
      <c r="F87" s="30">
        <f>IF(75&gt;$E$8,"",INDEX('CONTROLES'!$AF$13:$AF$1012,MATCH(75,'CONTROLES'!$AH$13:$AH$1012,0)))</f>
      </c>
      <c r="G87" s="30">
        <f>IF(75&gt;$E$8,"",IF(INDEX('CONTROLES'!$AG$13:$AG$1012,MATCH(75,'CONTROLES'!$AH$13:$AH$1012,0))=2,"ROJO","ÁMBAR"))</f>
      </c>
    </row>
    <row r="88" ht="22" customHeight="1">
      <c r="B88" s="30">
        <f>IF(76&gt;$E$8,"",INDEX('CONTROLES'!$AB$13:$AB$1012,MATCH(76,'CONTROLES'!$AH$13:$AH$1012,0)))</f>
      </c>
      <c r="C88" s="30">
        <f>IF(76&gt;$E$8,"",INDEX('CONTROLES'!$AC$13:$AC$1012,MATCH(76,'CONTROLES'!$AH$13:$AH$1012,0)))</f>
      </c>
      <c r="D88" s="30">
        <f>IF(76&gt;$E$8,"",INDEX('CONTROLES'!$AD$13:$AD$1012,MATCH(76,'CONTROLES'!$AH$13:$AH$1012,0)))</f>
      </c>
      <c r="E88" s="30">
        <f>IF(76&gt;$E$8,"",INDEX('CONTROLES'!$AE$13:$AE$1012,MATCH(76,'CONTROLES'!$AH$13:$AH$1012,0)))</f>
      </c>
      <c r="F88" s="30">
        <f>IF(76&gt;$E$8,"",INDEX('CONTROLES'!$AF$13:$AF$1012,MATCH(76,'CONTROLES'!$AH$13:$AH$1012,0)))</f>
      </c>
      <c r="G88" s="30">
        <f>IF(76&gt;$E$8,"",IF(INDEX('CONTROLES'!$AG$13:$AG$1012,MATCH(76,'CONTROLES'!$AH$13:$AH$1012,0))=2,"ROJO","ÁMBAR"))</f>
      </c>
    </row>
    <row r="89" ht="22" customHeight="1">
      <c r="B89" s="30">
        <f>IF(77&gt;$E$8,"",INDEX('CONTROLES'!$AB$13:$AB$1012,MATCH(77,'CONTROLES'!$AH$13:$AH$1012,0)))</f>
      </c>
      <c r="C89" s="30">
        <f>IF(77&gt;$E$8,"",INDEX('CONTROLES'!$AC$13:$AC$1012,MATCH(77,'CONTROLES'!$AH$13:$AH$1012,0)))</f>
      </c>
      <c r="D89" s="30">
        <f>IF(77&gt;$E$8,"",INDEX('CONTROLES'!$AD$13:$AD$1012,MATCH(77,'CONTROLES'!$AH$13:$AH$1012,0)))</f>
      </c>
      <c r="E89" s="30">
        <f>IF(77&gt;$E$8,"",INDEX('CONTROLES'!$AE$13:$AE$1012,MATCH(77,'CONTROLES'!$AH$13:$AH$1012,0)))</f>
      </c>
      <c r="F89" s="30">
        <f>IF(77&gt;$E$8,"",INDEX('CONTROLES'!$AF$13:$AF$1012,MATCH(77,'CONTROLES'!$AH$13:$AH$1012,0)))</f>
      </c>
      <c r="G89" s="30">
        <f>IF(77&gt;$E$8,"",IF(INDEX('CONTROLES'!$AG$13:$AG$1012,MATCH(77,'CONTROLES'!$AH$13:$AH$1012,0))=2,"ROJO","ÁMBAR"))</f>
      </c>
    </row>
    <row r="90" ht="22" customHeight="1">
      <c r="B90" s="30">
        <f>IF(78&gt;$E$8,"",INDEX('CONTROLES'!$AB$13:$AB$1012,MATCH(78,'CONTROLES'!$AH$13:$AH$1012,0)))</f>
      </c>
      <c r="C90" s="30">
        <f>IF(78&gt;$E$8,"",INDEX('CONTROLES'!$AC$13:$AC$1012,MATCH(78,'CONTROLES'!$AH$13:$AH$1012,0)))</f>
      </c>
      <c r="D90" s="30">
        <f>IF(78&gt;$E$8,"",INDEX('CONTROLES'!$AD$13:$AD$1012,MATCH(78,'CONTROLES'!$AH$13:$AH$1012,0)))</f>
      </c>
      <c r="E90" s="30">
        <f>IF(78&gt;$E$8,"",INDEX('CONTROLES'!$AE$13:$AE$1012,MATCH(78,'CONTROLES'!$AH$13:$AH$1012,0)))</f>
      </c>
      <c r="F90" s="30">
        <f>IF(78&gt;$E$8,"",INDEX('CONTROLES'!$AF$13:$AF$1012,MATCH(78,'CONTROLES'!$AH$13:$AH$1012,0)))</f>
      </c>
      <c r="G90" s="30">
        <f>IF(78&gt;$E$8,"",IF(INDEX('CONTROLES'!$AG$13:$AG$1012,MATCH(78,'CONTROLES'!$AH$13:$AH$1012,0))=2,"ROJO","ÁMBAR"))</f>
      </c>
    </row>
    <row r="91" ht="22" customHeight="1">
      <c r="B91" s="30">
        <f>IF(79&gt;$E$8,"",INDEX('CONTROLES'!$AB$13:$AB$1012,MATCH(79,'CONTROLES'!$AH$13:$AH$1012,0)))</f>
      </c>
      <c r="C91" s="30">
        <f>IF(79&gt;$E$8,"",INDEX('CONTROLES'!$AC$13:$AC$1012,MATCH(79,'CONTROLES'!$AH$13:$AH$1012,0)))</f>
      </c>
      <c r="D91" s="30">
        <f>IF(79&gt;$E$8,"",INDEX('CONTROLES'!$AD$13:$AD$1012,MATCH(79,'CONTROLES'!$AH$13:$AH$1012,0)))</f>
      </c>
      <c r="E91" s="30">
        <f>IF(79&gt;$E$8,"",INDEX('CONTROLES'!$AE$13:$AE$1012,MATCH(79,'CONTROLES'!$AH$13:$AH$1012,0)))</f>
      </c>
      <c r="F91" s="30">
        <f>IF(79&gt;$E$8,"",INDEX('CONTROLES'!$AF$13:$AF$1012,MATCH(79,'CONTROLES'!$AH$13:$AH$1012,0)))</f>
      </c>
      <c r="G91" s="30">
        <f>IF(79&gt;$E$8,"",IF(INDEX('CONTROLES'!$AG$13:$AG$1012,MATCH(79,'CONTROLES'!$AH$13:$AH$1012,0))=2,"ROJO","ÁMBAR"))</f>
      </c>
    </row>
    <row r="92" ht="22" customHeight="1">
      <c r="B92" s="30">
        <f>IF(80&gt;$E$8,"",INDEX('CONTROLES'!$AB$13:$AB$1012,MATCH(80,'CONTROLES'!$AH$13:$AH$1012,0)))</f>
      </c>
      <c r="C92" s="30">
        <f>IF(80&gt;$E$8,"",INDEX('CONTROLES'!$AC$13:$AC$1012,MATCH(80,'CONTROLES'!$AH$13:$AH$1012,0)))</f>
      </c>
      <c r="D92" s="30">
        <f>IF(80&gt;$E$8,"",INDEX('CONTROLES'!$AD$13:$AD$1012,MATCH(80,'CONTROLES'!$AH$13:$AH$1012,0)))</f>
      </c>
      <c r="E92" s="30">
        <f>IF(80&gt;$E$8,"",INDEX('CONTROLES'!$AE$13:$AE$1012,MATCH(80,'CONTROLES'!$AH$13:$AH$1012,0)))</f>
      </c>
      <c r="F92" s="30">
        <f>IF(80&gt;$E$8,"",INDEX('CONTROLES'!$AF$13:$AF$1012,MATCH(80,'CONTROLES'!$AH$13:$AH$1012,0)))</f>
      </c>
      <c r="G92" s="30">
        <f>IF(80&gt;$E$8,"",IF(INDEX('CONTROLES'!$AG$13:$AG$1012,MATCH(80,'CONTROLES'!$AH$13:$AH$1012,0))=2,"ROJO","ÁMBAR"))</f>
      </c>
    </row>
    <row r="93" ht="22" customHeight="1">
      <c r="B93" s="30">
        <f>IF(81&gt;$E$8,"",INDEX('CONTROLES'!$AB$13:$AB$1012,MATCH(81,'CONTROLES'!$AH$13:$AH$1012,0)))</f>
      </c>
      <c r="C93" s="30">
        <f>IF(81&gt;$E$8,"",INDEX('CONTROLES'!$AC$13:$AC$1012,MATCH(81,'CONTROLES'!$AH$13:$AH$1012,0)))</f>
      </c>
      <c r="D93" s="30">
        <f>IF(81&gt;$E$8,"",INDEX('CONTROLES'!$AD$13:$AD$1012,MATCH(81,'CONTROLES'!$AH$13:$AH$1012,0)))</f>
      </c>
      <c r="E93" s="30">
        <f>IF(81&gt;$E$8,"",INDEX('CONTROLES'!$AE$13:$AE$1012,MATCH(81,'CONTROLES'!$AH$13:$AH$1012,0)))</f>
      </c>
      <c r="F93" s="30">
        <f>IF(81&gt;$E$8,"",INDEX('CONTROLES'!$AF$13:$AF$1012,MATCH(81,'CONTROLES'!$AH$13:$AH$1012,0)))</f>
      </c>
      <c r="G93" s="30">
        <f>IF(81&gt;$E$8,"",IF(INDEX('CONTROLES'!$AG$13:$AG$1012,MATCH(81,'CONTROLES'!$AH$13:$AH$1012,0))=2,"ROJO","ÁMBAR"))</f>
      </c>
    </row>
    <row r="94" ht="22" customHeight="1">
      <c r="B94" s="30">
        <f>IF(82&gt;$E$8,"",INDEX('CONTROLES'!$AB$13:$AB$1012,MATCH(82,'CONTROLES'!$AH$13:$AH$1012,0)))</f>
      </c>
      <c r="C94" s="30">
        <f>IF(82&gt;$E$8,"",INDEX('CONTROLES'!$AC$13:$AC$1012,MATCH(82,'CONTROLES'!$AH$13:$AH$1012,0)))</f>
      </c>
      <c r="D94" s="30">
        <f>IF(82&gt;$E$8,"",INDEX('CONTROLES'!$AD$13:$AD$1012,MATCH(82,'CONTROLES'!$AH$13:$AH$1012,0)))</f>
      </c>
      <c r="E94" s="30">
        <f>IF(82&gt;$E$8,"",INDEX('CONTROLES'!$AE$13:$AE$1012,MATCH(82,'CONTROLES'!$AH$13:$AH$1012,0)))</f>
      </c>
      <c r="F94" s="30">
        <f>IF(82&gt;$E$8,"",INDEX('CONTROLES'!$AF$13:$AF$1012,MATCH(82,'CONTROLES'!$AH$13:$AH$1012,0)))</f>
      </c>
      <c r="G94" s="30">
        <f>IF(82&gt;$E$8,"",IF(INDEX('CONTROLES'!$AG$13:$AG$1012,MATCH(82,'CONTROLES'!$AH$13:$AH$1012,0))=2,"ROJO","ÁMBAR"))</f>
      </c>
    </row>
    <row r="95" ht="22" customHeight="1">
      <c r="B95" s="30">
        <f>IF(83&gt;$E$8,"",INDEX('CONTROLES'!$AB$13:$AB$1012,MATCH(83,'CONTROLES'!$AH$13:$AH$1012,0)))</f>
      </c>
      <c r="C95" s="30">
        <f>IF(83&gt;$E$8,"",INDEX('CONTROLES'!$AC$13:$AC$1012,MATCH(83,'CONTROLES'!$AH$13:$AH$1012,0)))</f>
      </c>
      <c r="D95" s="30">
        <f>IF(83&gt;$E$8,"",INDEX('CONTROLES'!$AD$13:$AD$1012,MATCH(83,'CONTROLES'!$AH$13:$AH$1012,0)))</f>
      </c>
      <c r="E95" s="30">
        <f>IF(83&gt;$E$8,"",INDEX('CONTROLES'!$AE$13:$AE$1012,MATCH(83,'CONTROLES'!$AH$13:$AH$1012,0)))</f>
      </c>
      <c r="F95" s="30">
        <f>IF(83&gt;$E$8,"",INDEX('CONTROLES'!$AF$13:$AF$1012,MATCH(83,'CONTROLES'!$AH$13:$AH$1012,0)))</f>
      </c>
      <c r="G95" s="30">
        <f>IF(83&gt;$E$8,"",IF(INDEX('CONTROLES'!$AG$13:$AG$1012,MATCH(83,'CONTROLES'!$AH$13:$AH$1012,0))=2,"ROJO","ÁMBAR"))</f>
      </c>
    </row>
    <row r="96" ht="22" customHeight="1">
      <c r="B96" s="30">
        <f>IF(84&gt;$E$8,"",INDEX('CONTROLES'!$AB$13:$AB$1012,MATCH(84,'CONTROLES'!$AH$13:$AH$1012,0)))</f>
      </c>
      <c r="C96" s="30">
        <f>IF(84&gt;$E$8,"",INDEX('CONTROLES'!$AC$13:$AC$1012,MATCH(84,'CONTROLES'!$AH$13:$AH$1012,0)))</f>
      </c>
      <c r="D96" s="30">
        <f>IF(84&gt;$E$8,"",INDEX('CONTROLES'!$AD$13:$AD$1012,MATCH(84,'CONTROLES'!$AH$13:$AH$1012,0)))</f>
      </c>
      <c r="E96" s="30">
        <f>IF(84&gt;$E$8,"",INDEX('CONTROLES'!$AE$13:$AE$1012,MATCH(84,'CONTROLES'!$AH$13:$AH$1012,0)))</f>
      </c>
      <c r="F96" s="30">
        <f>IF(84&gt;$E$8,"",INDEX('CONTROLES'!$AF$13:$AF$1012,MATCH(84,'CONTROLES'!$AH$13:$AH$1012,0)))</f>
      </c>
      <c r="G96" s="30">
        <f>IF(84&gt;$E$8,"",IF(INDEX('CONTROLES'!$AG$13:$AG$1012,MATCH(84,'CONTROLES'!$AH$13:$AH$1012,0))=2,"ROJO","ÁMBAR"))</f>
      </c>
    </row>
    <row r="97" ht="22" customHeight="1">
      <c r="B97" s="30">
        <f>IF(85&gt;$E$8,"",INDEX('CONTROLES'!$AB$13:$AB$1012,MATCH(85,'CONTROLES'!$AH$13:$AH$1012,0)))</f>
      </c>
      <c r="C97" s="30">
        <f>IF(85&gt;$E$8,"",INDEX('CONTROLES'!$AC$13:$AC$1012,MATCH(85,'CONTROLES'!$AH$13:$AH$1012,0)))</f>
      </c>
      <c r="D97" s="30">
        <f>IF(85&gt;$E$8,"",INDEX('CONTROLES'!$AD$13:$AD$1012,MATCH(85,'CONTROLES'!$AH$13:$AH$1012,0)))</f>
      </c>
      <c r="E97" s="30">
        <f>IF(85&gt;$E$8,"",INDEX('CONTROLES'!$AE$13:$AE$1012,MATCH(85,'CONTROLES'!$AH$13:$AH$1012,0)))</f>
      </c>
      <c r="F97" s="30">
        <f>IF(85&gt;$E$8,"",INDEX('CONTROLES'!$AF$13:$AF$1012,MATCH(85,'CONTROLES'!$AH$13:$AH$1012,0)))</f>
      </c>
      <c r="G97" s="30">
        <f>IF(85&gt;$E$8,"",IF(INDEX('CONTROLES'!$AG$13:$AG$1012,MATCH(85,'CONTROLES'!$AH$13:$AH$1012,0))=2,"ROJO","ÁMBAR"))</f>
      </c>
    </row>
    <row r="98" ht="22" customHeight="1">
      <c r="B98" s="30">
        <f>IF(86&gt;$E$8,"",INDEX('CONTROLES'!$AB$13:$AB$1012,MATCH(86,'CONTROLES'!$AH$13:$AH$1012,0)))</f>
      </c>
      <c r="C98" s="30">
        <f>IF(86&gt;$E$8,"",INDEX('CONTROLES'!$AC$13:$AC$1012,MATCH(86,'CONTROLES'!$AH$13:$AH$1012,0)))</f>
      </c>
      <c r="D98" s="30">
        <f>IF(86&gt;$E$8,"",INDEX('CONTROLES'!$AD$13:$AD$1012,MATCH(86,'CONTROLES'!$AH$13:$AH$1012,0)))</f>
      </c>
      <c r="E98" s="30">
        <f>IF(86&gt;$E$8,"",INDEX('CONTROLES'!$AE$13:$AE$1012,MATCH(86,'CONTROLES'!$AH$13:$AH$1012,0)))</f>
      </c>
      <c r="F98" s="30">
        <f>IF(86&gt;$E$8,"",INDEX('CONTROLES'!$AF$13:$AF$1012,MATCH(86,'CONTROLES'!$AH$13:$AH$1012,0)))</f>
      </c>
      <c r="G98" s="30">
        <f>IF(86&gt;$E$8,"",IF(INDEX('CONTROLES'!$AG$13:$AG$1012,MATCH(86,'CONTROLES'!$AH$13:$AH$1012,0))=2,"ROJO","ÁMBAR"))</f>
      </c>
    </row>
    <row r="99" ht="22" customHeight="1">
      <c r="B99" s="30">
        <f>IF(87&gt;$E$8,"",INDEX('CONTROLES'!$AB$13:$AB$1012,MATCH(87,'CONTROLES'!$AH$13:$AH$1012,0)))</f>
      </c>
      <c r="C99" s="30">
        <f>IF(87&gt;$E$8,"",INDEX('CONTROLES'!$AC$13:$AC$1012,MATCH(87,'CONTROLES'!$AH$13:$AH$1012,0)))</f>
      </c>
      <c r="D99" s="30">
        <f>IF(87&gt;$E$8,"",INDEX('CONTROLES'!$AD$13:$AD$1012,MATCH(87,'CONTROLES'!$AH$13:$AH$1012,0)))</f>
      </c>
      <c r="E99" s="30">
        <f>IF(87&gt;$E$8,"",INDEX('CONTROLES'!$AE$13:$AE$1012,MATCH(87,'CONTROLES'!$AH$13:$AH$1012,0)))</f>
      </c>
      <c r="F99" s="30">
        <f>IF(87&gt;$E$8,"",INDEX('CONTROLES'!$AF$13:$AF$1012,MATCH(87,'CONTROLES'!$AH$13:$AH$1012,0)))</f>
      </c>
      <c r="G99" s="30">
        <f>IF(87&gt;$E$8,"",IF(INDEX('CONTROLES'!$AG$13:$AG$1012,MATCH(87,'CONTROLES'!$AH$13:$AH$1012,0))=2,"ROJO","ÁMBAR"))</f>
      </c>
    </row>
    <row r="100" ht="22" customHeight="1">
      <c r="B100" s="30">
        <f>IF(88&gt;$E$8,"",INDEX('CONTROLES'!$AB$13:$AB$1012,MATCH(88,'CONTROLES'!$AH$13:$AH$1012,0)))</f>
      </c>
      <c r="C100" s="30">
        <f>IF(88&gt;$E$8,"",INDEX('CONTROLES'!$AC$13:$AC$1012,MATCH(88,'CONTROLES'!$AH$13:$AH$1012,0)))</f>
      </c>
      <c r="D100" s="30">
        <f>IF(88&gt;$E$8,"",INDEX('CONTROLES'!$AD$13:$AD$1012,MATCH(88,'CONTROLES'!$AH$13:$AH$1012,0)))</f>
      </c>
      <c r="E100" s="30">
        <f>IF(88&gt;$E$8,"",INDEX('CONTROLES'!$AE$13:$AE$1012,MATCH(88,'CONTROLES'!$AH$13:$AH$1012,0)))</f>
      </c>
      <c r="F100" s="30">
        <f>IF(88&gt;$E$8,"",INDEX('CONTROLES'!$AF$13:$AF$1012,MATCH(88,'CONTROLES'!$AH$13:$AH$1012,0)))</f>
      </c>
      <c r="G100" s="30">
        <f>IF(88&gt;$E$8,"",IF(INDEX('CONTROLES'!$AG$13:$AG$1012,MATCH(88,'CONTROLES'!$AH$13:$AH$1012,0))=2,"ROJO","ÁMBAR"))</f>
      </c>
    </row>
    <row r="101" ht="22" customHeight="1">
      <c r="B101" s="30">
        <f>IF(89&gt;$E$8,"",INDEX('CONTROLES'!$AB$13:$AB$1012,MATCH(89,'CONTROLES'!$AH$13:$AH$1012,0)))</f>
      </c>
      <c r="C101" s="30">
        <f>IF(89&gt;$E$8,"",INDEX('CONTROLES'!$AC$13:$AC$1012,MATCH(89,'CONTROLES'!$AH$13:$AH$1012,0)))</f>
      </c>
      <c r="D101" s="30">
        <f>IF(89&gt;$E$8,"",INDEX('CONTROLES'!$AD$13:$AD$1012,MATCH(89,'CONTROLES'!$AH$13:$AH$1012,0)))</f>
      </c>
      <c r="E101" s="30">
        <f>IF(89&gt;$E$8,"",INDEX('CONTROLES'!$AE$13:$AE$1012,MATCH(89,'CONTROLES'!$AH$13:$AH$1012,0)))</f>
      </c>
      <c r="F101" s="30">
        <f>IF(89&gt;$E$8,"",INDEX('CONTROLES'!$AF$13:$AF$1012,MATCH(89,'CONTROLES'!$AH$13:$AH$1012,0)))</f>
      </c>
      <c r="G101" s="30">
        <f>IF(89&gt;$E$8,"",IF(INDEX('CONTROLES'!$AG$13:$AG$1012,MATCH(89,'CONTROLES'!$AH$13:$AH$1012,0))=2,"ROJO","ÁMBAR"))</f>
      </c>
    </row>
    <row r="102" ht="22" customHeight="1">
      <c r="B102" s="30">
        <f>IF(90&gt;$E$8,"",INDEX('CONTROLES'!$AB$13:$AB$1012,MATCH(90,'CONTROLES'!$AH$13:$AH$1012,0)))</f>
      </c>
      <c r="C102" s="30">
        <f>IF(90&gt;$E$8,"",INDEX('CONTROLES'!$AC$13:$AC$1012,MATCH(90,'CONTROLES'!$AH$13:$AH$1012,0)))</f>
      </c>
      <c r="D102" s="30">
        <f>IF(90&gt;$E$8,"",INDEX('CONTROLES'!$AD$13:$AD$1012,MATCH(90,'CONTROLES'!$AH$13:$AH$1012,0)))</f>
      </c>
      <c r="E102" s="30">
        <f>IF(90&gt;$E$8,"",INDEX('CONTROLES'!$AE$13:$AE$1012,MATCH(90,'CONTROLES'!$AH$13:$AH$1012,0)))</f>
      </c>
      <c r="F102" s="30">
        <f>IF(90&gt;$E$8,"",INDEX('CONTROLES'!$AF$13:$AF$1012,MATCH(90,'CONTROLES'!$AH$13:$AH$1012,0)))</f>
      </c>
      <c r="G102" s="30">
        <f>IF(90&gt;$E$8,"",IF(INDEX('CONTROLES'!$AG$13:$AG$1012,MATCH(90,'CONTROLES'!$AH$13:$AH$1012,0))=2,"ROJO","ÁMBAR"))</f>
      </c>
    </row>
    <row r="103" ht="22" customHeight="1">
      <c r="B103" s="30">
        <f>IF(91&gt;$E$8,"",INDEX('CONTROLES'!$AB$13:$AB$1012,MATCH(91,'CONTROLES'!$AH$13:$AH$1012,0)))</f>
      </c>
      <c r="C103" s="30">
        <f>IF(91&gt;$E$8,"",INDEX('CONTROLES'!$AC$13:$AC$1012,MATCH(91,'CONTROLES'!$AH$13:$AH$1012,0)))</f>
      </c>
      <c r="D103" s="30">
        <f>IF(91&gt;$E$8,"",INDEX('CONTROLES'!$AD$13:$AD$1012,MATCH(91,'CONTROLES'!$AH$13:$AH$1012,0)))</f>
      </c>
      <c r="E103" s="30">
        <f>IF(91&gt;$E$8,"",INDEX('CONTROLES'!$AE$13:$AE$1012,MATCH(91,'CONTROLES'!$AH$13:$AH$1012,0)))</f>
      </c>
      <c r="F103" s="30">
        <f>IF(91&gt;$E$8,"",INDEX('CONTROLES'!$AF$13:$AF$1012,MATCH(91,'CONTROLES'!$AH$13:$AH$1012,0)))</f>
      </c>
      <c r="G103" s="30">
        <f>IF(91&gt;$E$8,"",IF(INDEX('CONTROLES'!$AG$13:$AG$1012,MATCH(91,'CONTROLES'!$AH$13:$AH$1012,0))=2,"ROJO","ÁMBAR"))</f>
      </c>
    </row>
    <row r="104" ht="22" customHeight="1">
      <c r="B104" s="30">
        <f>IF(92&gt;$E$8,"",INDEX('CONTROLES'!$AB$13:$AB$1012,MATCH(92,'CONTROLES'!$AH$13:$AH$1012,0)))</f>
      </c>
      <c r="C104" s="30">
        <f>IF(92&gt;$E$8,"",INDEX('CONTROLES'!$AC$13:$AC$1012,MATCH(92,'CONTROLES'!$AH$13:$AH$1012,0)))</f>
      </c>
      <c r="D104" s="30">
        <f>IF(92&gt;$E$8,"",INDEX('CONTROLES'!$AD$13:$AD$1012,MATCH(92,'CONTROLES'!$AH$13:$AH$1012,0)))</f>
      </c>
      <c r="E104" s="30">
        <f>IF(92&gt;$E$8,"",INDEX('CONTROLES'!$AE$13:$AE$1012,MATCH(92,'CONTROLES'!$AH$13:$AH$1012,0)))</f>
      </c>
      <c r="F104" s="30">
        <f>IF(92&gt;$E$8,"",INDEX('CONTROLES'!$AF$13:$AF$1012,MATCH(92,'CONTROLES'!$AH$13:$AH$1012,0)))</f>
      </c>
      <c r="G104" s="30">
        <f>IF(92&gt;$E$8,"",IF(INDEX('CONTROLES'!$AG$13:$AG$1012,MATCH(92,'CONTROLES'!$AH$13:$AH$1012,0))=2,"ROJO","ÁMBAR"))</f>
      </c>
    </row>
    <row r="105" ht="22" customHeight="1">
      <c r="B105" s="30">
        <f>IF(93&gt;$E$8,"",INDEX('CONTROLES'!$AB$13:$AB$1012,MATCH(93,'CONTROLES'!$AH$13:$AH$1012,0)))</f>
      </c>
      <c r="C105" s="30">
        <f>IF(93&gt;$E$8,"",INDEX('CONTROLES'!$AC$13:$AC$1012,MATCH(93,'CONTROLES'!$AH$13:$AH$1012,0)))</f>
      </c>
      <c r="D105" s="30">
        <f>IF(93&gt;$E$8,"",INDEX('CONTROLES'!$AD$13:$AD$1012,MATCH(93,'CONTROLES'!$AH$13:$AH$1012,0)))</f>
      </c>
      <c r="E105" s="30">
        <f>IF(93&gt;$E$8,"",INDEX('CONTROLES'!$AE$13:$AE$1012,MATCH(93,'CONTROLES'!$AH$13:$AH$1012,0)))</f>
      </c>
      <c r="F105" s="30">
        <f>IF(93&gt;$E$8,"",INDEX('CONTROLES'!$AF$13:$AF$1012,MATCH(93,'CONTROLES'!$AH$13:$AH$1012,0)))</f>
      </c>
      <c r="G105" s="30">
        <f>IF(93&gt;$E$8,"",IF(INDEX('CONTROLES'!$AG$13:$AG$1012,MATCH(93,'CONTROLES'!$AH$13:$AH$1012,0))=2,"ROJO","ÁMBAR"))</f>
      </c>
    </row>
    <row r="106" ht="22" customHeight="1">
      <c r="B106" s="30">
        <f>IF(94&gt;$E$8,"",INDEX('CONTROLES'!$AB$13:$AB$1012,MATCH(94,'CONTROLES'!$AH$13:$AH$1012,0)))</f>
      </c>
      <c r="C106" s="30">
        <f>IF(94&gt;$E$8,"",INDEX('CONTROLES'!$AC$13:$AC$1012,MATCH(94,'CONTROLES'!$AH$13:$AH$1012,0)))</f>
      </c>
      <c r="D106" s="30">
        <f>IF(94&gt;$E$8,"",INDEX('CONTROLES'!$AD$13:$AD$1012,MATCH(94,'CONTROLES'!$AH$13:$AH$1012,0)))</f>
      </c>
      <c r="E106" s="30">
        <f>IF(94&gt;$E$8,"",INDEX('CONTROLES'!$AE$13:$AE$1012,MATCH(94,'CONTROLES'!$AH$13:$AH$1012,0)))</f>
      </c>
      <c r="F106" s="30">
        <f>IF(94&gt;$E$8,"",INDEX('CONTROLES'!$AF$13:$AF$1012,MATCH(94,'CONTROLES'!$AH$13:$AH$1012,0)))</f>
      </c>
      <c r="G106" s="30">
        <f>IF(94&gt;$E$8,"",IF(INDEX('CONTROLES'!$AG$13:$AG$1012,MATCH(94,'CONTROLES'!$AH$13:$AH$1012,0))=2,"ROJO","ÁMBAR"))</f>
      </c>
    </row>
    <row r="107" ht="22" customHeight="1">
      <c r="B107" s="30">
        <f>IF(95&gt;$E$8,"",INDEX('CONTROLES'!$AB$13:$AB$1012,MATCH(95,'CONTROLES'!$AH$13:$AH$1012,0)))</f>
      </c>
      <c r="C107" s="30">
        <f>IF(95&gt;$E$8,"",INDEX('CONTROLES'!$AC$13:$AC$1012,MATCH(95,'CONTROLES'!$AH$13:$AH$1012,0)))</f>
      </c>
      <c r="D107" s="30">
        <f>IF(95&gt;$E$8,"",INDEX('CONTROLES'!$AD$13:$AD$1012,MATCH(95,'CONTROLES'!$AH$13:$AH$1012,0)))</f>
      </c>
      <c r="E107" s="30">
        <f>IF(95&gt;$E$8,"",INDEX('CONTROLES'!$AE$13:$AE$1012,MATCH(95,'CONTROLES'!$AH$13:$AH$1012,0)))</f>
      </c>
      <c r="F107" s="30">
        <f>IF(95&gt;$E$8,"",INDEX('CONTROLES'!$AF$13:$AF$1012,MATCH(95,'CONTROLES'!$AH$13:$AH$1012,0)))</f>
      </c>
      <c r="G107" s="30">
        <f>IF(95&gt;$E$8,"",IF(INDEX('CONTROLES'!$AG$13:$AG$1012,MATCH(95,'CONTROLES'!$AH$13:$AH$1012,0))=2,"ROJO","ÁMBAR"))</f>
      </c>
    </row>
    <row r="108" ht="22" customHeight="1">
      <c r="B108" s="30">
        <f>IF(96&gt;$E$8,"",INDEX('CONTROLES'!$AB$13:$AB$1012,MATCH(96,'CONTROLES'!$AH$13:$AH$1012,0)))</f>
      </c>
      <c r="C108" s="30">
        <f>IF(96&gt;$E$8,"",INDEX('CONTROLES'!$AC$13:$AC$1012,MATCH(96,'CONTROLES'!$AH$13:$AH$1012,0)))</f>
      </c>
      <c r="D108" s="30">
        <f>IF(96&gt;$E$8,"",INDEX('CONTROLES'!$AD$13:$AD$1012,MATCH(96,'CONTROLES'!$AH$13:$AH$1012,0)))</f>
      </c>
      <c r="E108" s="30">
        <f>IF(96&gt;$E$8,"",INDEX('CONTROLES'!$AE$13:$AE$1012,MATCH(96,'CONTROLES'!$AH$13:$AH$1012,0)))</f>
      </c>
      <c r="F108" s="30">
        <f>IF(96&gt;$E$8,"",INDEX('CONTROLES'!$AF$13:$AF$1012,MATCH(96,'CONTROLES'!$AH$13:$AH$1012,0)))</f>
      </c>
      <c r="G108" s="30">
        <f>IF(96&gt;$E$8,"",IF(INDEX('CONTROLES'!$AG$13:$AG$1012,MATCH(96,'CONTROLES'!$AH$13:$AH$1012,0))=2,"ROJO","ÁMBAR"))</f>
      </c>
    </row>
    <row r="109" ht="22" customHeight="1">
      <c r="B109" s="30">
        <f>IF(97&gt;$E$8,"",INDEX('CONTROLES'!$AB$13:$AB$1012,MATCH(97,'CONTROLES'!$AH$13:$AH$1012,0)))</f>
      </c>
      <c r="C109" s="30">
        <f>IF(97&gt;$E$8,"",INDEX('CONTROLES'!$AC$13:$AC$1012,MATCH(97,'CONTROLES'!$AH$13:$AH$1012,0)))</f>
      </c>
      <c r="D109" s="30">
        <f>IF(97&gt;$E$8,"",INDEX('CONTROLES'!$AD$13:$AD$1012,MATCH(97,'CONTROLES'!$AH$13:$AH$1012,0)))</f>
      </c>
      <c r="E109" s="30">
        <f>IF(97&gt;$E$8,"",INDEX('CONTROLES'!$AE$13:$AE$1012,MATCH(97,'CONTROLES'!$AH$13:$AH$1012,0)))</f>
      </c>
      <c r="F109" s="30">
        <f>IF(97&gt;$E$8,"",INDEX('CONTROLES'!$AF$13:$AF$1012,MATCH(97,'CONTROLES'!$AH$13:$AH$1012,0)))</f>
      </c>
      <c r="G109" s="30">
        <f>IF(97&gt;$E$8,"",IF(INDEX('CONTROLES'!$AG$13:$AG$1012,MATCH(97,'CONTROLES'!$AH$13:$AH$1012,0))=2,"ROJO","ÁMBAR"))</f>
      </c>
    </row>
    <row r="110" ht="22" customHeight="1">
      <c r="B110" s="30">
        <f>IF(98&gt;$E$8,"",INDEX('CONTROLES'!$AB$13:$AB$1012,MATCH(98,'CONTROLES'!$AH$13:$AH$1012,0)))</f>
      </c>
      <c r="C110" s="30">
        <f>IF(98&gt;$E$8,"",INDEX('CONTROLES'!$AC$13:$AC$1012,MATCH(98,'CONTROLES'!$AH$13:$AH$1012,0)))</f>
      </c>
      <c r="D110" s="30">
        <f>IF(98&gt;$E$8,"",INDEX('CONTROLES'!$AD$13:$AD$1012,MATCH(98,'CONTROLES'!$AH$13:$AH$1012,0)))</f>
      </c>
      <c r="E110" s="30">
        <f>IF(98&gt;$E$8,"",INDEX('CONTROLES'!$AE$13:$AE$1012,MATCH(98,'CONTROLES'!$AH$13:$AH$1012,0)))</f>
      </c>
      <c r="F110" s="30">
        <f>IF(98&gt;$E$8,"",INDEX('CONTROLES'!$AF$13:$AF$1012,MATCH(98,'CONTROLES'!$AH$13:$AH$1012,0)))</f>
      </c>
      <c r="G110" s="30">
        <f>IF(98&gt;$E$8,"",IF(INDEX('CONTROLES'!$AG$13:$AG$1012,MATCH(98,'CONTROLES'!$AH$13:$AH$1012,0))=2,"ROJO","ÁMBAR"))</f>
      </c>
    </row>
    <row r="111" ht="22" customHeight="1">
      <c r="B111" s="30">
        <f>IF(99&gt;$E$8,"",INDEX('CONTROLES'!$AB$13:$AB$1012,MATCH(99,'CONTROLES'!$AH$13:$AH$1012,0)))</f>
      </c>
      <c r="C111" s="30">
        <f>IF(99&gt;$E$8,"",INDEX('CONTROLES'!$AC$13:$AC$1012,MATCH(99,'CONTROLES'!$AH$13:$AH$1012,0)))</f>
      </c>
      <c r="D111" s="30">
        <f>IF(99&gt;$E$8,"",INDEX('CONTROLES'!$AD$13:$AD$1012,MATCH(99,'CONTROLES'!$AH$13:$AH$1012,0)))</f>
      </c>
      <c r="E111" s="30">
        <f>IF(99&gt;$E$8,"",INDEX('CONTROLES'!$AE$13:$AE$1012,MATCH(99,'CONTROLES'!$AH$13:$AH$1012,0)))</f>
      </c>
      <c r="F111" s="30">
        <f>IF(99&gt;$E$8,"",INDEX('CONTROLES'!$AF$13:$AF$1012,MATCH(99,'CONTROLES'!$AH$13:$AH$1012,0)))</f>
      </c>
      <c r="G111" s="30">
        <f>IF(99&gt;$E$8,"",IF(INDEX('CONTROLES'!$AG$13:$AG$1012,MATCH(99,'CONTROLES'!$AH$13:$AH$1012,0))=2,"ROJO","ÁMBAR"))</f>
      </c>
    </row>
    <row r="112" ht="22" customHeight="1">
      <c r="B112" s="30">
        <f>IF(100&gt;$E$8,"",INDEX('CONTROLES'!$AB$13:$AB$1012,MATCH(100,'CONTROLES'!$AH$13:$AH$1012,0)))</f>
      </c>
      <c r="C112" s="30">
        <f>IF(100&gt;$E$8,"",INDEX('CONTROLES'!$AC$13:$AC$1012,MATCH(100,'CONTROLES'!$AH$13:$AH$1012,0)))</f>
      </c>
      <c r="D112" s="30">
        <f>IF(100&gt;$E$8,"",INDEX('CONTROLES'!$AD$13:$AD$1012,MATCH(100,'CONTROLES'!$AH$13:$AH$1012,0)))</f>
      </c>
      <c r="E112" s="30">
        <f>IF(100&gt;$E$8,"",INDEX('CONTROLES'!$AE$13:$AE$1012,MATCH(100,'CONTROLES'!$AH$13:$AH$1012,0)))</f>
      </c>
      <c r="F112" s="30">
        <f>IF(100&gt;$E$8,"",INDEX('CONTROLES'!$AF$13:$AF$1012,MATCH(100,'CONTROLES'!$AH$13:$AH$1012,0)))</f>
      </c>
      <c r="G112" s="30">
        <f>IF(100&gt;$E$8,"",IF(INDEX('CONTROLES'!$AG$13:$AG$1012,MATCH(100,'CONTROLES'!$AH$13:$AH$1012,0))=2,"ROJO","ÁMBAR"))</f>
      </c>
    </row>
    <row r="113" ht="22" customHeight="1">
      <c r="B113" s="30">
        <f>IF(101&gt;$E$8,"",INDEX('CONTROLES'!$AB$13:$AB$1012,MATCH(101,'CONTROLES'!$AH$13:$AH$1012,0)))</f>
      </c>
      <c r="C113" s="30">
        <f>IF(101&gt;$E$8,"",INDEX('CONTROLES'!$AC$13:$AC$1012,MATCH(101,'CONTROLES'!$AH$13:$AH$1012,0)))</f>
      </c>
      <c r="D113" s="30">
        <f>IF(101&gt;$E$8,"",INDEX('CONTROLES'!$AD$13:$AD$1012,MATCH(101,'CONTROLES'!$AH$13:$AH$1012,0)))</f>
      </c>
      <c r="E113" s="30">
        <f>IF(101&gt;$E$8,"",INDEX('CONTROLES'!$AE$13:$AE$1012,MATCH(101,'CONTROLES'!$AH$13:$AH$1012,0)))</f>
      </c>
      <c r="F113" s="30">
        <f>IF(101&gt;$E$8,"",INDEX('CONTROLES'!$AF$13:$AF$1012,MATCH(101,'CONTROLES'!$AH$13:$AH$1012,0)))</f>
      </c>
      <c r="G113" s="30">
        <f>IF(101&gt;$E$8,"",IF(INDEX('CONTROLES'!$AG$13:$AG$1012,MATCH(101,'CONTROLES'!$AH$13:$AH$1012,0))=2,"ROJO","ÁMBAR"))</f>
      </c>
    </row>
    <row r="114" ht="22" customHeight="1">
      <c r="B114" s="30">
        <f>IF(102&gt;$E$8,"",INDEX('CONTROLES'!$AB$13:$AB$1012,MATCH(102,'CONTROLES'!$AH$13:$AH$1012,0)))</f>
      </c>
      <c r="C114" s="30">
        <f>IF(102&gt;$E$8,"",INDEX('CONTROLES'!$AC$13:$AC$1012,MATCH(102,'CONTROLES'!$AH$13:$AH$1012,0)))</f>
      </c>
      <c r="D114" s="30">
        <f>IF(102&gt;$E$8,"",INDEX('CONTROLES'!$AD$13:$AD$1012,MATCH(102,'CONTROLES'!$AH$13:$AH$1012,0)))</f>
      </c>
      <c r="E114" s="30">
        <f>IF(102&gt;$E$8,"",INDEX('CONTROLES'!$AE$13:$AE$1012,MATCH(102,'CONTROLES'!$AH$13:$AH$1012,0)))</f>
      </c>
      <c r="F114" s="30">
        <f>IF(102&gt;$E$8,"",INDEX('CONTROLES'!$AF$13:$AF$1012,MATCH(102,'CONTROLES'!$AH$13:$AH$1012,0)))</f>
      </c>
      <c r="G114" s="30">
        <f>IF(102&gt;$E$8,"",IF(INDEX('CONTROLES'!$AG$13:$AG$1012,MATCH(102,'CONTROLES'!$AH$13:$AH$1012,0))=2,"ROJO","ÁMBAR"))</f>
      </c>
    </row>
    <row r="115" ht="22" customHeight="1">
      <c r="B115" s="30">
        <f>IF(103&gt;$E$8,"",INDEX('CONTROLES'!$AB$13:$AB$1012,MATCH(103,'CONTROLES'!$AH$13:$AH$1012,0)))</f>
      </c>
      <c r="C115" s="30">
        <f>IF(103&gt;$E$8,"",INDEX('CONTROLES'!$AC$13:$AC$1012,MATCH(103,'CONTROLES'!$AH$13:$AH$1012,0)))</f>
      </c>
      <c r="D115" s="30">
        <f>IF(103&gt;$E$8,"",INDEX('CONTROLES'!$AD$13:$AD$1012,MATCH(103,'CONTROLES'!$AH$13:$AH$1012,0)))</f>
      </c>
      <c r="E115" s="30">
        <f>IF(103&gt;$E$8,"",INDEX('CONTROLES'!$AE$13:$AE$1012,MATCH(103,'CONTROLES'!$AH$13:$AH$1012,0)))</f>
      </c>
      <c r="F115" s="30">
        <f>IF(103&gt;$E$8,"",INDEX('CONTROLES'!$AF$13:$AF$1012,MATCH(103,'CONTROLES'!$AH$13:$AH$1012,0)))</f>
      </c>
      <c r="G115" s="30">
        <f>IF(103&gt;$E$8,"",IF(INDEX('CONTROLES'!$AG$13:$AG$1012,MATCH(103,'CONTROLES'!$AH$13:$AH$1012,0))=2,"ROJO","ÁMBAR"))</f>
      </c>
    </row>
    <row r="116" ht="22" customHeight="1">
      <c r="B116" s="30">
        <f>IF(104&gt;$E$8,"",INDEX('CONTROLES'!$AB$13:$AB$1012,MATCH(104,'CONTROLES'!$AH$13:$AH$1012,0)))</f>
      </c>
      <c r="C116" s="30">
        <f>IF(104&gt;$E$8,"",INDEX('CONTROLES'!$AC$13:$AC$1012,MATCH(104,'CONTROLES'!$AH$13:$AH$1012,0)))</f>
      </c>
      <c r="D116" s="30">
        <f>IF(104&gt;$E$8,"",INDEX('CONTROLES'!$AD$13:$AD$1012,MATCH(104,'CONTROLES'!$AH$13:$AH$1012,0)))</f>
      </c>
      <c r="E116" s="30">
        <f>IF(104&gt;$E$8,"",INDEX('CONTROLES'!$AE$13:$AE$1012,MATCH(104,'CONTROLES'!$AH$13:$AH$1012,0)))</f>
      </c>
      <c r="F116" s="30">
        <f>IF(104&gt;$E$8,"",INDEX('CONTROLES'!$AF$13:$AF$1012,MATCH(104,'CONTROLES'!$AH$13:$AH$1012,0)))</f>
      </c>
      <c r="G116" s="30">
        <f>IF(104&gt;$E$8,"",IF(INDEX('CONTROLES'!$AG$13:$AG$1012,MATCH(104,'CONTROLES'!$AH$13:$AH$1012,0))=2,"ROJO","ÁMBAR"))</f>
      </c>
    </row>
    <row r="117" ht="22" customHeight="1">
      <c r="B117" s="30">
        <f>IF(105&gt;$E$8,"",INDEX('CONTROLES'!$AB$13:$AB$1012,MATCH(105,'CONTROLES'!$AH$13:$AH$1012,0)))</f>
      </c>
      <c r="C117" s="30">
        <f>IF(105&gt;$E$8,"",INDEX('CONTROLES'!$AC$13:$AC$1012,MATCH(105,'CONTROLES'!$AH$13:$AH$1012,0)))</f>
      </c>
      <c r="D117" s="30">
        <f>IF(105&gt;$E$8,"",INDEX('CONTROLES'!$AD$13:$AD$1012,MATCH(105,'CONTROLES'!$AH$13:$AH$1012,0)))</f>
      </c>
      <c r="E117" s="30">
        <f>IF(105&gt;$E$8,"",INDEX('CONTROLES'!$AE$13:$AE$1012,MATCH(105,'CONTROLES'!$AH$13:$AH$1012,0)))</f>
      </c>
      <c r="F117" s="30">
        <f>IF(105&gt;$E$8,"",INDEX('CONTROLES'!$AF$13:$AF$1012,MATCH(105,'CONTROLES'!$AH$13:$AH$1012,0)))</f>
      </c>
      <c r="G117" s="30">
        <f>IF(105&gt;$E$8,"",IF(INDEX('CONTROLES'!$AG$13:$AG$1012,MATCH(105,'CONTROLES'!$AH$13:$AH$1012,0))=2,"ROJO","ÁMBAR"))</f>
      </c>
    </row>
    <row r="118" ht="22" customHeight="1">
      <c r="B118" s="30">
        <f>IF(106&gt;$E$8,"",INDEX('CONTROLES'!$AB$13:$AB$1012,MATCH(106,'CONTROLES'!$AH$13:$AH$1012,0)))</f>
      </c>
      <c r="C118" s="30">
        <f>IF(106&gt;$E$8,"",INDEX('CONTROLES'!$AC$13:$AC$1012,MATCH(106,'CONTROLES'!$AH$13:$AH$1012,0)))</f>
      </c>
      <c r="D118" s="30">
        <f>IF(106&gt;$E$8,"",INDEX('CONTROLES'!$AD$13:$AD$1012,MATCH(106,'CONTROLES'!$AH$13:$AH$1012,0)))</f>
      </c>
      <c r="E118" s="30">
        <f>IF(106&gt;$E$8,"",INDEX('CONTROLES'!$AE$13:$AE$1012,MATCH(106,'CONTROLES'!$AH$13:$AH$1012,0)))</f>
      </c>
      <c r="F118" s="30">
        <f>IF(106&gt;$E$8,"",INDEX('CONTROLES'!$AF$13:$AF$1012,MATCH(106,'CONTROLES'!$AH$13:$AH$1012,0)))</f>
      </c>
      <c r="G118" s="30">
        <f>IF(106&gt;$E$8,"",IF(INDEX('CONTROLES'!$AG$13:$AG$1012,MATCH(106,'CONTROLES'!$AH$13:$AH$1012,0))=2,"ROJO","ÁMBAR"))</f>
      </c>
    </row>
    <row r="119" ht="22" customHeight="1">
      <c r="B119" s="30">
        <f>IF(107&gt;$E$8,"",INDEX('CONTROLES'!$AB$13:$AB$1012,MATCH(107,'CONTROLES'!$AH$13:$AH$1012,0)))</f>
      </c>
      <c r="C119" s="30">
        <f>IF(107&gt;$E$8,"",INDEX('CONTROLES'!$AC$13:$AC$1012,MATCH(107,'CONTROLES'!$AH$13:$AH$1012,0)))</f>
      </c>
      <c r="D119" s="30">
        <f>IF(107&gt;$E$8,"",INDEX('CONTROLES'!$AD$13:$AD$1012,MATCH(107,'CONTROLES'!$AH$13:$AH$1012,0)))</f>
      </c>
      <c r="E119" s="30">
        <f>IF(107&gt;$E$8,"",INDEX('CONTROLES'!$AE$13:$AE$1012,MATCH(107,'CONTROLES'!$AH$13:$AH$1012,0)))</f>
      </c>
      <c r="F119" s="30">
        <f>IF(107&gt;$E$8,"",INDEX('CONTROLES'!$AF$13:$AF$1012,MATCH(107,'CONTROLES'!$AH$13:$AH$1012,0)))</f>
      </c>
      <c r="G119" s="30">
        <f>IF(107&gt;$E$8,"",IF(INDEX('CONTROLES'!$AG$13:$AG$1012,MATCH(107,'CONTROLES'!$AH$13:$AH$1012,0))=2,"ROJO","ÁMBAR"))</f>
      </c>
    </row>
    <row r="120" ht="22" customHeight="1">
      <c r="B120" s="30">
        <f>IF(108&gt;$E$8,"",INDEX('CONTROLES'!$AB$13:$AB$1012,MATCH(108,'CONTROLES'!$AH$13:$AH$1012,0)))</f>
      </c>
      <c r="C120" s="30">
        <f>IF(108&gt;$E$8,"",INDEX('CONTROLES'!$AC$13:$AC$1012,MATCH(108,'CONTROLES'!$AH$13:$AH$1012,0)))</f>
      </c>
      <c r="D120" s="30">
        <f>IF(108&gt;$E$8,"",INDEX('CONTROLES'!$AD$13:$AD$1012,MATCH(108,'CONTROLES'!$AH$13:$AH$1012,0)))</f>
      </c>
      <c r="E120" s="30">
        <f>IF(108&gt;$E$8,"",INDEX('CONTROLES'!$AE$13:$AE$1012,MATCH(108,'CONTROLES'!$AH$13:$AH$1012,0)))</f>
      </c>
      <c r="F120" s="30">
        <f>IF(108&gt;$E$8,"",INDEX('CONTROLES'!$AF$13:$AF$1012,MATCH(108,'CONTROLES'!$AH$13:$AH$1012,0)))</f>
      </c>
      <c r="G120" s="30">
        <f>IF(108&gt;$E$8,"",IF(INDEX('CONTROLES'!$AG$13:$AG$1012,MATCH(108,'CONTROLES'!$AH$13:$AH$1012,0))=2,"ROJO","ÁMBAR"))</f>
      </c>
    </row>
    <row r="121" ht="22" customHeight="1">
      <c r="B121" s="30">
        <f>IF(109&gt;$E$8,"",INDEX('CONTROLES'!$AB$13:$AB$1012,MATCH(109,'CONTROLES'!$AH$13:$AH$1012,0)))</f>
      </c>
      <c r="C121" s="30">
        <f>IF(109&gt;$E$8,"",INDEX('CONTROLES'!$AC$13:$AC$1012,MATCH(109,'CONTROLES'!$AH$13:$AH$1012,0)))</f>
      </c>
      <c r="D121" s="30">
        <f>IF(109&gt;$E$8,"",INDEX('CONTROLES'!$AD$13:$AD$1012,MATCH(109,'CONTROLES'!$AH$13:$AH$1012,0)))</f>
      </c>
      <c r="E121" s="30">
        <f>IF(109&gt;$E$8,"",INDEX('CONTROLES'!$AE$13:$AE$1012,MATCH(109,'CONTROLES'!$AH$13:$AH$1012,0)))</f>
      </c>
      <c r="F121" s="30">
        <f>IF(109&gt;$E$8,"",INDEX('CONTROLES'!$AF$13:$AF$1012,MATCH(109,'CONTROLES'!$AH$13:$AH$1012,0)))</f>
      </c>
      <c r="G121" s="30">
        <f>IF(109&gt;$E$8,"",IF(INDEX('CONTROLES'!$AG$13:$AG$1012,MATCH(109,'CONTROLES'!$AH$13:$AH$1012,0))=2,"ROJO","ÁMBAR"))</f>
      </c>
    </row>
    <row r="122" ht="22" customHeight="1">
      <c r="B122" s="30">
        <f>IF(110&gt;$E$8,"",INDEX('CONTROLES'!$AB$13:$AB$1012,MATCH(110,'CONTROLES'!$AH$13:$AH$1012,0)))</f>
      </c>
      <c r="C122" s="30">
        <f>IF(110&gt;$E$8,"",INDEX('CONTROLES'!$AC$13:$AC$1012,MATCH(110,'CONTROLES'!$AH$13:$AH$1012,0)))</f>
      </c>
      <c r="D122" s="30">
        <f>IF(110&gt;$E$8,"",INDEX('CONTROLES'!$AD$13:$AD$1012,MATCH(110,'CONTROLES'!$AH$13:$AH$1012,0)))</f>
      </c>
      <c r="E122" s="30">
        <f>IF(110&gt;$E$8,"",INDEX('CONTROLES'!$AE$13:$AE$1012,MATCH(110,'CONTROLES'!$AH$13:$AH$1012,0)))</f>
      </c>
      <c r="F122" s="30">
        <f>IF(110&gt;$E$8,"",INDEX('CONTROLES'!$AF$13:$AF$1012,MATCH(110,'CONTROLES'!$AH$13:$AH$1012,0)))</f>
      </c>
      <c r="G122" s="30">
        <f>IF(110&gt;$E$8,"",IF(INDEX('CONTROLES'!$AG$13:$AG$1012,MATCH(110,'CONTROLES'!$AH$13:$AH$1012,0))=2,"ROJO","ÁMBAR"))</f>
      </c>
    </row>
    <row r="123" ht="22" customHeight="1">
      <c r="B123" s="30">
        <f>IF(111&gt;$E$8,"",INDEX('CONTROLES'!$AB$13:$AB$1012,MATCH(111,'CONTROLES'!$AH$13:$AH$1012,0)))</f>
      </c>
      <c r="C123" s="30">
        <f>IF(111&gt;$E$8,"",INDEX('CONTROLES'!$AC$13:$AC$1012,MATCH(111,'CONTROLES'!$AH$13:$AH$1012,0)))</f>
      </c>
      <c r="D123" s="30">
        <f>IF(111&gt;$E$8,"",INDEX('CONTROLES'!$AD$13:$AD$1012,MATCH(111,'CONTROLES'!$AH$13:$AH$1012,0)))</f>
      </c>
      <c r="E123" s="30">
        <f>IF(111&gt;$E$8,"",INDEX('CONTROLES'!$AE$13:$AE$1012,MATCH(111,'CONTROLES'!$AH$13:$AH$1012,0)))</f>
      </c>
      <c r="F123" s="30">
        <f>IF(111&gt;$E$8,"",INDEX('CONTROLES'!$AF$13:$AF$1012,MATCH(111,'CONTROLES'!$AH$13:$AH$1012,0)))</f>
      </c>
      <c r="G123" s="30">
        <f>IF(111&gt;$E$8,"",IF(INDEX('CONTROLES'!$AG$13:$AG$1012,MATCH(111,'CONTROLES'!$AH$13:$AH$1012,0))=2,"ROJO","ÁMBAR"))</f>
      </c>
    </row>
    <row r="124" ht="22" customHeight="1">
      <c r="B124" s="30">
        <f>IF(112&gt;$E$8,"",INDEX('CONTROLES'!$AB$13:$AB$1012,MATCH(112,'CONTROLES'!$AH$13:$AH$1012,0)))</f>
      </c>
      <c r="C124" s="30">
        <f>IF(112&gt;$E$8,"",INDEX('CONTROLES'!$AC$13:$AC$1012,MATCH(112,'CONTROLES'!$AH$13:$AH$1012,0)))</f>
      </c>
      <c r="D124" s="30">
        <f>IF(112&gt;$E$8,"",INDEX('CONTROLES'!$AD$13:$AD$1012,MATCH(112,'CONTROLES'!$AH$13:$AH$1012,0)))</f>
      </c>
      <c r="E124" s="30">
        <f>IF(112&gt;$E$8,"",INDEX('CONTROLES'!$AE$13:$AE$1012,MATCH(112,'CONTROLES'!$AH$13:$AH$1012,0)))</f>
      </c>
      <c r="F124" s="30">
        <f>IF(112&gt;$E$8,"",INDEX('CONTROLES'!$AF$13:$AF$1012,MATCH(112,'CONTROLES'!$AH$13:$AH$1012,0)))</f>
      </c>
      <c r="G124" s="30">
        <f>IF(112&gt;$E$8,"",IF(INDEX('CONTROLES'!$AG$13:$AG$1012,MATCH(112,'CONTROLES'!$AH$13:$AH$1012,0))=2,"ROJO","ÁMBAR"))</f>
      </c>
    </row>
    <row r="125" ht="22" customHeight="1">
      <c r="B125" s="30">
        <f>IF(113&gt;$E$8,"",INDEX('CONTROLES'!$AB$13:$AB$1012,MATCH(113,'CONTROLES'!$AH$13:$AH$1012,0)))</f>
      </c>
      <c r="C125" s="30">
        <f>IF(113&gt;$E$8,"",INDEX('CONTROLES'!$AC$13:$AC$1012,MATCH(113,'CONTROLES'!$AH$13:$AH$1012,0)))</f>
      </c>
      <c r="D125" s="30">
        <f>IF(113&gt;$E$8,"",INDEX('CONTROLES'!$AD$13:$AD$1012,MATCH(113,'CONTROLES'!$AH$13:$AH$1012,0)))</f>
      </c>
      <c r="E125" s="30">
        <f>IF(113&gt;$E$8,"",INDEX('CONTROLES'!$AE$13:$AE$1012,MATCH(113,'CONTROLES'!$AH$13:$AH$1012,0)))</f>
      </c>
      <c r="F125" s="30">
        <f>IF(113&gt;$E$8,"",INDEX('CONTROLES'!$AF$13:$AF$1012,MATCH(113,'CONTROLES'!$AH$13:$AH$1012,0)))</f>
      </c>
      <c r="G125" s="30">
        <f>IF(113&gt;$E$8,"",IF(INDEX('CONTROLES'!$AG$13:$AG$1012,MATCH(113,'CONTROLES'!$AH$13:$AH$1012,0))=2,"ROJO","ÁMBAR"))</f>
      </c>
    </row>
    <row r="126" ht="22" customHeight="1">
      <c r="B126" s="30">
        <f>IF(114&gt;$E$8,"",INDEX('CONTROLES'!$AB$13:$AB$1012,MATCH(114,'CONTROLES'!$AH$13:$AH$1012,0)))</f>
      </c>
      <c r="C126" s="30">
        <f>IF(114&gt;$E$8,"",INDEX('CONTROLES'!$AC$13:$AC$1012,MATCH(114,'CONTROLES'!$AH$13:$AH$1012,0)))</f>
      </c>
      <c r="D126" s="30">
        <f>IF(114&gt;$E$8,"",INDEX('CONTROLES'!$AD$13:$AD$1012,MATCH(114,'CONTROLES'!$AH$13:$AH$1012,0)))</f>
      </c>
      <c r="E126" s="30">
        <f>IF(114&gt;$E$8,"",INDEX('CONTROLES'!$AE$13:$AE$1012,MATCH(114,'CONTROLES'!$AH$13:$AH$1012,0)))</f>
      </c>
      <c r="F126" s="30">
        <f>IF(114&gt;$E$8,"",INDEX('CONTROLES'!$AF$13:$AF$1012,MATCH(114,'CONTROLES'!$AH$13:$AH$1012,0)))</f>
      </c>
      <c r="G126" s="30">
        <f>IF(114&gt;$E$8,"",IF(INDEX('CONTROLES'!$AG$13:$AG$1012,MATCH(114,'CONTROLES'!$AH$13:$AH$1012,0))=2,"ROJO","ÁMBAR"))</f>
      </c>
    </row>
    <row r="127" ht="22" customHeight="1">
      <c r="B127" s="30">
        <f>IF(115&gt;$E$8,"",INDEX('CONTROLES'!$AB$13:$AB$1012,MATCH(115,'CONTROLES'!$AH$13:$AH$1012,0)))</f>
      </c>
      <c r="C127" s="30">
        <f>IF(115&gt;$E$8,"",INDEX('CONTROLES'!$AC$13:$AC$1012,MATCH(115,'CONTROLES'!$AH$13:$AH$1012,0)))</f>
      </c>
      <c r="D127" s="30">
        <f>IF(115&gt;$E$8,"",INDEX('CONTROLES'!$AD$13:$AD$1012,MATCH(115,'CONTROLES'!$AH$13:$AH$1012,0)))</f>
      </c>
      <c r="E127" s="30">
        <f>IF(115&gt;$E$8,"",INDEX('CONTROLES'!$AE$13:$AE$1012,MATCH(115,'CONTROLES'!$AH$13:$AH$1012,0)))</f>
      </c>
      <c r="F127" s="30">
        <f>IF(115&gt;$E$8,"",INDEX('CONTROLES'!$AF$13:$AF$1012,MATCH(115,'CONTROLES'!$AH$13:$AH$1012,0)))</f>
      </c>
      <c r="G127" s="30">
        <f>IF(115&gt;$E$8,"",IF(INDEX('CONTROLES'!$AG$13:$AG$1012,MATCH(115,'CONTROLES'!$AH$13:$AH$1012,0))=2,"ROJO","ÁMBAR"))</f>
      </c>
    </row>
    <row r="128" ht="22" customHeight="1">
      <c r="B128" s="30">
        <f>IF(116&gt;$E$8,"",INDEX('CONTROLES'!$AB$13:$AB$1012,MATCH(116,'CONTROLES'!$AH$13:$AH$1012,0)))</f>
      </c>
      <c r="C128" s="30">
        <f>IF(116&gt;$E$8,"",INDEX('CONTROLES'!$AC$13:$AC$1012,MATCH(116,'CONTROLES'!$AH$13:$AH$1012,0)))</f>
      </c>
      <c r="D128" s="30">
        <f>IF(116&gt;$E$8,"",INDEX('CONTROLES'!$AD$13:$AD$1012,MATCH(116,'CONTROLES'!$AH$13:$AH$1012,0)))</f>
      </c>
      <c r="E128" s="30">
        <f>IF(116&gt;$E$8,"",INDEX('CONTROLES'!$AE$13:$AE$1012,MATCH(116,'CONTROLES'!$AH$13:$AH$1012,0)))</f>
      </c>
      <c r="F128" s="30">
        <f>IF(116&gt;$E$8,"",INDEX('CONTROLES'!$AF$13:$AF$1012,MATCH(116,'CONTROLES'!$AH$13:$AH$1012,0)))</f>
      </c>
      <c r="G128" s="30">
        <f>IF(116&gt;$E$8,"",IF(INDEX('CONTROLES'!$AG$13:$AG$1012,MATCH(116,'CONTROLES'!$AH$13:$AH$1012,0))=2,"ROJO","ÁMBAR"))</f>
      </c>
    </row>
    <row r="129" ht="22" customHeight="1">
      <c r="B129" s="30">
        <f>IF(117&gt;$E$8,"",INDEX('CONTROLES'!$AB$13:$AB$1012,MATCH(117,'CONTROLES'!$AH$13:$AH$1012,0)))</f>
      </c>
      <c r="C129" s="30">
        <f>IF(117&gt;$E$8,"",INDEX('CONTROLES'!$AC$13:$AC$1012,MATCH(117,'CONTROLES'!$AH$13:$AH$1012,0)))</f>
      </c>
      <c r="D129" s="30">
        <f>IF(117&gt;$E$8,"",INDEX('CONTROLES'!$AD$13:$AD$1012,MATCH(117,'CONTROLES'!$AH$13:$AH$1012,0)))</f>
      </c>
      <c r="E129" s="30">
        <f>IF(117&gt;$E$8,"",INDEX('CONTROLES'!$AE$13:$AE$1012,MATCH(117,'CONTROLES'!$AH$13:$AH$1012,0)))</f>
      </c>
      <c r="F129" s="30">
        <f>IF(117&gt;$E$8,"",INDEX('CONTROLES'!$AF$13:$AF$1012,MATCH(117,'CONTROLES'!$AH$13:$AH$1012,0)))</f>
      </c>
      <c r="G129" s="30">
        <f>IF(117&gt;$E$8,"",IF(INDEX('CONTROLES'!$AG$13:$AG$1012,MATCH(117,'CONTROLES'!$AH$13:$AH$1012,0))=2,"ROJO","ÁMBAR"))</f>
      </c>
    </row>
    <row r="130" ht="22" customHeight="1">
      <c r="B130" s="30">
        <f>IF(118&gt;$E$8,"",INDEX('CONTROLES'!$AB$13:$AB$1012,MATCH(118,'CONTROLES'!$AH$13:$AH$1012,0)))</f>
      </c>
      <c r="C130" s="30">
        <f>IF(118&gt;$E$8,"",INDEX('CONTROLES'!$AC$13:$AC$1012,MATCH(118,'CONTROLES'!$AH$13:$AH$1012,0)))</f>
      </c>
      <c r="D130" s="30">
        <f>IF(118&gt;$E$8,"",INDEX('CONTROLES'!$AD$13:$AD$1012,MATCH(118,'CONTROLES'!$AH$13:$AH$1012,0)))</f>
      </c>
      <c r="E130" s="30">
        <f>IF(118&gt;$E$8,"",INDEX('CONTROLES'!$AE$13:$AE$1012,MATCH(118,'CONTROLES'!$AH$13:$AH$1012,0)))</f>
      </c>
      <c r="F130" s="30">
        <f>IF(118&gt;$E$8,"",INDEX('CONTROLES'!$AF$13:$AF$1012,MATCH(118,'CONTROLES'!$AH$13:$AH$1012,0)))</f>
      </c>
      <c r="G130" s="30">
        <f>IF(118&gt;$E$8,"",IF(INDEX('CONTROLES'!$AG$13:$AG$1012,MATCH(118,'CONTROLES'!$AH$13:$AH$1012,0))=2,"ROJO","ÁMBAR"))</f>
      </c>
    </row>
    <row r="131" ht="22" customHeight="1">
      <c r="B131" s="30">
        <f>IF(119&gt;$E$8,"",INDEX('CONTROLES'!$AB$13:$AB$1012,MATCH(119,'CONTROLES'!$AH$13:$AH$1012,0)))</f>
      </c>
      <c r="C131" s="30">
        <f>IF(119&gt;$E$8,"",INDEX('CONTROLES'!$AC$13:$AC$1012,MATCH(119,'CONTROLES'!$AH$13:$AH$1012,0)))</f>
      </c>
      <c r="D131" s="30">
        <f>IF(119&gt;$E$8,"",INDEX('CONTROLES'!$AD$13:$AD$1012,MATCH(119,'CONTROLES'!$AH$13:$AH$1012,0)))</f>
      </c>
      <c r="E131" s="30">
        <f>IF(119&gt;$E$8,"",INDEX('CONTROLES'!$AE$13:$AE$1012,MATCH(119,'CONTROLES'!$AH$13:$AH$1012,0)))</f>
      </c>
      <c r="F131" s="30">
        <f>IF(119&gt;$E$8,"",INDEX('CONTROLES'!$AF$13:$AF$1012,MATCH(119,'CONTROLES'!$AH$13:$AH$1012,0)))</f>
      </c>
      <c r="G131" s="30">
        <f>IF(119&gt;$E$8,"",IF(INDEX('CONTROLES'!$AG$13:$AG$1012,MATCH(119,'CONTROLES'!$AH$13:$AH$1012,0))=2,"ROJO","ÁMBAR"))</f>
      </c>
    </row>
    <row r="132" ht="22" customHeight="1">
      <c r="B132" s="30">
        <f>IF(120&gt;$E$8,"",INDEX('CONTROLES'!$AB$13:$AB$1012,MATCH(120,'CONTROLES'!$AH$13:$AH$1012,0)))</f>
      </c>
      <c r="C132" s="30">
        <f>IF(120&gt;$E$8,"",INDEX('CONTROLES'!$AC$13:$AC$1012,MATCH(120,'CONTROLES'!$AH$13:$AH$1012,0)))</f>
      </c>
      <c r="D132" s="30">
        <f>IF(120&gt;$E$8,"",INDEX('CONTROLES'!$AD$13:$AD$1012,MATCH(120,'CONTROLES'!$AH$13:$AH$1012,0)))</f>
      </c>
      <c r="E132" s="30">
        <f>IF(120&gt;$E$8,"",INDEX('CONTROLES'!$AE$13:$AE$1012,MATCH(120,'CONTROLES'!$AH$13:$AH$1012,0)))</f>
      </c>
      <c r="F132" s="30">
        <f>IF(120&gt;$E$8,"",INDEX('CONTROLES'!$AF$13:$AF$1012,MATCH(120,'CONTROLES'!$AH$13:$AH$1012,0)))</f>
      </c>
      <c r="G132" s="30">
        <f>IF(120&gt;$E$8,"",IF(INDEX('CONTROLES'!$AG$13:$AG$1012,MATCH(120,'CONTROLES'!$AH$13:$AH$1012,0))=2,"ROJO","ÁMBAR"))</f>
      </c>
    </row>
    <row r="133" ht="22" customHeight="1">
      <c r="B133" s="30">
        <f>IF(121&gt;$E$8,"",INDEX('CONTROLES'!$AB$13:$AB$1012,MATCH(121,'CONTROLES'!$AH$13:$AH$1012,0)))</f>
      </c>
      <c r="C133" s="30">
        <f>IF(121&gt;$E$8,"",INDEX('CONTROLES'!$AC$13:$AC$1012,MATCH(121,'CONTROLES'!$AH$13:$AH$1012,0)))</f>
      </c>
      <c r="D133" s="30">
        <f>IF(121&gt;$E$8,"",INDEX('CONTROLES'!$AD$13:$AD$1012,MATCH(121,'CONTROLES'!$AH$13:$AH$1012,0)))</f>
      </c>
      <c r="E133" s="30">
        <f>IF(121&gt;$E$8,"",INDEX('CONTROLES'!$AE$13:$AE$1012,MATCH(121,'CONTROLES'!$AH$13:$AH$1012,0)))</f>
      </c>
      <c r="F133" s="30">
        <f>IF(121&gt;$E$8,"",INDEX('CONTROLES'!$AF$13:$AF$1012,MATCH(121,'CONTROLES'!$AH$13:$AH$1012,0)))</f>
      </c>
      <c r="G133" s="30">
        <f>IF(121&gt;$E$8,"",IF(INDEX('CONTROLES'!$AG$13:$AG$1012,MATCH(121,'CONTROLES'!$AH$13:$AH$1012,0))=2,"ROJO","ÁMBAR"))</f>
      </c>
    </row>
    <row r="134" ht="22" customHeight="1">
      <c r="B134" s="30">
        <f>IF(122&gt;$E$8,"",INDEX('CONTROLES'!$AB$13:$AB$1012,MATCH(122,'CONTROLES'!$AH$13:$AH$1012,0)))</f>
      </c>
      <c r="C134" s="30">
        <f>IF(122&gt;$E$8,"",INDEX('CONTROLES'!$AC$13:$AC$1012,MATCH(122,'CONTROLES'!$AH$13:$AH$1012,0)))</f>
      </c>
      <c r="D134" s="30">
        <f>IF(122&gt;$E$8,"",INDEX('CONTROLES'!$AD$13:$AD$1012,MATCH(122,'CONTROLES'!$AH$13:$AH$1012,0)))</f>
      </c>
      <c r="E134" s="30">
        <f>IF(122&gt;$E$8,"",INDEX('CONTROLES'!$AE$13:$AE$1012,MATCH(122,'CONTROLES'!$AH$13:$AH$1012,0)))</f>
      </c>
      <c r="F134" s="30">
        <f>IF(122&gt;$E$8,"",INDEX('CONTROLES'!$AF$13:$AF$1012,MATCH(122,'CONTROLES'!$AH$13:$AH$1012,0)))</f>
      </c>
      <c r="G134" s="30">
        <f>IF(122&gt;$E$8,"",IF(INDEX('CONTROLES'!$AG$13:$AG$1012,MATCH(122,'CONTROLES'!$AH$13:$AH$1012,0))=2,"ROJO","ÁMBAR"))</f>
      </c>
    </row>
    <row r="135" ht="22" customHeight="1">
      <c r="B135" s="30">
        <f>IF(123&gt;$E$8,"",INDEX('CONTROLES'!$AB$13:$AB$1012,MATCH(123,'CONTROLES'!$AH$13:$AH$1012,0)))</f>
      </c>
      <c r="C135" s="30">
        <f>IF(123&gt;$E$8,"",INDEX('CONTROLES'!$AC$13:$AC$1012,MATCH(123,'CONTROLES'!$AH$13:$AH$1012,0)))</f>
      </c>
      <c r="D135" s="30">
        <f>IF(123&gt;$E$8,"",INDEX('CONTROLES'!$AD$13:$AD$1012,MATCH(123,'CONTROLES'!$AH$13:$AH$1012,0)))</f>
      </c>
      <c r="E135" s="30">
        <f>IF(123&gt;$E$8,"",INDEX('CONTROLES'!$AE$13:$AE$1012,MATCH(123,'CONTROLES'!$AH$13:$AH$1012,0)))</f>
      </c>
      <c r="F135" s="30">
        <f>IF(123&gt;$E$8,"",INDEX('CONTROLES'!$AF$13:$AF$1012,MATCH(123,'CONTROLES'!$AH$13:$AH$1012,0)))</f>
      </c>
      <c r="G135" s="30">
        <f>IF(123&gt;$E$8,"",IF(INDEX('CONTROLES'!$AG$13:$AG$1012,MATCH(123,'CONTROLES'!$AH$13:$AH$1012,0))=2,"ROJO","ÁMBAR"))</f>
      </c>
    </row>
    <row r="136" ht="22" customHeight="1">
      <c r="B136" s="30">
        <f>IF(124&gt;$E$8,"",INDEX('CONTROLES'!$AB$13:$AB$1012,MATCH(124,'CONTROLES'!$AH$13:$AH$1012,0)))</f>
      </c>
      <c r="C136" s="30">
        <f>IF(124&gt;$E$8,"",INDEX('CONTROLES'!$AC$13:$AC$1012,MATCH(124,'CONTROLES'!$AH$13:$AH$1012,0)))</f>
      </c>
      <c r="D136" s="30">
        <f>IF(124&gt;$E$8,"",INDEX('CONTROLES'!$AD$13:$AD$1012,MATCH(124,'CONTROLES'!$AH$13:$AH$1012,0)))</f>
      </c>
      <c r="E136" s="30">
        <f>IF(124&gt;$E$8,"",INDEX('CONTROLES'!$AE$13:$AE$1012,MATCH(124,'CONTROLES'!$AH$13:$AH$1012,0)))</f>
      </c>
      <c r="F136" s="30">
        <f>IF(124&gt;$E$8,"",INDEX('CONTROLES'!$AF$13:$AF$1012,MATCH(124,'CONTROLES'!$AH$13:$AH$1012,0)))</f>
      </c>
      <c r="G136" s="30">
        <f>IF(124&gt;$E$8,"",IF(INDEX('CONTROLES'!$AG$13:$AG$1012,MATCH(124,'CONTROLES'!$AH$13:$AH$1012,0))=2,"ROJO","ÁMBAR"))</f>
      </c>
    </row>
    <row r="137" ht="22" customHeight="1">
      <c r="B137" s="30">
        <f>IF(125&gt;$E$8,"",INDEX('CONTROLES'!$AB$13:$AB$1012,MATCH(125,'CONTROLES'!$AH$13:$AH$1012,0)))</f>
      </c>
      <c r="C137" s="30">
        <f>IF(125&gt;$E$8,"",INDEX('CONTROLES'!$AC$13:$AC$1012,MATCH(125,'CONTROLES'!$AH$13:$AH$1012,0)))</f>
      </c>
      <c r="D137" s="30">
        <f>IF(125&gt;$E$8,"",INDEX('CONTROLES'!$AD$13:$AD$1012,MATCH(125,'CONTROLES'!$AH$13:$AH$1012,0)))</f>
      </c>
      <c r="E137" s="30">
        <f>IF(125&gt;$E$8,"",INDEX('CONTROLES'!$AE$13:$AE$1012,MATCH(125,'CONTROLES'!$AH$13:$AH$1012,0)))</f>
      </c>
      <c r="F137" s="30">
        <f>IF(125&gt;$E$8,"",INDEX('CONTROLES'!$AF$13:$AF$1012,MATCH(125,'CONTROLES'!$AH$13:$AH$1012,0)))</f>
      </c>
      <c r="G137" s="30">
        <f>IF(125&gt;$E$8,"",IF(INDEX('CONTROLES'!$AG$13:$AG$1012,MATCH(125,'CONTROLES'!$AH$13:$AH$1012,0))=2,"ROJO","ÁMBAR"))</f>
      </c>
    </row>
    <row r="138" ht="22" customHeight="1">
      <c r="B138" s="30">
        <f>IF(126&gt;$E$8,"",INDEX('CONTROLES'!$AB$13:$AB$1012,MATCH(126,'CONTROLES'!$AH$13:$AH$1012,0)))</f>
      </c>
      <c r="C138" s="30">
        <f>IF(126&gt;$E$8,"",INDEX('CONTROLES'!$AC$13:$AC$1012,MATCH(126,'CONTROLES'!$AH$13:$AH$1012,0)))</f>
      </c>
      <c r="D138" s="30">
        <f>IF(126&gt;$E$8,"",INDEX('CONTROLES'!$AD$13:$AD$1012,MATCH(126,'CONTROLES'!$AH$13:$AH$1012,0)))</f>
      </c>
      <c r="E138" s="30">
        <f>IF(126&gt;$E$8,"",INDEX('CONTROLES'!$AE$13:$AE$1012,MATCH(126,'CONTROLES'!$AH$13:$AH$1012,0)))</f>
      </c>
      <c r="F138" s="30">
        <f>IF(126&gt;$E$8,"",INDEX('CONTROLES'!$AF$13:$AF$1012,MATCH(126,'CONTROLES'!$AH$13:$AH$1012,0)))</f>
      </c>
      <c r="G138" s="30">
        <f>IF(126&gt;$E$8,"",IF(INDEX('CONTROLES'!$AG$13:$AG$1012,MATCH(126,'CONTROLES'!$AH$13:$AH$1012,0))=2,"ROJO","ÁMBAR"))</f>
      </c>
    </row>
    <row r="139" ht="22" customHeight="1">
      <c r="B139" s="30">
        <f>IF(127&gt;$E$8,"",INDEX('CONTROLES'!$AB$13:$AB$1012,MATCH(127,'CONTROLES'!$AH$13:$AH$1012,0)))</f>
      </c>
      <c r="C139" s="30">
        <f>IF(127&gt;$E$8,"",INDEX('CONTROLES'!$AC$13:$AC$1012,MATCH(127,'CONTROLES'!$AH$13:$AH$1012,0)))</f>
      </c>
      <c r="D139" s="30">
        <f>IF(127&gt;$E$8,"",INDEX('CONTROLES'!$AD$13:$AD$1012,MATCH(127,'CONTROLES'!$AH$13:$AH$1012,0)))</f>
      </c>
      <c r="E139" s="30">
        <f>IF(127&gt;$E$8,"",INDEX('CONTROLES'!$AE$13:$AE$1012,MATCH(127,'CONTROLES'!$AH$13:$AH$1012,0)))</f>
      </c>
      <c r="F139" s="30">
        <f>IF(127&gt;$E$8,"",INDEX('CONTROLES'!$AF$13:$AF$1012,MATCH(127,'CONTROLES'!$AH$13:$AH$1012,0)))</f>
      </c>
      <c r="G139" s="30">
        <f>IF(127&gt;$E$8,"",IF(INDEX('CONTROLES'!$AG$13:$AG$1012,MATCH(127,'CONTROLES'!$AH$13:$AH$1012,0))=2,"ROJO","ÁMBAR"))</f>
      </c>
    </row>
    <row r="140" ht="22" customHeight="1">
      <c r="B140" s="30">
        <f>IF(128&gt;$E$8,"",INDEX('CONTROLES'!$AB$13:$AB$1012,MATCH(128,'CONTROLES'!$AH$13:$AH$1012,0)))</f>
      </c>
      <c r="C140" s="30">
        <f>IF(128&gt;$E$8,"",INDEX('CONTROLES'!$AC$13:$AC$1012,MATCH(128,'CONTROLES'!$AH$13:$AH$1012,0)))</f>
      </c>
      <c r="D140" s="30">
        <f>IF(128&gt;$E$8,"",INDEX('CONTROLES'!$AD$13:$AD$1012,MATCH(128,'CONTROLES'!$AH$13:$AH$1012,0)))</f>
      </c>
      <c r="E140" s="30">
        <f>IF(128&gt;$E$8,"",INDEX('CONTROLES'!$AE$13:$AE$1012,MATCH(128,'CONTROLES'!$AH$13:$AH$1012,0)))</f>
      </c>
      <c r="F140" s="30">
        <f>IF(128&gt;$E$8,"",INDEX('CONTROLES'!$AF$13:$AF$1012,MATCH(128,'CONTROLES'!$AH$13:$AH$1012,0)))</f>
      </c>
      <c r="G140" s="30">
        <f>IF(128&gt;$E$8,"",IF(INDEX('CONTROLES'!$AG$13:$AG$1012,MATCH(128,'CONTROLES'!$AH$13:$AH$1012,0))=2,"ROJO","ÁMBAR"))</f>
      </c>
    </row>
    <row r="141" ht="22" customHeight="1">
      <c r="B141" s="30">
        <f>IF(129&gt;$E$8,"",INDEX('CONTROLES'!$AB$13:$AB$1012,MATCH(129,'CONTROLES'!$AH$13:$AH$1012,0)))</f>
      </c>
      <c r="C141" s="30">
        <f>IF(129&gt;$E$8,"",INDEX('CONTROLES'!$AC$13:$AC$1012,MATCH(129,'CONTROLES'!$AH$13:$AH$1012,0)))</f>
      </c>
      <c r="D141" s="30">
        <f>IF(129&gt;$E$8,"",INDEX('CONTROLES'!$AD$13:$AD$1012,MATCH(129,'CONTROLES'!$AH$13:$AH$1012,0)))</f>
      </c>
      <c r="E141" s="30">
        <f>IF(129&gt;$E$8,"",INDEX('CONTROLES'!$AE$13:$AE$1012,MATCH(129,'CONTROLES'!$AH$13:$AH$1012,0)))</f>
      </c>
      <c r="F141" s="30">
        <f>IF(129&gt;$E$8,"",INDEX('CONTROLES'!$AF$13:$AF$1012,MATCH(129,'CONTROLES'!$AH$13:$AH$1012,0)))</f>
      </c>
      <c r="G141" s="30">
        <f>IF(129&gt;$E$8,"",IF(INDEX('CONTROLES'!$AG$13:$AG$1012,MATCH(129,'CONTROLES'!$AH$13:$AH$1012,0))=2,"ROJO","ÁMBAR"))</f>
      </c>
    </row>
    <row r="142" ht="22" customHeight="1">
      <c r="B142" s="30">
        <f>IF(130&gt;$E$8,"",INDEX('CONTROLES'!$AB$13:$AB$1012,MATCH(130,'CONTROLES'!$AH$13:$AH$1012,0)))</f>
      </c>
      <c r="C142" s="30">
        <f>IF(130&gt;$E$8,"",INDEX('CONTROLES'!$AC$13:$AC$1012,MATCH(130,'CONTROLES'!$AH$13:$AH$1012,0)))</f>
      </c>
      <c r="D142" s="30">
        <f>IF(130&gt;$E$8,"",INDEX('CONTROLES'!$AD$13:$AD$1012,MATCH(130,'CONTROLES'!$AH$13:$AH$1012,0)))</f>
      </c>
      <c r="E142" s="30">
        <f>IF(130&gt;$E$8,"",INDEX('CONTROLES'!$AE$13:$AE$1012,MATCH(130,'CONTROLES'!$AH$13:$AH$1012,0)))</f>
      </c>
      <c r="F142" s="30">
        <f>IF(130&gt;$E$8,"",INDEX('CONTROLES'!$AF$13:$AF$1012,MATCH(130,'CONTROLES'!$AH$13:$AH$1012,0)))</f>
      </c>
      <c r="G142" s="30">
        <f>IF(130&gt;$E$8,"",IF(INDEX('CONTROLES'!$AG$13:$AG$1012,MATCH(130,'CONTROLES'!$AH$13:$AH$1012,0))=2,"ROJO","ÁMBAR"))</f>
      </c>
    </row>
    <row r="143" ht="22" customHeight="1">
      <c r="B143" s="30">
        <f>IF(131&gt;$E$8,"",INDEX('CONTROLES'!$AB$13:$AB$1012,MATCH(131,'CONTROLES'!$AH$13:$AH$1012,0)))</f>
      </c>
      <c r="C143" s="30">
        <f>IF(131&gt;$E$8,"",INDEX('CONTROLES'!$AC$13:$AC$1012,MATCH(131,'CONTROLES'!$AH$13:$AH$1012,0)))</f>
      </c>
      <c r="D143" s="30">
        <f>IF(131&gt;$E$8,"",INDEX('CONTROLES'!$AD$13:$AD$1012,MATCH(131,'CONTROLES'!$AH$13:$AH$1012,0)))</f>
      </c>
      <c r="E143" s="30">
        <f>IF(131&gt;$E$8,"",INDEX('CONTROLES'!$AE$13:$AE$1012,MATCH(131,'CONTROLES'!$AH$13:$AH$1012,0)))</f>
      </c>
      <c r="F143" s="30">
        <f>IF(131&gt;$E$8,"",INDEX('CONTROLES'!$AF$13:$AF$1012,MATCH(131,'CONTROLES'!$AH$13:$AH$1012,0)))</f>
      </c>
      <c r="G143" s="30">
        <f>IF(131&gt;$E$8,"",IF(INDEX('CONTROLES'!$AG$13:$AG$1012,MATCH(131,'CONTROLES'!$AH$13:$AH$1012,0))=2,"ROJO","ÁMBAR"))</f>
      </c>
    </row>
    <row r="144" ht="22" customHeight="1">
      <c r="B144" s="30">
        <f>IF(132&gt;$E$8,"",INDEX('CONTROLES'!$AB$13:$AB$1012,MATCH(132,'CONTROLES'!$AH$13:$AH$1012,0)))</f>
      </c>
      <c r="C144" s="30">
        <f>IF(132&gt;$E$8,"",INDEX('CONTROLES'!$AC$13:$AC$1012,MATCH(132,'CONTROLES'!$AH$13:$AH$1012,0)))</f>
      </c>
      <c r="D144" s="30">
        <f>IF(132&gt;$E$8,"",INDEX('CONTROLES'!$AD$13:$AD$1012,MATCH(132,'CONTROLES'!$AH$13:$AH$1012,0)))</f>
      </c>
      <c r="E144" s="30">
        <f>IF(132&gt;$E$8,"",INDEX('CONTROLES'!$AE$13:$AE$1012,MATCH(132,'CONTROLES'!$AH$13:$AH$1012,0)))</f>
      </c>
      <c r="F144" s="30">
        <f>IF(132&gt;$E$8,"",INDEX('CONTROLES'!$AF$13:$AF$1012,MATCH(132,'CONTROLES'!$AH$13:$AH$1012,0)))</f>
      </c>
      <c r="G144" s="30">
        <f>IF(132&gt;$E$8,"",IF(INDEX('CONTROLES'!$AG$13:$AG$1012,MATCH(132,'CONTROLES'!$AH$13:$AH$1012,0))=2,"ROJO","ÁMBAR"))</f>
      </c>
    </row>
    <row r="145" ht="22" customHeight="1">
      <c r="B145" s="30">
        <f>IF(133&gt;$E$8,"",INDEX('CONTROLES'!$AB$13:$AB$1012,MATCH(133,'CONTROLES'!$AH$13:$AH$1012,0)))</f>
      </c>
      <c r="C145" s="30">
        <f>IF(133&gt;$E$8,"",INDEX('CONTROLES'!$AC$13:$AC$1012,MATCH(133,'CONTROLES'!$AH$13:$AH$1012,0)))</f>
      </c>
      <c r="D145" s="30">
        <f>IF(133&gt;$E$8,"",INDEX('CONTROLES'!$AD$13:$AD$1012,MATCH(133,'CONTROLES'!$AH$13:$AH$1012,0)))</f>
      </c>
      <c r="E145" s="30">
        <f>IF(133&gt;$E$8,"",INDEX('CONTROLES'!$AE$13:$AE$1012,MATCH(133,'CONTROLES'!$AH$13:$AH$1012,0)))</f>
      </c>
      <c r="F145" s="30">
        <f>IF(133&gt;$E$8,"",INDEX('CONTROLES'!$AF$13:$AF$1012,MATCH(133,'CONTROLES'!$AH$13:$AH$1012,0)))</f>
      </c>
      <c r="G145" s="30">
        <f>IF(133&gt;$E$8,"",IF(INDEX('CONTROLES'!$AG$13:$AG$1012,MATCH(133,'CONTROLES'!$AH$13:$AH$1012,0))=2,"ROJO","ÁMBAR"))</f>
      </c>
    </row>
    <row r="146" ht="22" customHeight="1">
      <c r="B146" s="30">
        <f>IF(134&gt;$E$8,"",INDEX('CONTROLES'!$AB$13:$AB$1012,MATCH(134,'CONTROLES'!$AH$13:$AH$1012,0)))</f>
      </c>
      <c r="C146" s="30">
        <f>IF(134&gt;$E$8,"",INDEX('CONTROLES'!$AC$13:$AC$1012,MATCH(134,'CONTROLES'!$AH$13:$AH$1012,0)))</f>
      </c>
      <c r="D146" s="30">
        <f>IF(134&gt;$E$8,"",INDEX('CONTROLES'!$AD$13:$AD$1012,MATCH(134,'CONTROLES'!$AH$13:$AH$1012,0)))</f>
      </c>
      <c r="E146" s="30">
        <f>IF(134&gt;$E$8,"",INDEX('CONTROLES'!$AE$13:$AE$1012,MATCH(134,'CONTROLES'!$AH$13:$AH$1012,0)))</f>
      </c>
      <c r="F146" s="30">
        <f>IF(134&gt;$E$8,"",INDEX('CONTROLES'!$AF$13:$AF$1012,MATCH(134,'CONTROLES'!$AH$13:$AH$1012,0)))</f>
      </c>
      <c r="G146" s="30">
        <f>IF(134&gt;$E$8,"",IF(INDEX('CONTROLES'!$AG$13:$AG$1012,MATCH(134,'CONTROLES'!$AH$13:$AH$1012,0))=2,"ROJO","ÁMBAR"))</f>
      </c>
    </row>
    <row r="147" ht="22" customHeight="1">
      <c r="B147" s="30">
        <f>IF(135&gt;$E$8,"",INDEX('CONTROLES'!$AB$13:$AB$1012,MATCH(135,'CONTROLES'!$AH$13:$AH$1012,0)))</f>
      </c>
      <c r="C147" s="30">
        <f>IF(135&gt;$E$8,"",INDEX('CONTROLES'!$AC$13:$AC$1012,MATCH(135,'CONTROLES'!$AH$13:$AH$1012,0)))</f>
      </c>
      <c r="D147" s="30">
        <f>IF(135&gt;$E$8,"",INDEX('CONTROLES'!$AD$13:$AD$1012,MATCH(135,'CONTROLES'!$AH$13:$AH$1012,0)))</f>
      </c>
      <c r="E147" s="30">
        <f>IF(135&gt;$E$8,"",INDEX('CONTROLES'!$AE$13:$AE$1012,MATCH(135,'CONTROLES'!$AH$13:$AH$1012,0)))</f>
      </c>
      <c r="F147" s="30">
        <f>IF(135&gt;$E$8,"",INDEX('CONTROLES'!$AF$13:$AF$1012,MATCH(135,'CONTROLES'!$AH$13:$AH$1012,0)))</f>
      </c>
      <c r="G147" s="30">
        <f>IF(135&gt;$E$8,"",IF(INDEX('CONTROLES'!$AG$13:$AG$1012,MATCH(135,'CONTROLES'!$AH$13:$AH$1012,0))=2,"ROJO","ÁMBAR"))</f>
      </c>
    </row>
    <row r="148" ht="22" customHeight="1">
      <c r="B148" s="30">
        <f>IF(136&gt;$E$8,"",INDEX('CONTROLES'!$AB$13:$AB$1012,MATCH(136,'CONTROLES'!$AH$13:$AH$1012,0)))</f>
      </c>
      <c r="C148" s="30">
        <f>IF(136&gt;$E$8,"",INDEX('CONTROLES'!$AC$13:$AC$1012,MATCH(136,'CONTROLES'!$AH$13:$AH$1012,0)))</f>
      </c>
      <c r="D148" s="30">
        <f>IF(136&gt;$E$8,"",INDEX('CONTROLES'!$AD$13:$AD$1012,MATCH(136,'CONTROLES'!$AH$13:$AH$1012,0)))</f>
      </c>
      <c r="E148" s="30">
        <f>IF(136&gt;$E$8,"",INDEX('CONTROLES'!$AE$13:$AE$1012,MATCH(136,'CONTROLES'!$AH$13:$AH$1012,0)))</f>
      </c>
      <c r="F148" s="30">
        <f>IF(136&gt;$E$8,"",INDEX('CONTROLES'!$AF$13:$AF$1012,MATCH(136,'CONTROLES'!$AH$13:$AH$1012,0)))</f>
      </c>
      <c r="G148" s="30">
        <f>IF(136&gt;$E$8,"",IF(INDEX('CONTROLES'!$AG$13:$AG$1012,MATCH(136,'CONTROLES'!$AH$13:$AH$1012,0))=2,"ROJO","ÁMBAR"))</f>
      </c>
    </row>
    <row r="149" ht="22" customHeight="1">
      <c r="B149" s="30">
        <f>IF(137&gt;$E$8,"",INDEX('CONTROLES'!$AB$13:$AB$1012,MATCH(137,'CONTROLES'!$AH$13:$AH$1012,0)))</f>
      </c>
      <c r="C149" s="30">
        <f>IF(137&gt;$E$8,"",INDEX('CONTROLES'!$AC$13:$AC$1012,MATCH(137,'CONTROLES'!$AH$13:$AH$1012,0)))</f>
      </c>
      <c r="D149" s="30">
        <f>IF(137&gt;$E$8,"",INDEX('CONTROLES'!$AD$13:$AD$1012,MATCH(137,'CONTROLES'!$AH$13:$AH$1012,0)))</f>
      </c>
      <c r="E149" s="30">
        <f>IF(137&gt;$E$8,"",INDEX('CONTROLES'!$AE$13:$AE$1012,MATCH(137,'CONTROLES'!$AH$13:$AH$1012,0)))</f>
      </c>
      <c r="F149" s="30">
        <f>IF(137&gt;$E$8,"",INDEX('CONTROLES'!$AF$13:$AF$1012,MATCH(137,'CONTROLES'!$AH$13:$AH$1012,0)))</f>
      </c>
      <c r="G149" s="30">
        <f>IF(137&gt;$E$8,"",IF(INDEX('CONTROLES'!$AG$13:$AG$1012,MATCH(137,'CONTROLES'!$AH$13:$AH$1012,0))=2,"ROJO","ÁMBAR"))</f>
      </c>
    </row>
    <row r="150" ht="22" customHeight="1">
      <c r="B150" s="30">
        <f>IF(138&gt;$E$8,"",INDEX('CONTROLES'!$AB$13:$AB$1012,MATCH(138,'CONTROLES'!$AH$13:$AH$1012,0)))</f>
      </c>
      <c r="C150" s="30">
        <f>IF(138&gt;$E$8,"",INDEX('CONTROLES'!$AC$13:$AC$1012,MATCH(138,'CONTROLES'!$AH$13:$AH$1012,0)))</f>
      </c>
      <c r="D150" s="30">
        <f>IF(138&gt;$E$8,"",INDEX('CONTROLES'!$AD$13:$AD$1012,MATCH(138,'CONTROLES'!$AH$13:$AH$1012,0)))</f>
      </c>
      <c r="E150" s="30">
        <f>IF(138&gt;$E$8,"",INDEX('CONTROLES'!$AE$13:$AE$1012,MATCH(138,'CONTROLES'!$AH$13:$AH$1012,0)))</f>
      </c>
      <c r="F150" s="30">
        <f>IF(138&gt;$E$8,"",INDEX('CONTROLES'!$AF$13:$AF$1012,MATCH(138,'CONTROLES'!$AH$13:$AH$1012,0)))</f>
      </c>
      <c r="G150" s="30">
        <f>IF(138&gt;$E$8,"",IF(INDEX('CONTROLES'!$AG$13:$AG$1012,MATCH(138,'CONTROLES'!$AH$13:$AH$1012,0))=2,"ROJO","ÁMBAR"))</f>
      </c>
    </row>
    <row r="151" ht="22" customHeight="1">
      <c r="B151" s="30">
        <f>IF(139&gt;$E$8,"",INDEX('CONTROLES'!$AB$13:$AB$1012,MATCH(139,'CONTROLES'!$AH$13:$AH$1012,0)))</f>
      </c>
      <c r="C151" s="30">
        <f>IF(139&gt;$E$8,"",INDEX('CONTROLES'!$AC$13:$AC$1012,MATCH(139,'CONTROLES'!$AH$13:$AH$1012,0)))</f>
      </c>
      <c r="D151" s="30">
        <f>IF(139&gt;$E$8,"",INDEX('CONTROLES'!$AD$13:$AD$1012,MATCH(139,'CONTROLES'!$AH$13:$AH$1012,0)))</f>
      </c>
      <c r="E151" s="30">
        <f>IF(139&gt;$E$8,"",INDEX('CONTROLES'!$AE$13:$AE$1012,MATCH(139,'CONTROLES'!$AH$13:$AH$1012,0)))</f>
      </c>
      <c r="F151" s="30">
        <f>IF(139&gt;$E$8,"",INDEX('CONTROLES'!$AF$13:$AF$1012,MATCH(139,'CONTROLES'!$AH$13:$AH$1012,0)))</f>
      </c>
      <c r="G151" s="30">
        <f>IF(139&gt;$E$8,"",IF(INDEX('CONTROLES'!$AG$13:$AG$1012,MATCH(139,'CONTROLES'!$AH$13:$AH$1012,0))=2,"ROJO","ÁMBAR"))</f>
      </c>
    </row>
    <row r="152" ht="22" customHeight="1">
      <c r="B152" s="30">
        <f>IF(140&gt;$E$8,"",INDEX('CONTROLES'!$AB$13:$AB$1012,MATCH(140,'CONTROLES'!$AH$13:$AH$1012,0)))</f>
      </c>
      <c r="C152" s="30">
        <f>IF(140&gt;$E$8,"",INDEX('CONTROLES'!$AC$13:$AC$1012,MATCH(140,'CONTROLES'!$AH$13:$AH$1012,0)))</f>
      </c>
      <c r="D152" s="30">
        <f>IF(140&gt;$E$8,"",INDEX('CONTROLES'!$AD$13:$AD$1012,MATCH(140,'CONTROLES'!$AH$13:$AH$1012,0)))</f>
      </c>
      <c r="E152" s="30">
        <f>IF(140&gt;$E$8,"",INDEX('CONTROLES'!$AE$13:$AE$1012,MATCH(140,'CONTROLES'!$AH$13:$AH$1012,0)))</f>
      </c>
      <c r="F152" s="30">
        <f>IF(140&gt;$E$8,"",INDEX('CONTROLES'!$AF$13:$AF$1012,MATCH(140,'CONTROLES'!$AH$13:$AH$1012,0)))</f>
      </c>
      <c r="G152" s="30">
        <f>IF(140&gt;$E$8,"",IF(INDEX('CONTROLES'!$AG$13:$AG$1012,MATCH(140,'CONTROLES'!$AH$13:$AH$1012,0))=2,"ROJO","ÁMBAR"))</f>
      </c>
    </row>
    <row r="153" ht="22" customHeight="1">
      <c r="B153" s="30">
        <f>IF(141&gt;$E$8,"",INDEX('CONTROLES'!$AB$13:$AB$1012,MATCH(141,'CONTROLES'!$AH$13:$AH$1012,0)))</f>
      </c>
      <c r="C153" s="30">
        <f>IF(141&gt;$E$8,"",INDEX('CONTROLES'!$AC$13:$AC$1012,MATCH(141,'CONTROLES'!$AH$13:$AH$1012,0)))</f>
      </c>
      <c r="D153" s="30">
        <f>IF(141&gt;$E$8,"",INDEX('CONTROLES'!$AD$13:$AD$1012,MATCH(141,'CONTROLES'!$AH$13:$AH$1012,0)))</f>
      </c>
      <c r="E153" s="30">
        <f>IF(141&gt;$E$8,"",INDEX('CONTROLES'!$AE$13:$AE$1012,MATCH(141,'CONTROLES'!$AH$13:$AH$1012,0)))</f>
      </c>
      <c r="F153" s="30">
        <f>IF(141&gt;$E$8,"",INDEX('CONTROLES'!$AF$13:$AF$1012,MATCH(141,'CONTROLES'!$AH$13:$AH$1012,0)))</f>
      </c>
      <c r="G153" s="30">
        <f>IF(141&gt;$E$8,"",IF(INDEX('CONTROLES'!$AG$13:$AG$1012,MATCH(141,'CONTROLES'!$AH$13:$AH$1012,0))=2,"ROJO","ÁMBAR"))</f>
      </c>
    </row>
    <row r="154" ht="22" customHeight="1">
      <c r="B154" s="30">
        <f>IF(142&gt;$E$8,"",INDEX('CONTROLES'!$AB$13:$AB$1012,MATCH(142,'CONTROLES'!$AH$13:$AH$1012,0)))</f>
      </c>
      <c r="C154" s="30">
        <f>IF(142&gt;$E$8,"",INDEX('CONTROLES'!$AC$13:$AC$1012,MATCH(142,'CONTROLES'!$AH$13:$AH$1012,0)))</f>
      </c>
      <c r="D154" s="30">
        <f>IF(142&gt;$E$8,"",INDEX('CONTROLES'!$AD$13:$AD$1012,MATCH(142,'CONTROLES'!$AH$13:$AH$1012,0)))</f>
      </c>
      <c r="E154" s="30">
        <f>IF(142&gt;$E$8,"",INDEX('CONTROLES'!$AE$13:$AE$1012,MATCH(142,'CONTROLES'!$AH$13:$AH$1012,0)))</f>
      </c>
      <c r="F154" s="30">
        <f>IF(142&gt;$E$8,"",INDEX('CONTROLES'!$AF$13:$AF$1012,MATCH(142,'CONTROLES'!$AH$13:$AH$1012,0)))</f>
      </c>
      <c r="G154" s="30">
        <f>IF(142&gt;$E$8,"",IF(INDEX('CONTROLES'!$AG$13:$AG$1012,MATCH(142,'CONTROLES'!$AH$13:$AH$1012,0))=2,"ROJO","ÁMBAR"))</f>
      </c>
    </row>
    <row r="155" ht="22" customHeight="1">
      <c r="B155" s="30">
        <f>IF(143&gt;$E$8,"",INDEX('CONTROLES'!$AB$13:$AB$1012,MATCH(143,'CONTROLES'!$AH$13:$AH$1012,0)))</f>
      </c>
      <c r="C155" s="30">
        <f>IF(143&gt;$E$8,"",INDEX('CONTROLES'!$AC$13:$AC$1012,MATCH(143,'CONTROLES'!$AH$13:$AH$1012,0)))</f>
      </c>
      <c r="D155" s="30">
        <f>IF(143&gt;$E$8,"",INDEX('CONTROLES'!$AD$13:$AD$1012,MATCH(143,'CONTROLES'!$AH$13:$AH$1012,0)))</f>
      </c>
      <c r="E155" s="30">
        <f>IF(143&gt;$E$8,"",INDEX('CONTROLES'!$AE$13:$AE$1012,MATCH(143,'CONTROLES'!$AH$13:$AH$1012,0)))</f>
      </c>
      <c r="F155" s="30">
        <f>IF(143&gt;$E$8,"",INDEX('CONTROLES'!$AF$13:$AF$1012,MATCH(143,'CONTROLES'!$AH$13:$AH$1012,0)))</f>
      </c>
      <c r="G155" s="30">
        <f>IF(143&gt;$E$8,"",IF(INDEX('CONTROLES'!$AG$13:$AG$1012,MATCH(143,'CONTROLES'!$AH$13:$AH$1012,0))=2,"ROJO","ÁMBAR"))</f>
      </c>
    </row>
    <row r="156" ht="22" customHeight="1">
      <c r="B156" s="30">
        <f>IF(144&gt;$E$8,"",INDEX('CONTROLES'!$AB$13:$AB$1012,MATCH(144,'CONTROLES'!$AH$13:$AH$1012,0)))</f>
      </c>
      <c r="C156" s="30">
        <f>IF(144&gt;$E$8,"",INDEX('CONTROLES'!$AC$13:$AC$1012,MATCH(144,'CONTROLES'!$AH$13:$AH$1012,0)))</f>
      </c>
      <c r="D156" s="30">
        <f>IF(144&gt;$E$8,"",INDEX('CONTROLES'!$AD$13:$AD$1012,MATCH(144,'CONTROLES'!$AH$13:$AH$1012,0)))</f>
      </c>
      <c r="E156" s="30">
        <f>IF(144&gt;$E$8,"",INDEX('CONTROLES'!$AE$13:$AE$1012,MATCH(144,'CONTROLES'!$AH$13:$AH$1012,0)))</f>
      </c>
      <c r="F156" s="30">
        <f>IF(144&gt;$E$8,"",INDEX('CONTROLES'!$AF$13:$AF$1012,MATCH(144,'CONTROLES'!$AH$13:$AH$1012,0)))</f>
      </c>
      <c r="G156" s="30">
        <f>IF(144&gt;$E$8,"",IF(INDEX('CONTROLES'!$AG$13:$AG$1012,MATCH(144,'CONTROLES'!$AH$13:$AH$1012,0))=2,"ROJO","ÁMBAR"))</f>
      </c>
    </row>
    <row r="157" ht="22" customHeight="1">
      <c r="B157" s="30">
        <f>IF(145&gt;$E$8,"",INDEX('CONTROLES'!$AB$13:$AB$1012,MATCH(145,'CONTROLES'!$AH$13:$AH$1012,0)))</f>
      </c>
      <c r="C157" s="30">
        <f>IF(145&gt;$E$8,"",INDEX('CONTROLES'!$AC$13:$AC$1012,MATCH(145,'CONTROLES'!$AH$13:$AH$1012,0)))</f>
      </c>
      <c r="D157" s="30">
        <f>IF(145&gt;$E$8,"",INDEX('CONTROLES'!$AD$13:$AD$1012,MATCH(145,'CONTROLES'!$AH$13:$AH$1012,0)))</f>
      </c>
      <c r="E157" s="30">
        <f>IF(145&gt;$E$8,"",INDEX('CONTROLES'!$AE$13:$AE$1012,MATCH(145,'CONTROLES'!$AH$13:$AH$1012,0)))</f>
      </c>
      <c r="F157" s="30">
        <f>IF(145&gt;$E$8,"",INDEX('CONTROLES'!$AF$13:$AF$1012,MATCH(145,'CONTROLES'!$AH$13:$AH$1012,0)))</f>
      </c>
      <c r="G157" s="30">
        <f>IF(145&gt;$E$8,"",IF(INDEX('CONTROLES'!$AG$13:$AG$1012,MATCH(145,'CONTROLES'!$AH$13:$AH$1012,0))=2,"ROJO","ÁMBAR"))</f>
      </c>
    </row>
    <row r="158" ht="22" customHeight="1">
      <c r="B158" s="30">
        <f>IF(146&gt;$E$8,"",INDEX('CONTROLES'!$AB$13:$AB$1012,MATCH(146,'CONTROLES'!$AH$13:$AH$1012,0)))</f>
      </c>
      <c r="C158" s="30">
        <f>IF(146&gt;$E$8,"",INDEX('CONTROLES'!$AC$13:$AC$1012,MATCH(146,'CONTROLES'!$AH$13:$AH$1012,0)))</f>
      </c>
      <c r="D158" s="30">
        <f>IF(146&gt;$E$8,"",INDEX('CONTROLES'!$AD$13:$AD$1012,MATCH(146,'CONTROLES'!$AH$13:$AH$1012,0)))</f>
      </c>
      <c r="E158" s="30">
        <f>IF(146&gt;$E$8,"",INDEX('CONTROLES'!$AE$13:$AE$1012,MATCH(146,'CONTROLES'!$AH$13:$AH$1012,0)))</f>
      </c>
      <c r="F158" s="30">
        <f>IF(146&gt;$E$8,"",INDEX('CONTROLES'!$AF$13:$AF$1012,MATCH(146,'CONTROLES'!$AH$13:$AH$1012,0)))</f>
      </c>
      <c r="G158" s="30">
        <f>IF(146&gt;$E$8,"",IF(INDEX('CONTROLES'!$AG$13:$AG$1012,MATCH(146,'CONTROLES'!$AH$13:$AH$1012,0))=2,"ROJO","ÁMBAR"))</f>
      </c>
    </row>
    <row r="159" ht="22" customHeight="1">
      <c r="B159" s="30">
        <f>IF(147&gt;$E$8,"",INDEX('CONTROLES'!$AB$13:$AB$1012,MATCH(147,'CONTROLES'!$AH$13:$AH$1012,0)))</f>
      </c>
      <c r="C159" s="30">
        <f>IF(147&gt;$E$8,"",INDEX('CONTROLES'!$AC$13:$AC$1012,MATCH(147,'CONTROLES'!$AH$13:$AH$1012,0)))</f>
      </c>
      <c r="D159" s="30">
        <f>IF(147&gt;$E$8,"",INDEX('CONTROLES'!$AD$13:$AD$1012,MATCH(147,'CONTROLES'!$AH$13:$AH$1012,0)))</f>
      </c>
      <c r="E159" s="30">
        <f>IF(147&gt;$E$8,"",INDEX('CONTROLES'!$AE$13:$AE$1012,MATCH(147,'CONTROLES'!$AH$13:$AH$1012,0)))</f>
      </c>
      <c r="F159" s="30">
        <f>IF(147&gt;$E$8,"",INDEX('CONTROLES'!$AF$13:$AF$1012,MATCH(147,'CONTROLES'!$AH$13:$AH$1012,0)))</f>
      </c>
      <c r="G159" s="30">
        <f>IF(147&gt;$E$8,"",IF(INDEX('CONTROLES'!$AG$13:$AG$1012,MATCH(147,'CONTROLES'!$AH$13:$AH$1012,0))=2,"ROJO","ÁMBAR"))</f>
      </c>
    </row>
    <row r="160" ht="22" customHeight="1">
      <c r="B160" s="30">
        <f>IF(148&gt;$E$8,"",INDEX('CONTROLES'!$AB$13:$AB$1012,MATCH(148,'CONTROLES'!$AH$13:$AH$1012,0)))</f>
      </c>
      <c r="C160" s="30">
        <f>IF(148&gt;$E$8,"",INDEX('CONTROLES'!$AC$13:$AC$1012,MATCH(148,'CONTROLES'!$AH$13:$AH$1012,0)))</f>
      </c>
      <c r="D160" s="30">
        <f>IF(148&gt;$E$8,"",INDEX('CONTROLES'!$AD$13:$AD$1012,MATCH(148,'CONTROLES'!$AH$13:$AH$1012,0)))</f>
      </c>
      <c r="E160" s="30">
        <f>IF(148&gt;$E$8,"",INDEX('CONTROLES'!$AE$13:$AE$1012,MATCH(148,'CONTROLES'!$AH$13:$AH$1012,0)))</f>
      </c>
      <c r="F160" s="30">
        <f>IF(148&gt;$E$8,"",INDEX('CONTROLES'!$AF$13:$AF$1012,MATCH(148,'CONTROLES'!$AH$13:$AH$1012,0)))</f>
      </c>
      <c r="G160" s="30">
        <f>IF(148&gt;$E$8,"",IF(INDEX('CONTROLES'!$AG$13:$AG$1012,MATCH(148,'CONTROLES'!$AH$13:$AH$1012,0))=2,"ROJO","ÁMBAR"))</f>
      </c>
    </row>
    <row r="161" ht="22" customHeight="1">
      <c r="B161" s="30">
        <f>IF(149&gt;$E$8,"",INDEX('CONTROLES'!$AB$13:$AB$1012,MATCH(149,'CONTROLES'!$AH$13:$AH$1012,0)))</f>
      </c>
      <c r="C161" s="30">
        <f>IF(149&gt;$E$8,"",INDEX('CONTROLES'!$AC$13:$AC$1012,MATCH(149,'CONTROLES'!$AH$13:$AH$1012,0)))</f>
      </c>
      <c r="D161" s="30">
        <f>IF(149&gt;$E$8,"",INDEX('CONTROLES'!$AD$13:$AD$1012,MATCH(149,'CONTROLES'!$AH$13:$AH$1012,0)))</f>
      </c>
      <c r="E161" s="30">
        <f>IF(149&gt;$E$8,"",INDEX('CONTROLES'!$AE$13:$AE$1012,MATCH(149,'CONTROLES'!$AH$13:$AH$1012,0)))</f>
      </c>
      <c r="F161" s="30">
        <f>IF(149&gt;$E$8,"",INDEX('CONTROLES'!$AF$13:$AF$1012,MATCH(149,'CONTROLES'!$AH$13:$AH$1012,0)))</f>
      </c>
      <c r="G161" s="30">
        <f>IF(149&gt;$E$8,"",IF(INDEX('CONTROLES'!$AG$13:$AG$1012,MATCH(149,'CONTROLES'!$AH$13:$AH$1012,0))=2,"ROJO","ÁMBAR"))</f>
      </c>
    </row>
    <row r="162" ht="22" customHeight="1">
      <c r="B162" s="30">
        <f>IF(150&gt;$E$8,"",INDEX('CONTROLES'!$AB$13:$AB$1012,MATCH(150,'CONTROLES'!$AH$13:$AH$1012,0)))</f>
      </c>
      <c r="C162" s="30">
        <f>IF(150&gt;$E$8,"",INDEX('CONTROLES'!$AC$13:$AC$1012,MATCH(150,'CONTROLES'!$AH$13:$AH$1012,0)))</f>
      </c>
      <c r="D162" s="30">
        <f>IF(150&gt;$E$8,"",INDEX('CONTROLES'!$AD$13:$AD$1012,MATCH(150,'CONTROLES'!$AH$13:$AH$1012,0)))</f>
      </c>
      <c r="E162" s="30">
        <f>IF(150&gt;$E$8,"",INDEX('CONTROLES'!$AE$13:$AE$1012,MATCH(150,'CONTROLES'!$AH$13:$AH$1012,0)))</f>
      </c>
      <c r="F162" s="30">
        <f>IF(150&gt;$E$8,"",INDEX('CONTROLES'!$AF$13:$AF$1012,MATCH(150,'CONTROLES'!$AH$13:$AH$1012,0)))</f>
      </c>
      <c r="G162" s="30">
        <f>IF(150&gt;$E$8,"",IF(INDEX('CONTROLES'!$AG$13:$AG$1012,MATCH(150,'CONTROLES'!$AH$13:$AH$1012,0))=2,"ROJO","ÁMBAR"))</f>
      </c>
    </row>
    <row r="163" ht="22" customHeight="1">
      <c r="B163" s="30">
        <f>IF(151&gt;$E$8,"",INDEX('CONTROLES'!$AB$13:$AB$1012,MATCH(151,'CONTROLES'!$AH$13:$AH$1012,0)))</f>
      </c>
      <c r="C163" s="30">
        <f>IF(151&gt;$E$8,"",INDEX('CONTROLES'!$AC$13:$AC$1012,MATCH(151,'CONTROLES'!$AH$13:$AH$1012,0)))</f>
      </c>
      <c r="D163" s="30">
        <f>IF(151&gt;$E$8,"",INDEX('CONTROLES'!$AD$13:$AD$1012,MATCH(151,'CONTROLES'!$AH$13:$AH$1012,0)))</f>
      </c>
      <c r="E163" s="30">
        <f>IF(151&gt;$E$8,"",INDEX('CONTROLES'!$AE$13:$AE$1012,MATCH(151,'CONTROLES'!$AH$13:$AH$1012,0)))</f>
      </c>
      <c r="F163" s="30">
        <f>IF(151&gt;$E$8,"",INDEX('CONTROLES'!$AF$13:$AF$1012,MATCH(151,'CONTROLES'!$AH$13:$AH$1012,0)))</f>
      </c>
      <c r="G163" s="30">
        <f>IF(151&gt;$E$8,"",IF(INDEX('CONTROLES'!$AG$13:$AG$1012,MATCH(151,'CONTROLES'!$AH$13:$AH$1012,0))=2,"ROJO","ÁMBAR"))</f>
      </c>
    </row>
    <row r="164" ht="22" customHeight="1">
      <c r="B164" s="30">
        <f>IF(152&gt;$E$8,"",INDEX('CONTROLES'!$AB$13:$AB$1012,MATCH(152,'CONTROLES'!$AH$13:$AH$1012,0)))</f>
      </c>
      <c r="C164" s="30">
        <f>IF(152&gt;$E$8,"",INDEX('CONTROLES'!$AC$13:$AC$1012,MATCH(152,'CONTROLES'!$AH$13:$AH$1012,0)))</f>
      </c>
      <c r="D164" s="30">
        <f>IF(152&gt;$E$8,"",INDEX('CONTROLES'!$AD$13:$AD$1012,MATCH(152,'CONTROLES'!$AH$13:$AH$1012,0)))</f>
      </c>
      <c r="E164" s="30">
        <f>IF(152&gt;$E$8,"",INDEX('CONTROLES'!$AE$13:$AE$1012,MATCH(152,'CONTROLES'!$AH$13:$AH$1012,0)))</f>
      </c>
      <c r="F164" s="30">
        <f>IF(152&gt;$E$8,"",INDEX('CONTROLES'!$AF$13:$AF$1012,MATCH(152,'CONTROLES'!$AH$13:$AH$1012,0)))</f>
      </c>
      <c r="G164" s="30">
        <f>IF(152&gt;$E$8,"",IF(INDEX('CONTROLES'!$AG$13:$AG$1012,MATCH(152,'CONTROLES'!$AH$13:$AH$1012,0))=2,"ROJO","ÁMBAR"))</f>
      </c>
    </row>
    <row r="165" ht="22" customHeight="1">
      <c r="B165" s="30">
        <f>IF(153&gt;$E$8,"",INDEX('CONTROLES'!$AB$13:$AB$1012,MATCH(153,'CONTROLES'!$AH$13:$AH$1012,0)))</f>
      </c>
      <c r="C165" s="30">
        <f>IF(153&gt;$E$8,"",INDEX('CONTROLES'!$AC$13:$AC$1012,MATCH(153,'CONTROLES'!$AH$13:$AH$1012,0)))</f>
      </c>
      <c r="D165" s="30">
        <f>IF(153&gt;$E$8,"",INDEX('CONTROLES'!$AD$13:$AD$1012,MATCH(153,'CONTROLES'!$AH$13:$AH$1012,0)))</f>
      </c>
      <c r="E165" s="30">
        <f>IF(153&gt;$E$8,"",INDEX('CONTROLES'!$AE$13:$AE$1012,MATCH(153,'CONTROLES'!$AH$13:$AH$1012,0)))</f>
      </c>
      <c r="F165" s="30">
        <f>IF(153&gt;$E$8,"",INDEX('CONTROLES'!$AF$13:$AF$1012,MATCH(153,'CONTROLES'!$AH$13:$AH$1012,0)))</f>
      </c>
      <c r="G165" s="30">
        <f>IF(153&gt;$E$8,"",IF(INDEX('CONTROLES'!$AG$13:$AG$1012,MATCH(153,'CONTROLES'!$AH$13:$AH$1012,0))=2,"ROJO","ÁMBAR"))</f>
      </c>
    </row>
    <row r="166" ht="22" customHeight="1">
      <c r="B166" s="30">
        <f>IF(154&gt;$E$8,"",INDEX('CONTROLES'!$AB$13:$AB$1012,MATCH(154,'CONTROLES'!$AH$13:$AH$1012,0)))</f>
      </c>
      <c r="C166" s="30">
        <f>IF(154&gt;$E$8,"",INDEX('CONTROLES'!$AC$13:$AC$1012,MATCH(154,'CONTROLES'!$AH$13:$AH$1012,0)))</f>
      </c>
      <c r="D166" s="30">
        <f>IF(154&gt;$E$8,"",INDEX('CONTROLES'!$AD$13:$AD$1012,MATCH(154,'CONTROLES'!$AH$13:$AH$1012,0)))</f>
      </c>
      <c r="E166" s="30">
        <f>IF(154&gt;$E$8,"",INDEX('CONTROLES'!$AE$13:$AE$1012,MATCH(154,'CONTROLES'!$AH$13:$AH$1012,0)))</f>
      </c>
      <c r="F166" s="30">
        <f>IF(154&gt;$E$8,"",INDEX('CONTROLES'!$AF$13:$AF$1012,MATCH(154,'CONTROLES'!$AH$13:$AH$1012,0)))</f>
      </c>
      <c r="G166" s="30">
        <f>IF(154&gt;$E$8,"",IF(INDEX('CONTROLES'!$AG$13:$AG$1012,MATCH(154,'CONTROLES'!$AH$13:$AH$1012,0))=2,"ROJO","ÁMBAR"))</f>
      </c>
    </row>
    <row r="167" ht="22" customHeight="1">
      <c r="B167" s="30">
        <f>IF(155&gt;$E$8,"",INDEX('CONTROLES'!$AB$13:$AB$1012,MATCH(155,'CONTROLES'!$AH$13:$AH$1012,0)))</f>
      </c>
      <c r="C167" s="30">
        <f>IF(155&gt;$E$8,"",INDEX('CONTROLES'!$AC$13:$AC$1012,MATCH(155,'CONTROLES'!$AH$13:$AH$1012,0)))</f>
      </c>
      <c r="D167" s="30">
        <f>IF(155&gt;$E$8,"",INDEX('CONTROLES'!$AD$13:$AD$1012,MATCH(155,'CONTROLES'!$AH$13:$AH$1012,0)))</f>
      </c>
      <c r="E167" s="30">
        <f>IF(155&gt;$E$8,"",INDEX('CONTROLES'!$AE$13:$AE$1012,MATCH(155,'CONTROLES'!$AH$13:$AH$1012,0)))</f>
      </c>
      <c r="F167" s="30">
        <f>IF(155&gt;$E$8,"",INDEX('CONTROLES'!$AF$13:$AF$1012,MATCH(155,'CONTROLES'!$AH$13:$AH$1012,0)))</f>
      </c>
      <c r="G167" s="30">
        <f>IF(155&gt;$E$8,"",IF(INDEX('CONTROLES'!$AG$13:$AG$1012,MATCH(155,'CONTROLES'!$AH$13:$AH$1012,0))=2,"ROJO","ÁMBAR"))</f>
      </c>
    </row>
    <row r="168" ht="22" customHeight="1">
      <c r="B168" s="30">
        <f>IF(156&gt;$E$8,"",INDEX('CONTROLES'!$AB$13:$AB$1012,MATCH(156,'CONTROLES'!$AH$13:$AH$1012,0)))</f>
      </c>
      <c r="C168" s="30">
        <f>IF(156&gt;$E$8,"",INDEX('CONTROLES'!$AC$13:$AC$1012,MATCH(156,'CONTROLES'!$AH$13:$AH$1012,0)))</f>
      </c>
      <c r="D168" s="30">
        <f>IF(156&gt;$E$8,"",INDEX('CONTROLES'!$AD$13:$AD$1012,MATCH(156,'CONTROLES'!$AH$13:$AH$1012,0)))</f>
      </c>
      <c r="E168" s="30">
        <f>IF(156&gt;$E$8,"",INDEX('CONTROLES'!$AE$13:$AE$1012,MATCH(156,'CONTROLES'!$AH$13:$AH$1012,0)))</f>
      </c>
      <c r="F168" s="30">
        <f>IF(156&gt;$E$8,"",INDEX('CONTROLES'!$AF$13:$AF$1012,MATCH(156,'CONTROLES'!$AH$13:$AH$1012,0)))</f>
      </c>
      <c r="G168" s="30">
        <f>IF(156&gt;$E$8,"",IF(INDEX('CONTROLES'!$AG$13:$AG$1012,MATCH(156,'CONTROLES'!$AH$13:$AH$1012,0))=2,"ROJO","ÁMBAR"))</f>
      </c>
    </row>
    <row r="169" ht="22" customHeight="1">
      <c r="B169" s="30">
        <f>IF(157&gt;$E$8,"",INDEX('CONTROLES'!$AB$13:$AB$1012,MATCH(157,'CONTROLES'!$AH$13:$AH$1012,0)))</f>
      </c>
      <c r="C169" s="30">
        <f>IF(157&gt;$E$8,"",INDEX('CONTROLES'!$AC$13:$AC$1012,MATCH(157,'CONTROLES'!$AH$13:$AH$1012,0)))</f>
      </c>
      <c r="D169" s="30">
        <f>IF(157&gt;$E$8,"",INDEX('CONTROLES'!$AD$13:$AD$1012,MATCH(157,'CONTROLES'!$AH$13:$AH$1012,0)))</f>
      </c>
      <c r="E169" s="30">
        <f>IF(157&gt;$E$8,"",INDEX('CONTROLES'!$AE$13:$AE$1012,MATCH(157,'CONTROLES'!$AH$13:$AH$1012,0)))</f>
      </c>
      <c r="F169" s="30">
        <f>IF(157&gt;$E$8,"",INDEX('CONTROLES'!$AF$13:$AF$1012,MATCH(157,'CONTROLES'!$AH$13:$AH$1012,0)))</f>
      </c>
      <c r="G169" s="30">
        <f>IF(157&gt;$E$8,"",IF(INDEX('CONTROLES'!$AG$13:$AG$1012,MATCH(157,'CONTROLES'!$AH$13:$AH$1012,0))=2,"ROJO","ÁMBAR"))</f>
      </c>
    </row>
    <row r="170" ht="22" customHeight="1">
      <c r="B170" s="30">
        <f>IF(158&gt;$E$8,"",INDEX('CONTROLES'!$AB$13:$AB$1012,MATCH(158,'CONTROLES'!$AH$13:$AH$1012,0)))</f>
      </c>
      <c r="C170" s="30">
        <f>IF(158&gt;$E$8,"",INDEX('CONTROLES'!$AC$13:$AC$1012,MATCH(158,'CONTROLES'!$AH$13:$AH$1012,0)))</f>
      </c>
      <c r="D170" s="30">
        <f>IF(158&gt;$E$8,"",INDEX('CONTROLES'!$AD$13:$AD$1012,MATCH(158,'CONTROLES'!$AH$13:$AH$1012,0)))</f>
      </c>
      <c r="E170" s="30">
        <f>IF(158&gt;$E$8,"",INDEX('CONTROLES'!$AE$13:$AE$1012,MATCH(158,'CONTROLES'!$AH$13:$AH$1012,0)))</f>
      </c>
      <c r="F170" s="30">
        <f>IF(158&gt;$E$8,"",INDEX('CONTROLES'!$AF$13:$AF$1012,MATCH(158,'CONTROLES'!$AH$13:$AH$1012,0)))</f>
      </c>
      <c r="G170" s="30">
        <f>IF(158&gt;$E$8,"",IF(INDEX('CONTROLES'!$AG$13:$AG$1012,MATCH(158,'CONTROLES'!$AH$13:$AH$1012,0))=2,"ROJO","ÁMBAR"))</f>
      </c>
    </row>
    <row r="171" ht="22" customHeight="1">
      <c r="B171" s="30">
        <f>IF(159&gt;$E$8,"",INDEX('CONTROLES'!$AB$13:$AB$1012,MATCH(159,'CONTROLES'!$AH$13:$AH$1012,0)))</f>
      </c>
      <c r="C171" s="30">
        <f>IF(159&gt;$E$8,"",INDEX('CONTROLES'!$AC$13:$AC$1012,MATCH(159,'CONTROLES'!$AH$13:$AH$1012,0)))</f>
      </c>
      <c r="D171" s="30">
        <f>IF(159&gt;$E$8,"",INDEX('CONTROLES'!$AD$13:$AD$1012,MATCH(159,'CONTROLES'!$AH$13:$AH$1012,0)))</f>
      </c>
      <c r="E171" s="30">
        <f>IF(159&gt;$E$8,"",INDEX('CONTROLES'!$AE$13:$AE$1012,MATCH(159,'CONTROLES'!$AH$13:$AH$1012,0)))</f>
      </c>
      <c r="F171" s="30">
        <f>IF(159&gt;$E$8,"",INDEX('CONTROLES'!$AF$13:$AF$1012,MATCH(159,'CONTROLES'!$AH$13:$AH$1012,0)))</f>
      </c>
      <c r="G171" s="30">
        <f>IF(159&gt;$E$8,"",IF(INDEX('CONTROLES'!$AG$13:$AG$1012,MATCH(159,'CONTROLES'!$AH$13:$AH$1012,0))=2,"ROJO","ÁMBAR"))</f>
      </c>
    </row>
    <row r="172" ht="22" customHeight="1">
      <c r="B172" s="30">
        <f>IF(160&gt;$E$8,"",INDEX('CONTROLES'!$AB$13:$AB$1012,MATCH(160,'CONTROLES'!$AH$13:$AH$1012,0)))</f>
      </c>
      <c r="C172" s="30">
        <f>IF(160&gt;$E$8,"",INDEX('CONTROLES'!$AC$13:$AC$1012,MATCH(160,'CONTROLES'!$AH$13:$AH$1012,0)))</f>
      </c>
      <c r="D172" s="30">
        <f>IF(160&gt;$E$8,"",INDEX('CONTROLES'!$AD$13:$AD$1012,MATCH(160,'CONTROLES'!$AH$13:$AH$1012,0)))</f>
      </c>
      <c r="E172" s="30">
        <f>IF(160&gt;$E$8,"",INDEX('CONTROLES'!$AE$13:$AE$1012,MATCH(160,'CONTROLES'!$AH$13:$AH$1012,0)))</f>
      </c>
      <c r="F172" s="30">
        <f>IF(160&gt;$E$8,"",INDEX('CONTROLES'!$AF$13:$AF$1012,MATCH(160,'CONTROLES'!$AH$13:$AH$1012,0)))</f>
      </c>
      <c r="G172" s="30">
        <f>IF(160&gt;$E$8,"",IF(INDEX('CONTROLES'!$AG$13:$AG$1012,MATCH(160,'CONTROLES'!$AH$13:$AH$1012,0))=2,"ROJO","ÁMBAR"))</f>
      </c>
    </row>
    <row r="173" ht="22" customHeight="1">
      <c r="B173" s="30">
        <f>IF(161&gt;$E$8,"",INDEX('CONTROLES'!$AB$13:$AB$1012,MATCH(161,'CONTROLES'!$AH$13:$AH$1012,0)))</f>
      </c>
      <c r="C173" s="30">
        <f>IF(161&gt;$E$8,"",INDEX('CONTROLES'!$AC$13:$AC$1012,MATCH(161,'CONTROLES'!$AH$13:$AH$1012,0)))</f>
      </c>
      <c r="D173" s="30">
        <f>IF(161&gt;$E$8,"",INDEX('CONTROLES'!$AD$13:$AD$1012,MATCH(161,'CONTROLES'!$AH$13:$AH$1012,0)))</f>
      </c>
      <c r="E173" s="30">
        <f>IF(161&gt;$E$8,"",INDEX('CONTROLES'!$AE$13:$AE$1012,MATCH(161,'CONTROLES'!$AH$13:$AH$1012,0)))</f>
      </c>
      <c r="F173" s="30">
        <f>IF(161&gt;$E$8,"",INDEX('CONTROLES'!$AF$13:$AF$1012,MATCH(161,'CONTROLES'!$AH$13:$AH$1012,0)))</f>
      </c>
      <c r="G173" s="30">
        <f>IF(161&gt;$E$8,"",IF(INDEX('CONTROLES'!$AG$13:$AG$1012,MATCH(161,'CONTROLES'!$AH$13:$AH$1012,0))=2,"ROJO","ÁMBAR"))</f>
      </c>
    </row>
    <row r="174" ht="22" customHeight="1">
      <c r="B174" s="30">
        <f>IF(162&gt;$E$8,"",INDEX('CONTROLES'!$AB$13:$AB$1012,MATCH(162,'CONTROLES'!$AH$13:$AH$1012,0)))</f>
      </c>
      <c r="C174" s="30">
        <f>IF(162&gt;$E$8,"",INDEX('CONTROLES'!$AC$13:$AC$1012,MATCH(162,'CONTROLES'!$AH$13:$AH$1012,0)))</f>
      </c>
      <c r="D174" s="30">
        <f>IF(162&gt;$E$8,"",INDEX('CONTROLES'!$AD$13:$AD$1012,MATCH(162,'CONTROLES'!$AH$13:$AH$1012,0)))</f>
      </c>
      <c r="E174" s="30">
        <f>IF(162&gt;$E$8,"",INDEX('CONTROLES'!$AE$13:$AE$1012,MATCH(162,'CONTROLES'!$AH$13:$AH$1012,0)))</f>
      </c>
      <c r="F174" s="30">
        <f>IF(162&gt;$E$8,"",INDEX('CONTROLES'!$AF$13:$AF$1012,MATCH(162,'CONTROLES'!$AH$13:$AH$1012,0)))</f>
      </c>
      <c r="G174" s="30">
        <f>IF(162&gt;$E$8,"",IF(INDEX('CONTROLES'!$AG$13:$AG$1012,MATCH(162,'CONTROLES'!$AH$13:$AH$1012,0))=2,"ROJO","ÁMBAR"))</f>
      </c>
    </row>
    <row r="175" ht="22" customHeight="1">
      <c r="B175" s="30">
        <f>IF(163&gt;$E$8,"",INDEX('CONTROLES'!$AB$13:$AB$1012,MATCH(163,'CONTROLES'!$AH$13:$AH$1012,0)))</f>
      </c>
      <c r="C175" s="30">
        <f>IF(163&gt;$E$8,"",INDEX('CONTROLES'!$AC$13:$AC$1012,MATCH(163,'CONTROLES'!$AH$13:$AH$1012,0)))</f>
      </c>
      <c r="D175" s="30">
        <f>IF(163&gt;$E$8,"",INDEX('CONTROLES'!$AD$13:$AD$1012,MATCH(163,'CONTROLES'!$AH$13:$AH$1012,0)))</f>
      </c>
      <c r="E175" s="30">
        <f>IF(163&gt;$E$8,"",INDEX('CONTROLES'!$AE$13:$AE$1012,MATCH(163,'CONTROLES'!$AH$13:$AH$1012,0)))</f>
      </c>
      <c r="F175" s="30">
        <f>IF(163&gt;$E$8,"",INDEX('CONTROLES'!$AF$13:$AF$1012,MATCH(163,'CONTROLES'!$AH$13:$AH$1012,0)))</f>
      </c>
      <c r="G175" s="30">
        <f>IF(163&gt;$E$8,"",IF(INDEX('CONTROLES'!$AG$13:$AG$1012,MATCH(163,'CONTROLES'!$AH$13:$AH$1012,0))=2,"ROJO","ÁMBAR"))</f>
      </c>
    </row>
    <row r="176" ht="22" customHeight="1">
      <c r="B176" s="30">
        <f>IF(164&gt;$E$8,"",INDEX('CONTROLES'!$AB$13:$AB$1012,MATCH(164,'CONTROLES'!$AH$13:$AH$1012,0)))</f>
      </c>
      <c r="C176" s="30">
        <f>IF(164&gt;$E$8,"",INDEX('CONTROLES'!$AC$13:$AC$1012,MATCH(164,'CONTROLES'!$AH$13:$AH$1012,0)))</f>
      </c>
      <c r="D176" s="30">
        <f>IF(164&gt;$E$8,"",INDEX('CONTROLES'!$AD$13:$AD$1012,MATCH(164,'CONTROLES'!$AH$13:$AH$1012,0)))</f>
      </c>
      <c r="E176" s="30">
        <f>IF(164&gt;$E$8,"",INDEX('CONTROLES'!$AE$13:$AE$1012,MATCH(164,'CONTROLES'!$AH$13:$AH$1012,0)))</f>
      </c>
      <c r="F176" s="30">
        <f>IF(164&gt;$E$8,"",INDEX('CONTROLES'!$AF$13:$AF$1012,MATCH(164,'CONTROLES'!$AH$13:$AH$1012,0)))</f>
      </c>
      <c r="G176" s="30">
        <f>IF(164&gt;$E$8,"",IF(INDEX('CONTROLES'!$AG$13:$AG$1012,MATCH(164,'CONTROLES'!$AH$13:$AH$1012,0))=2,"ROJO","ÁMBAR"))</f>
      </c>
    </row>
    <row r="177" ht="22" customHeight="1">
      <c r="B177" s="30">
        <f>IF(165&gt;$E$8,"",INDEX('CONTROLES'!$AB$13:$AB$1012,MATCH(165,'CONTROLES'!$AH$13:$AH$1012,0)))</f>
      </c>
      <c r="C177" s="30">
        <f>IF(165&gt;$E$8,"",INDEX('CONTROLES'!$AC$13:$AC$1012,MATCH(165,'CONTROLES'!$AH$13:$AH$1012,0)))</f>
      </c>
      <c r="D177" s="30">
        <f>IF(165&gt;$E$8,"",INDEX('CONTROLES'!$AD$13:$AD$1012,MATCH(165,'CONTROLES'!$AH$13:$AH$1012,0)))</f>
      </c>
      <c r="E177" s="30">
        <f>IF(165&gt;$E$8,"",INDEX('CONTROLES'!$AE$13:$AE$1012,MATCH(165,'CONTROLES'!$AH$13:$AH$1012,0)))</f>
      </c>
      <c r="F177" s="30">
        <f>IF(165&gt;$E$8,"",INDEX('CONTROLES'!$AF$13:$AF$1012,MATCH(165,'CONTROLES'!$AH$13:$AH$1012,0)))</f>
      </c>
      <c r="G177" s="30">
        <f>IF(165&gt;$E$8,"",IF(INDEX('CONTROLES'!$AG$13:$AG$1012,MATCH(165,'CONTROLES'!$AH$13:$AH$1012,0))=2,"ROJO","ÁMBAR"))</f>
      </c>
    </row>
    <row r="178" ht="22" customHeight="1">
      <c r="B178" s="30">
        <f>IF(166&gt;$E$8,"",INDEX('CONTROLES'!$AB$13:$AB$1012,MATCH(166,'CONTROLES'!$AH$13:$AH$1012,0)))</f>
      </c>
      <c r="C178" s="30">
        <f>IF(166&gt;$E$8,"",INDEX('CONTROLES'!$AC$13:$AC$1012,MATCH(166,'CONTROLES'!$AH$13:$AH$1012,0)))</f>
      </c>
      <c r="D178" s="30">
        <f>IF(166&gt;$E$8,"",INDEX('CONTROLES'!$AD$13:$AD$1012,MATCH(166,'CONTROLES'!$AH$13:$AH$1012,0)))</f>
      </c>
      <c r="E178" s="30">
        <f>IF(166&gt;$E$8,"",INDEX('CONTROLES'!$AE$13:$AE$1012,MATCH(166,'CONTROLES'!$AH$13:$AH$1012,0)))</f>
      </c>
      <c r="F178" s="30">
        <f>IF(166&gt;$E$8,"",INDEX('CONTROLES'!$AF$13:$AF$1012,MATCH(166,'CONTROLES'!$AH$13:$AH$1012,0)))</f>
      </c>
      <c r="G178" s="30">
        <f>IF(166&gt;$E$8,"",IF(INDEX('CONTROLES'!$AG$13:$AG$1012,MATCH(166,'CONTROLES'!$AH$13:$AH$1012,0))=2,"ROJO","ÁMBAR"))</f>
      </c>
    </row>
    <row r="179" ht="22" customHeight="1">
      <c r="B179" s="30">
        <f>IF(167&gt;$E$8,"",INDEX('CONTROLES'!$AB$13:$AB$1012,MATCH(167,'CONTROLES'!$AH$13:$AH$1012,0)))</f>
      </c>
      <c r="C179" s="30">
        <f>IF(167&gt;$E$8,"",INDEX('CONTROLES'!$AC$13:$AC$1012,MATCH(167,'CONTROLES'!$AH$13:$AH$1012,0)))</f>
      </c>
      <c r="D179" s="30">
        <f>IF(167&gt;$E$8,"",INDEX('CONTROLES'!$AD$13:$AD$1012,MATCH(167,'CONTROLES'!$AH$13:$AH$1012,0)))</f>
      </c>
      <c r="E179" s="30">
        <f>IF(167&gt;$E$8,"",INDEX('CONTROLES'!$AE$13:$AE$1012,MATCH(167,'CONTROLES'!$AH$13:$AH$1012,0)))</f>
      </c>
      <c r="F179" s="30">
        <f>IF(167&gt;$E$8,"",INDEX('CONTROLES'!$AF$13:$AF$1012,MATCH(167,'CONTROLES'!$AH$13:$AH$1012,0)))</f>
      </c>
      <c r="G179" s="30">
        <f>IF(167&gt;$E$8,"",IF(INDEX('CONTROLES'!$AG$13:$AG$1012,MATCH(167,'CONTROLES'!$AH$13:$AH$1012,0))=2,"ROJO","ÁMBAR"))</f>
      </c>
    </row>
    <row r="180" ht="22" customHeight="1">
      <c r="B180" s="30">
        <f>IF(168&gt;$E$8,"",INDEX('CONTROLES'!$AB$13:$AB$1012,MATCH(168,'CONTROLES'!$AH$13:$AH$1012,0)))</f>
      </c>
      <c r="C180" s="30">
        <f>IF(168&gt;$E$8,"",INDEX('CONTROLES'!$AC$13:$AC$1012,MATCH(168,'CONTROLES'!$AH$13:$AH$1012,0)))</f>
      </c>
      <c r="D180" s="30">
        <f>IF(168&gt;$E$8,"",INDEX('CONTROLES'!$AD$13:$AD$1012,MATCH(168,'CONTROLES'!$AH$13:$AH$1012,0)))</f>
      </c>
      <c r="E180" s="30">
        <f>IF(168&gt;$E$8,"",INDEX('CONTROLES'!$AE$13:$AE$1012,MATCH(168,'CONTROLES'!$AH$13:$AH$1012,0)))</f>
      </c>
      <c r="F180" s="30">
        <f>IF(168&gt;$E$8,"",INDEX('CONTROLES'!$AF$13:$AF$1012,MATCH(168,'CONTROLES'!$AH$13:$AH$1012,0)))</f>
      </c>
      <c r="G180" s="30">
        <f>IF(168&gt;$E$8,"",IF(INDEX('CONTROLES'!$AG$13:$AG$1012,MATCH(168,'CONTROLES'!$AH$13:$AH$1012,0))=2,"ROJO","ÁMBAR"))</f>
      </c>
    </row>
    <row r="181" ht="22" customHeight="1">
      <c r="B181" s="30">
        <f>IF(169&gt;$E$8,"",INDEX('CONTROLES'!$AB$13:$AB$1012,MATCH(169,'CONTROLES'!$AH$13:$AH$1012,0)))</f>
      </c>
      <c r="C181" s="30">
        <f>IF(169&gt;$E$8,"",INDEX('CONTROLES'!$AC$13:$AC$1012,MATCH(169,'CONTROLES'!$AH$13:$AH$1012,0)))</f>
      </c>
      <c r="D181" s="30">
        <f>IF(169&gt;$E$8,"",INDEX('CONTROLES'!$AD$13:$AD$1012,MATCH(169,'CONTROLES'!$AH$13:$AH$1012,0)))</f>
      </c>
      <c r="E181" s="30">
        <f>IF(169&gt;$E$8,"",INDEX('CONTROLES'!$AE$13:$AE$1012,MATCH(169,'CONTROLES'!$AH$13:$AH$1012,0)))</f>
      </c>
      <c r="F181" s="30">
        <f>IF(169&gt;$E$8,"",INDEX('CONTROLES'!$AF$13:$AF$1012,MATCH(169,'CONTROLES'!$AH$13:$AH$1012,0)))</f>
      </c>
      <c r="G181" s="30">
        <f>IF(169&gt;$E$8,"",IF(INDEX('CONTROLES'!$AG$13:$AG$1012,MATCH(169,'CONTROLES'!$AH$13:$AH$1012,0))=2,"ROJO","ÁMBAR"))</f>
      </c>
    </row>
    <row r="182" ht="22" customHeight="1">
      <c r="B182" s="30">
        <f>IF(170&gt;$E$8,"",INDEX('CONTROLES'!$AB$13:$AB$1012,MATCH(170,'CONTROLES'!$AH$13:$AH$1012,0)))</f>
      </c>
      <c r="C182" s="30">
        <f>IF(170&gt;$E$8,"",INDEX('CONTROLES'!$AC$13:$AC$1012,MATCH(170,'CONTROLES'!$AH$13:$AH$1012,0)))</f>
      </c>
      <c r="D182" s="30">
        <f>IF(170&gt;$E$8,"",INDEX('CONTROLES'!$AD$13:$AD$1012,MATCH(170,'CONTROLES'!$AH$13:$AH$1012,0)))</f>
      </c>
      <c r="E182" s="30">
        <f>IF(170&gt;$E$8,"",INDEX('CONTROLES'!$AE$13:$AE$1012,MATCH(170,'CONTROLES'!$AH$13:$AH$1012,0)))</f>
      </c>
      <c r="F182" s="30">
        <f>IF(170&gt;$E$8,"",INDEX('CONTROLES'!$AF$13:$AF$1012,MATCH(170,'CONTROLES'!$AH$13:$AH$1012,0)))</f>
      </c>
      <c r="G182" s="30">
        <f>IF(170&gt;$E$8,"",IF(INDEX('CONTROLES'!$AG$13:$AG$1012,MATCH(170,'CONTROLES'!$AH$13:$AH$1012,0))=2,"ROJO","ÁMBAR"))</f>
      </c>
    </row>
    <row r="183" ht="22" customHeight="1">
      <c r="B183" s="30">
        <f>IF(171&gt;$E$8,"",INDEX('CONTROLES'!$AB$13:$AB$1012,MATCH(171,'CONTROLES'!$AH$13:$AH$1012,0)))</f>
      </c>
      <c r="C183" s="30">
        <f>IF(171&gt;$E$8,"",INDEX('CONTROLES'!$AC$13:$AC$1012,MATCH(171,'CONTROLES'!$AH$13:$AH$1012,0)))</f>
      </c>
      <c r="D183" s="30">
        <f>IF(171&gt;$E$8,"",INDEX('CONTROLES'!$AD$13:$AD$1012,MATCH(171,'CONTROLES'!$AH$13:$AH$1012,0)))</f>
      </c>
      <c r="E183" s="30">
        <f>IF(171&gt;$E$8,"",INDEX('CONTROLES'!$AE$13:$AE$1012,MATCH(171,'CONTROLES'!$AH$13:$AH$1012,0)))</f>
      </c>
      <c r="F183" s="30">
        <f>IF(171&gt;$E$8,"",INDEX('CONTROLES'!$AF$13:$AF$1012,MATCH(171,'CONTROLES'!$AH$13:$AH$1012,0)))</f>
      </c>
      <c r="G183" s="30">
        <f>IF(171&gt;$E$8,"",IF(INDEX('CONTROLES'!$AG$13:$AG$1012,MATCH(171,'CONTROLES'!$AH$13:$AH$1012,0))=2,"ROJO","ÁMBAR"))</f>
      </c>
    </row>
    <row r="184" ht="22" customHeight="1">
      <c r="B184" s="30">
        <f>IF(172&gt;$E$8,"",INDEX('CONTROLES'!$AB$13:$AB$1012,MATCH(172,'CONTROLES'!$AH$13:$AH$1012,0)))</f>
      </c>
      <c r="C184" s="30">
        <f>IF(172&gt;$E$8,"",INDEX('CONTROLES'!$AC$13:$AC$1012,MATCH(172,'CONTROLES'!$AH$13:$AH$1012,0)))</f>
      </c>
      <c r="D184" s="30">
        <f>IF(172&gt;$E$8,"",INDEX('CONTROLES'!$AD$13:$AD$1012,MATCH(172,'CONTROLES'!$AH$13:$AH$1012,0)))</f>
      </c>
      <c r="E184" s="30">
        <f>IF(172&gt;$E$8,"",INDEX('CONTROLES'!$AE$13:$AE$1012,MATCH(172,'CONTROLES'!$AH$13:$AH$1012,0)))</f>
      </c>
      <c r="F184" s="30">
        <f>IF(172&gt;$E$8,"",INDEX('CONTROLES'!$AF$13:$AF$1012,MATCH(172,'CONTROLES'!$AH$13:$AH$1012,0)))</f>
      </c>
      <c r="G184" s="30">
        <f>IF(172&gt;$E$8,"",IF(INDEX('CONTROLES'!$AG$13:$AG$1012,MATCH(172,'CONTROLES'!$AH$13:$AH$1012,0))=2,"ROJO","ÁMBAR"))</f>
      </c>
    </row>
    <row r="185" ht="22" customHeight="1">
      <c r="B185" s="30">
        <f>IF(173&gt;$E$8,"",INDEX('CONTROLES'!$AB$13:$AB$1012,MATCH(173,'CONTROLES'!$AH$13:$AH$1012,0)))</f>
      </c>
      <c r="C185" s="30">
        <f>IF(173&gt;$E$8,"",INDEX('CONTROLES'!$AC$13:$AC$1012,MATCH(173,'CONTROLES'!$AH$13:$AH$1012,0)))</f>
      </c>
      <c r="D185" s="30">
        <f>IF(173&gt;$E$8,"",INDEX('CONTROLES'!$AD$13:$AD$1012,MATCH(173,'CONTROLES'!$AH$13:$AH$1012,0)))</f>
      </c>
      <c r="E185" s="30">
        <f>IF(173&gt;$E$8,"",INDEX('CONTROLES'!$AE$13:$AE$1012,MATCH(173,'CONTROLES'!$AH$13:$AH$1012,0)))</f>
      </c>
      <c r="F185" s="30">
        <f>IF(173&gt;$E$8,"",INDEX('CONTROLES'!$AF$13:$AF$1012,MATCH(173,'CONTROLES'!$AH$13:$AH$1012,0)))</f>
      </c>
      <c r="G185" s="30">
        <f>IF(173&gt;$E$8,"",IF(INDEX('CONTROLES'!$AG$13:$AG$1012,MATCH(173,'CONTROLES'!$AH$13:$AH$1012,0))=2,"ROJO","ÁMBAR"))</f>
      </c>
    </row>
    <row r="186" ht="22" customHeight="1">
      <c r="B186" s="30">
        <f>IF(174&gt;$E$8,"",INDEX('CONTROLES'!$AB$13:$AB$1012,MATCH(174,'CONTROLES'!$AH$13:$AH$1012,0)))</f>
      </c>
      <c r="C186" s="30">
        <f>IF(174&gt;$E$8,"",INDEX('CONTROLES'!$AC$13:$AC$1012,MATCH(174,'CONTROLES'!$AH$13:$AH$1012,0)))</f>
      </c>
      <c r="D186" s="30">
        <f>IF(174&gt;$E$8,"",INDEX('CONTROLES'!$AD$13:$AD$1012,MATCH(174,'CONTROLES'!$AH$13:$AH$1012,0)))</f>
      </c>
      <c r="E186" s="30">
        <f>IF(174&gt;$E$8,"",INDEX('CONTROLES'!$AE$13:$AE$1012,MATCH(174,'CONTROLES'!$AH$13:$AH$1012,0)))</f>
      </c>
      <c r="F186" s="30">
        <f>IF(174&gt;$E$8,"",INDEX('CONTROLES'!$AF$13:$AF$1012,MATCH(174,'CONTROLES'!$AH$13:$AH$1012,0)))</f>
      </c>
      <c r="G186" s="30">
        <f>IF(174&gt;$E$8,"",IF(INDEX('CONTROLES'!$AG$13:$AG$1012,MATCH(174,'CONTROLES'!$AH$13:$AH$1012,0))=2,"ROJO","ÁMBAR"))</f>
      </c>
    </row>
    <row r="187" ht="22" customHeight="1">
      <c r="B187" s="30">
        <f>IF(175&gt;$E$8,"",INDEX('CONTROLES'!$AB$13:$AB$1012,MATCH(175,'CONTROLES'!$AH$13:$AH$1012,0)))</f>
      </c>
      <c r="C187" s="30">
        <f>IF(175&gt;$E$8,"",INDEX('CONTROLES'!$AC$13:$AC$1012,MATCH(175,'CONTROLES'!$AH$13:$AH$1012,0)))</f>
      </c>
      <c r="D187" s="30">
        <f>IF(175&gt;$E$8,"",INDEX('CONTROLES'!$AD$13:$AD$1012,MATCH(175,'CONTROLES'!$AH$13:$AH$1012,0)))</f>
      </c>
      <c r="E187" s="30">
        <f>IF(175&gt;$E$8,"",INDEX('CONTROLES'!$AE$13:$AE$1012,MATCH(175,'CONTROLES'!$AH$13:$AH$1012,0)))</f>
      </c>
      <c r="F187" s="30">
        <f>IF(175&gt;$E$8,"",INDEX('CONTROLES'!$AF$13:$AF$1012,MATCH(175,'CONTROLES'!$AH$13:$AH$1012,0)))</f>
      </c>
      <c r="G187" s="30">
        <f>IF(175&gt;$E$8,"",IF(INDEX('CONTROLES'!$AG$13:$AG$1012,MATCH(175,'CONTROLES'!$AH$13:$AH$1012,0))=2,"ROJO","ÁMBAR"))</f>
      </c>
    </row>
    <row r="188" ht="22" customHeight="1">
      <c r="B188" s="30">
        <f>IF(176&gt;$E$8,"",INDEX('CONTROLES'!$AB$13:$AB$1012,MATCH(176,'CONTROLES'!$AH$13:$AH$1012,0)))</f>
      </c>
      <c r="C188" s="30">
        <f>IF(176&gt;$E$8,"",INDEX('CONTROLES'!$AC$13:$AC$1012,MATCH(176,'CONTROLES'!$AH$13:$AH$1012,0)))</f>
      </c>
      <c r="D188" s="30">
        <f>IF(176&gt;$E$8,"",INDEX('CONTROLES'!$AD$13:$AD$1012,MATCH(176,'CONTROLES'!$AH$13:$AH$1012,0)))</f>
      </c>
      <c r="E188" s="30">
        <f>IF(176&gt;$E$8,"",INDEX('CONTROLES'!$AE$13:$AE$1012,MATCH(176,'CONTROLES'!$AH$13:$AH$1012,0)))</f>
      </c>
      <c r="F188" s="30">
        <f>IF(176&gt;$E$8,"",INDEX('CONTROLES'!$AF$13:$AF$1012,MATCH(176,'CONTROLES'!$AH$13:$AH$1012,0)))</f>
      </c>
      <c r="G188" s="30">
        <f>IF(176&gt;$E$8,"",IF(INDEX('CONTROLES'!$AG$13:$AG$1012,MATCH(176,'CONTROLES'!$AH$13:$AH$1012,0))=2,"ROJO","ÁMBAR"))</f>
      </c>
    </row>
    <row r="189" ht="22" customHeight="1">
      <c r="B189" s="30">
        <f>IF(177&gt;$E$8,"",INDEX('CONTROLES'!$AB$13:$AB$1012,MATCH(177,'CONTROLES'!$AH$13:$AH$1012,0)))</f>
      </c>
      <c r="C189" s="30">
        <f>IF(177&gt;$E$8,"",INDEX('CONTROLES'!$AC$13:$AC$1012,MATCH(177,'CONTROLES'!$AH$13:$AH$1012,0)))</f>
      </c>
      <c r="D189" s="30">
        <f>IF(177&gt;$E$8,"",INDEX('CONTROLES'!$AD$13:$AD$1012,MATCH(177,'CONTROLES'!$AH$13:$AH$1012,0)))</f>
      </c>
      <c r="E189" s="30">
        <f>IF(177&gt;$E$8,"",INDEX('CONTROLES'!$AE$13:$AE$1012,MATCH(177,'CONTROLES'!$AH$13:$AH$1012,0)))</f>
      </c>
      <c r="F189" s="30">
        <f>IF(177&gt;$E$8,"",INDEX('CONTROLES'!$AF$13:$AF$1012,MATCH(177,'CONTROLES'!$AH$13:$AH$1012,0)))</f>
      </c>
      <c r="G189" s="30">
        <f>IF(177&gt;$E$8,"",IF(INDEX('CONTROLES'!$AG$13:$AG$1012,MATCH(177,'CONTROLES'!$AH$13:$AH$1012,0))=2,"ROJO","ÁMBAR"))</f>
      </c>
    </row>
    <row r="190" ht="22" customHeight="1">
      <c r="B190" s="30">
        <f>IF(178&gt;$E$8,"",INDEX('CONTROLES'!$AB$13:$AB$1012,MATCH(178,'CONTROLES'!$AH$13:$AH$1012,0)))</f>
      </c>
      <c r="C190" s="30">
        <f>IF(178&gt;$E$8,"",INDEX('CONTROLES'!$AC$13:$AC$1012,MATCH(178,'CONTROLES'!$AH$13:$AH$1012,0)))</f>
      </c>
      <c r="D190" s="30">
        <f>IF(178&gt;$E$8,"",INDEX('CONTROLES'!$AD$13:$AD$1012,MATCH(178,'CONTROLES'!$AH$13:$AH$1012,0)))</f>
      </c>
      <c r="E190" s="30">
        <f>IF(178&gt;$E$8,"",INDEX('CONTROLES'!$AE$13:$AE$1012,MATCH(178,'CONTROLES'!$AH$13:$AH$1012,0)))</f>
      </c>
      <c r="F190" s="30">
        <f>IF(178&gt;$E$8,"",INDEX('CONTROLES'!$AF$13:$AF$1012,MATCH(178,'CONTROLES'!$AH$13:$AH$1012,0)))</f>
      </c>
      <c r="G190" s="30">
        <f>IF(178&gt;$E$8,"",IF(INDEX('CONTROLES'!$AG$13:$AG$1012,MATCH(178,'CONTROLES'!$AH$13:$AH$1012,0))=2,"ROJO","ÁMBAR"))</f>
      </c>
    </row>
    <row r="191" ht="22" customHeight="1">
      <c r="B191" s="30">
        <f>IF(179&gt;$E$8,"",INDEX('CONTROLES'!$AB$13:$AB$1012,MATCH(179,'CONTROLES'!$AH$13:$AH$1012,0)))</f>
      </c>
      <c r="C191" s="30">
        <f>IF(179&gt;$E$8,"",INDEX('CONTROLES'!$AC$13:$AC$1012,MATCH(179,'CONTROLES'!$AH$13:$AH$1012,0)))</f>
      </c>
      <c r="D191" s="30">
        <f>IF(179&gt;$E$8,"",INDEX('CONTROLES'!$AD$13:$AD$1012,MATCH(179,'CONTROLES'!$AH$13:$AH$1012,0)))</f>
      </c>
      <c r="E191" s="30">
        <f>IF(179&gt;$E$8,"",INDEX('CONTROLES'!$AE$13:$AE$1012,MATCH(179,'CONTROLES'!$AH$13:$AH$1012,0)))</f>
      </c>
      <c r="F191" s="30">
        <f>IF(179&gt;$E$8,"",INDEX('CONTROLES'!$AF$13:$AF$1012,MATCH(179,'CONTROLES'!$AH$13:$AH$1012,0)))</f>
      </c>
      <c r="G191" s="30">
        <f>IF(179&gt;$E$8,"",IF(INDEX('CONTROLES'!$AG$13:$AG$1012,MATCH(179,'CONTROLES'!$AH$13:$AH$1012,0))=2,"ROJO","ÁMBAR"))</f>
      </c>
    </row>
    <row r="192" ht="22" customHeight="1">
      <c r="B192" s="30">
        <f>IF(180&gt;$E$8,"",INDEX('CONTROLES'!$AB$13:$AB$1012,MATCH(180,'CONTROLES'!$AH$13:$AH$1012,0)))</f>
      </c>
      <c r="C192" s="30">
        <f>IF(180&gt;$E$8,"",INDEX('CONTROLES'!$AC$13:$AC$1012,MATCH(180,'CONTROLES'!$AH$13:$AH$1012,0)))</f>
      </c>
      <c r="D192" s="30">
        <f>IF(180&gt;$E$8,"",INDEX('CONTROLES'!$AD$13:$AD$1012,MATCH(180,'CONTROLES'!$AH$13:$AH$1012,0)))</f>
      </c>
      <c r="E192" s="30">
        <f>IF(180&gt;$E$8,"",INDEX('CONTROLES'!$AE$13:$AE$1012,MATCH(180,'CONTROLES'!$AH$13:$AH$1012,0)))</f>
      </c>
      <c r="F192" s="30">
        <f>IF(180&gt;$E$8,"",INDEX('CONTROLES'!$AF$13:$AF$1012,MATCH(180,'CONTROLES'!$AH$13:$AH$1012,0)))</f>
      </c>
      <c r="G192" s="30">
        <f>IF(180&gt;$E$8,"",IF(INDEX('CONTROLES'!$AG$13:$AG$1012,MATCH(180,'CONTROLES'!$AH$13:$AH$1012,0))=2,"ROJO","ÁMBAR"))</f>
      </c>
    </row>
    <row r="193" ht="22" customHeight="1">
      <c r="B193" s="30">
        <f>IF(181&gt;$E$8,"",INDEX('CONTROLES'!$AB$13:$AB$1012,MATCH(181,'CONTROLES'!$AH$13:$AH$1012,0)))</f>
      </c>
      <c r="C193" s="30">
        <f>IF(181&gt;$E$8,"",INDEX('CONTROLES'!$AC$13:$AC$1012,MATCH(181,'CONTROLES'!$AH$13:$AH$1012,0)))</f>
      </c>
      <c r="D193" s="30">
        <f>IF(181&gt;$E$8,"",INDEX('CONTROLES'!$AD$13:$AD$1012,MATCH(181,'CONTROLES'!$AH$13:$AH$1012,0)))</f>
      </c>
      <c r="E193" s="30">
        <f>IF(181&gt;$E$8,"",INDEX('CONTROLES'!$AE$13:$AE$1012,MATCH(181,'CONTROLES'!$AH$13:$AH$1012,0)))</f>
      </c>
      <c r="F193" s="30">
        <f>IF(181&gt;$E$8,"",INDEX('CONTROLES'!$AF$13:$AF$1012,MATCH(181,'CONTROLES'!$AH$13:$AH$1012,0)))</f>
      </c>
      <c r="G193" s="30">
        <f>IF(181&gt;$E$8,"",IF(INDEX('CONTROLES'!$AG$13:$AG$1012,MATCH(181,'CONTROLES'!$AH$13:$AH$1012,0))=2,"ROJO","ÁMBAR"))</f>
      </c>
    </row>
    <row r="194" ht="22" customHeight="1">
      <c r="B194" s="30">
        <f>IF(182&gt;$E$8,"",INDEX('CONTROLES'!$AB$13:$AB$1012,MATCH(182,'CONTROLES'!$AH$13:$AH$1012,0)))</f>
      </c>
      <c r="C194" s="30">
        <f>IF(182&gt;$E$8,"",INDEX('CONTROLES'!$AC$13:$AC$1012,MATCH(182,'CONTROLES'!$AH$13:$AH$1012,0)))</f>
      </c>
      <c r="D194" s="30">
        <f>IF(182&gt;$E$8,"",INDEX('CONTROLES'!$AD$13:$AD$1012,MATCH(182,'CONTROLES'!$AH$13:$AH$1012,0)))</f>
      </c>
      <c r="E194" s="30">
        <f>IF(182&gt;$E$8,"",INDEX('CONTROLES'!$AE$13:$AE$1012,MATCH(182,'CONTROLES'!$AH$13:$AH$1012,0)))</f>
      </c>
      <c r="F194" s="30">
        <f>IF(182&gt;$E$8,"",INDEX('CONTROLES'!$AF$13:$AF$1012,MATCH(182,'CONTROLES'!$AH$13:$AH$1012,0)))</f>
      </c>
      <c r="G194" s="30">
        <f>IF(182&gt;$E$8,"",IF(INDEX('CONTROLES'!$AG$13:$AG$1012,MATCH(182,'CONTROLES'!$AH$13:$AH$1012,0))=2,"ROJO","ÁMBAR"))</f>
      </c>
    </row>
    <row r="195" ht="22" customHeight="1">
      <c r="B195" s="30">
        <f>IF(183&gt;$E$8,"",INDEX('CONTROLES'!$AB$13:$AB$1012,MATCH(183,'CONTROLES'!$AH$13:$AH$1012,0)))</f>
      </c>
      <c r="C195" s="30">
        <f>IF(183&gt;$E$8,"",INDEX('CONTROLES'!$AC$13:$AC$1012,MATCH(183,'CONTROLES'!$AH$13:$AH$1012,0)))</f>
      </c>
      <c r="D195" s="30">
        <f>IF(183&gt;$E$8,"",INDEX('CONTROLES'!$AD$13:$AD$1012,MATCH(183,'CONTROLES'!$AH$13:$AH$1012,0)))</f>
      </c>
      <c r="E195" s="30">
        <f>IF(183&gt;$E$8,"",INDEX('CONTROLES'!$AE$13:$AE$1012,MATCH(183,'CONTROLES'!$AH$13:$AH$1012,0)))</f>
      </c>
      <c r="F195" s="30">
        <f>IF(183&gt;$E$8,"",INDEX('CONTROLES'!$AF$13:$AF$1012,MATCH(183,'CONTROLES'!$AH$13:$AH$1012,0)))</f>
      </c>
      <c r="G195" s="30">
        <f>IF(183&gt;$E$8,"",IF(INDEX('CONTROLES'!$AG$13:$AG$1012,MATCH(183,'CONTROLES'!$AH$13:$AH$1012,0))=2,"ROJO","ÁMBAR"))</f>
      </c>
    </row>
    <row r="196" ht="22" customHeight="1">
      <c r="B196" s="30">
        <f>IF(184&gt;$E$8,"",INDEX('CONTROLES'!$AB$13:$AB$1012,MATCH(184,'CONTROLES'!$AH$13:$AH$1012,0)))</f>
      </c>
      <c r="C196" s="30">
        <f>IF(184&gt;$E$8,"",INDEX('CONTROLES'!$AC$13:$AC$1012,MATCH(184,'CONTROLES'!$AH$13:$AH$1012,0)))</f>
      </c>
      <c r="D196" s="30">
        <f>IF(184&gt;$E$8,"",INDEX('CONTROLES'!$AD$13:$AD$1012,MATCH(184,'CONTROLES'!$AH$13:$AH$1012,0)))</f>
      </c>
      <c r="E196" s="30">
        <f>IF(184&gt;$E$8,"",INDEX('CONTROLES'!$AE$13:$AE$1012,MATCH(184,'CONTROLES'!$AH$13:$AH$1012,0)))</f>
      </c>
      <c r="F196" s="30">
        <f>IF(184&gt;$E$8,"",INDEX('CONTROLES'!$AF$13:$AF$1012,MATCH(184,'CONTROLES'!$AH$13:$AH$1012,0)))</f>
      </c>
      <c r="G196" s="30">
        <f>IF(184&gt;$E$8,"",IF(INDEX('CONTROLES'!$AG$13:$AG$1012,MATCH(184,'CONTROLES'!$AH$13:$AH$1012,0))=2,"ROJO","ÁMBAR"))</f>
      </c>
    </row>
    <row r="197" ht="22" customHeight="1">
      <c r="B197" s="30">
        <f>IF(185&gt;$E$8,"",INDEX('CONTROLES'!$AB$13:$AB$1012,MATCH(185,'CONTROLES'!$AH$13:$AH$1012,0)))</f>
      </c>
      <c r="C197" s="30">
        <f>IF(185&gt;$E$8,"",INDEX('CONTROLES'!$AC$13:$AC$1012,MATCH(185,'CONTROLES'!$AH$13:$AH$1012,0)))</f>
      </c>
      <c r="D197" s="30">
        <f>IF(185&gt;$E$8,"",INDEX('CONTROLES'!$AD$13:$AD$1012,MATCH(185,'CONTROLES'!$AH$13:$AH$1012,0)))</f>
      </c>
      <c r="E197" s="30">
        <f>IF(185&gt;$E$8,"",INDEX('CONTROLES'!$AE$13:$AE$1012,MATCH(185,'CONTROLES'!$AH$13:$AH$1012,0)))</f>
      </c>
      <c r="F197" s="30">
        <f>IF(185&gt;$E$8,"",INDEX('CONTROLES'!$AF$13:$AF$1012,MATCH(185,'CONTROLES'!$AH$13:$AH$1012,0)))</f>
      </c>
      <c r="G197" s="30">
        <f>IF(185&gt;$E$8,"",IF(INDEX('CONTROLES'!$AG$13:$AG$1012,MATCH(185,'CONTROLES'!$AH$13:$AH$1012,0))=2,"ROJO","ÁMBAR"))</f>
      </c>
    </row>
    <row r="198" ht="22" customHeight="1">
      <c r="B198" s="30">
        <f>IF(186&gt;$E$8,"",INDEX('CONTROLES'!$AB$13:$AB$1012,MATCH(186,'CONTROLES'!$AH$13:$AH$1012,0)))</f>
      </c>
      <c r="C198" s="30">
        <f>IF(186&gt;$E$8,"",INDEX('CONTROLES'!$AC$13:$AC$1012,MATCH(186,'CONTROLES'!$AH$13:$AH$1012,0)))</f>
      </c>
      <c r="D198" s="30">
        <f>IF(186&gt;$E$8,"",INDEX('CONTROLES'!$AD$13:$AD$1012,MATCH(186,'CONTROLES'!$AH$13:$AH$1012,0)))</f>
      </c>
      <c r="E198" s="30">
        <f>IF(186&gt;$E$8,"",INDEX('CONTROLES'!$AE$13:$AE$1012,MATCH(186,'CONTROLES'!$AH$13:$AH$1012,0)))</f>
      </c>
      <c r="F198" s="30">
        <f>IF(186&gt;$E$8,"",INDEX('CONTROLES'!$AF$13:$AF$1012,MATCH(186,'CONTROLES'!$AH$13:$AH$1012,0)))</f>
      </c>
      <c r="G198" s="30">
        <f>IF(186&gt;$E$8,"",IF(INDEX('CONTROLES'!$AG$13:$AG$1012,MATCH(186,'CONTROLES'!$AH$13:$AH$1012,0))=2,"ROJO","ÁMBAR"))</f>
      </c>
    </row>
    <row r="199" ht="22" customHeight="1">
      <c r="B199" s="30">
        <f>IF(187&gt;$E$8,"",INDEX('CONTROLES'!$AB$13:$AB$1012,MATCH(187,'CONTROLES'!$AH$13:$AH$1012,0)))</f>
      </c>
      <c r="C199" s="30">
        <f>IF(187&gt;$E$8,"",INDEX('CONTROLES'!$AC$13:$AC$1012,MATCH(187,'CONTROLES'!$AH$13:$AH$1012,0)))</f>
      </c>
      <c r="D199" s="30">
        <f>IF(187&gt;$E$8,"",INDEX('CONTROLES'!$AD$13:$AD$1012,MATCH(187,'CONTROLES'!$AH$13:$AH$1012,0)))</f>
      </c>
      <c r="E199" s="30">
        <f>IF(187&gt;$E$8,"",INDEX('CONTROLES'!$AE$13:$AE$1012,MATCH(187,'CONTROLES'!$AH$13:$AH$1012,0)))</f>
      </c>
      <c r="F199" s="30">
        <f>IF(187&gt;$E$8,"",INDEX('CONTROLES'!$AF$13:$AF$1012,MATCH(187,'CONTROLES'!$AH$13:$AH$1012,0)))</f>
      </c>
      <c r="G199" s="30">
        <f>IF(187&gt;$E$8,"",IF(INDEX('CONTROLES'!$AG$13:$AG$1012,MATCH(187,'CONTROLES'!$AH$13:$AH$1012,0))=2,"ROJO","ÁMBAR"))</f>
      </c>
    </row>
    <row r="200" ht="22" customHeight="1">
      <c r="B200" s="30">
        <f>IF(188&gt;$E$8,"",INDEX('CONTROLES'!$AB$13:$AB$1012,MATCH(188,'CONTROLES'!$AH$13:$AH$1012,0)))</f>
      </c>
      <c r="C200" s="30">
        <f>IF(188&gt;$E$8,"",INDEX('CONTROLES'!$AC$13:$AC$1012,MATCH(188,'CONTROLES'!$AH$13:$AH$1012,0)))</f>
      </c>
      <c r="D200" s="30">
        <f>IF(188&gt;$E$8,"",INDEX('CONTROLES'!$AD$13:$AD$1012,MATCH(188,'CONTROLES'!$AH$13:$AH$1012,0)))</f>
      </c>
      <c r="E200" s="30">
        <f>IF(188&gt;$E$8,"",INDEX('CONTROLES'!$AE$13:$AE$1012,MATCH(188,'CONTROLES'!$AH$13:$AH$1012,0)))</f>
      </c>
      <c r="F200" s="30">
        <f>IF(188&gt;$E$8,"",INDEX('CONTROLES'!$AF$13:$AF$1012,MATCH(188,'CONTROLES'!$AH$13:$AH$1012,0)))</f>
      </c>
      <c r="G200" s="30">
        <f>IF(188&gt;$E$8,"",IF(INDEX('CONTROLES'!$AG$13:$AG$1012,MATCH(188,'CONTROLES'!$AH$13:$AH$1012,0))=2,"ROJO","ÁMBAR"))</f>
      </c>
    </row>
    <row r="201" ht="22" customHeight="1">
      <c r="B201" s="30">
        <f>IF(189&gt;$E$8,"",INDEX('CONTROLES'!$AB$13:$AB$1012,MATCH(189,'CONTROLES'!$AH$13:$AH$1012,0)))</f>
      </c>
      <c r="C201" s="30">
        <f>IF(189&gt;$E$8,"",INDEX('CONTROLES'!$AC$13:$AC$1012,MATCH(189,'CONTROLES'!$AH$13:$AH$1012,0)))</f>
      </c>
      <c r="D201" s="30">
        <f>IF(189&gt;$E$8,"",INDEX('CONTROLES'!$AD$13:$AD$1012,MATCH(189,'CONTROLES'!$AH$13:$AH$1012,0)))</f>
      </c>
      <c r="E201" s="30">
        <f>IF(189&gt;$E$8,"",INDEX('CONTROLES'!$AE$13:$AE$1012,MATCH(189,'CONTROLES'!$AH$13:$AH$1012,0)))</f>
      </c>
      <c r="F201" s="30">
        <f>IF(189&gt;$E$8,"",INDEX('CONTROLES'!$AF$13:$AF$1012,MATCH(189,'CONTROLES'!$AH$13:$AH$1012,0)))</f>
      </c>
      <c r="G201" s="30">
        <f>IF(189&gt;$E$8,"",IF(INDEX('CONTROLES'!$AG$13:$AG$1012,MATCH(189,'CONTROLES'!$AH$13:$AH$1012,0))=2,"ROJO","ÁMBAR"))</f>
      </c>
    </row>
    <row r="202" ht="22" customHeight="1">
      <c r="B202" s="30">
        <f>IF(190&gt;$E$8,"",INDEX('CONTROLES'!$AB$13:$AB$1012,MATCH(190,'CONTROLES'!$AH$13:$AH$1012,0)))</f>
      </c>
      <c r="C202" s="30">
        <f>IF(190&gt;$E$8,"",INDEX('CONTROLES'!$AC$13:$AC$1012,MATCH(190,'CONTROLES'!$AH$13:$AH$1012,0)))</f>
      </c>
      <c r="D202" s="30">
        <f>IF(190&gt;$E$8,"",INDEX('CONTROLES'!$AD$13:$AD$1012,MATCH(190,'CONTROLES'!$AH$13:$AH$1012,0)))</f>
      </c>
      <c r="E202" s="30">
        <f>IF(190&gt;$E$8,"",INDEX('CONTROLES'!$AE$13:$AE$1012,MATCH(190,'CONTROLES'!$AH$13:$AH$1012,0)))</f>
      </c>
      <c r="F202" s="30">
        <f>IF(190&gt;$E$8,"",INDEX('CONTROLES'!$AF$13:$AF$1012,MATCH(190,'CONTROLES'!$AH$13:$AH$1012,0)))</f>
      </c>
      <c r="G202" s="30">
        <f>IF(190&gt;$E$8,"",IF(INDEX('CONTROLES'!$AG$13:$AG$1012,MATCH(190,'CONTROLES'!$AH$13:$AH$1012,0))=2,"ROJO","ÁMBAR"))</f>
      </c>
    </row>
    <row r="203" ht="22" customHeight="1">
      <c r="B203" s="30">
        <f>IF(191&gt;$E$8,"",INDEX('CONTROLES'!$AB$13:$AB$1012,MATCH(191,'CONTROLES'!$AH$13:$AH$1012,0)))</f>
      </c>
      <c r="C203" s="30">
        <f>IF(191&gt;$E$8,"",INDEX('CONTROLES'!$AC$13:$AC$1012,MATCH(191,'CONTROLES'!$AH$13:$AH$1012,0)))</f>
      </c>
      <c r="D203" s="30">
        <f>IF(191&gt;$E$8,"",INDEX('CONTROLES'!$AD$13:$AD$1012,MATCH(191,'CONTROLES'!$AH$13:$AH$1012,0)))</f>
      </c>
      <c r="E203" s="30">
        <f>IF(191&gt;$E$8,"",INDEX('CONTROLES'!$AE$13:$AE$1012,MATCH(191,'CONTROLES'!$AH$13:$AH$1012,0)))</f>
      </c>
      <c r="F203" s="30">
        <f>IF(191&gt;$E$8,"",INDEX('CONTROLES'!$AF$13:$AF$1012,MATCH(191,'CONTROLES'!$AH$13:$AH$1012,0)))</f>
      </c>
      <c r="G203" s="30">
        <f>IF(191&gt;$E$8,"",IF(INDEX('CONTROLES'!$AG$13:$AG$1012,MATCH(191,'CONTROLES'!$AH$13:$AH$1012,0))=2,"ROJO","ÁMBAR"))</f>
      </c>
    </row>
    <row r="204" ht="22" customHeight="1">
      <c r="B204" s="30">
        <f>IF(192&gt;$E$8,"",INDEX('CONTROLES'!$AB$13:$AB$1012,MATCH(192,'CONTROLES'!$AH$13:$AH$1012,0)))</f>
      </c>
      <c r="C204" s="30">
        <f>IF(192&gt;$E$8,"",INDEX('CONTROLES'!$AC$13:$AC$1012,MATCH(192,'CONTROLES'!$AH$13:$AH$1012,0)))</f>
      </c>
      <c r="D204" s="30">
        <f>IF(192&gt;$E$8,"",INDEX('CONTROLES'!$AD$13:$AD$1012,MATCH(192,'CONTROLES'!$AH$13:$AH$1012,0)))</f>
      </c>
      <c r="E204" s="30">
        <f>IF(192&gt;$E$8,"",INDEX('CONTROLES'!$AE$13:$AE$1012,MATCH(192,'CONTROLES'!$AH$13:$AH$1012,0)))</f>
      </c>
      <c r="F204" s="30">
        <f>IF(192&gt;$E$8,"",INDEX('CONTROLES'!$AF$13:$AF$1012,MATCH(192,'CONTROLES'!$AH$13:$AH$1012,0)))</f>
      </c>
      <c r="G204" s="30">
        <f>IF(192&gt;$E$8,"",IF(INDEX('CONTROLES'!$AG$13:$AG$1012,MATCH(192,'CONTROLES'!$AH$13:$AH$1012,0))=2,"ROJO","ÁMBAR"))</f>
      </c>
    </row>
    <row r="205" ht="22" customHeight="1">
      <c r="B205" s="30">
        <f>IF(193&gt;$E$8,"",INDEX('CONTROLES'!$AB$13:$AB$1012,MATCH(193,'CONTROLES'!$AH$13:$AH$1012,0)))</f>
      </c>
      <c r="C205" s="30">
        <f>IF(193&gt;$E$8,"",INDEX('CONTROLES'!$AC$13:$AC$1012,MATCH(193,'CONTROLES'!$AH$13:$AH$1012,0)))</f>
      </c>
      <c r="D205" s="30">
        <f>IF(193&gt;$E$8,"",INDEX('CONTROLES'!$AD$13:$AD$1012,MATCH(193,'CONTROLES'!$AH$13:$AH$1012,0)))</f>
      </c>
      <c r="E205" s="30">
        <f>IF(193&gt;$E$8,"",INDEX('CONTROLES'!$AE$13:$AE$1012,MATCH(193,'CONTROLES'!$AH$13:$AH$1012,0)))</f>
      </c>
      <c r="F205" s="30">
        <f>IF(193&gt;$E$8,"",INDEX('CONTROLES'!$AF$13:$AF$1012,MATCH(193,'CONTROLES'!$AH$13:$AH$1012,0)))</f>
      </c>
      <c r="G205" s="30">
        <f>IF(193&gt;$E$8,"",IF(INDEX('CONTROLES'!$AG$13:$AG$1012,MATCH(193,'CONTROLES'!$AH$13:$AH$1012,0))=2,"ROJO","ÁMBAR"))</f>
      </c>
    </row>
    <row r="206" ht="22" customHeight="1">
      <c r="B206" s="30">
        <f>IF(194&gt;$E$8,"",INDEX('CONTROLES'!$AB$13:$AB$1012,MATCH(194,'CONTROLES'!$AH$13:$AH$1012,0)))</f>
      </c>
      <c r="C206" s="30">
        <f>IF(194&gt;$E$8,"",INDEX('CONTROLES'!$AC$13:$AC$1012,MATCH(194,'CONTROLES'!$AH$13:$AH$1012,0)))</f>
      </c>
      <c r="D206" s="30">
        <f>IF(194&gt;$E$8,"",INDEX('CONTROLES'!$AD$13:$AD$1012,MATCH(194,'CONTROLES'!$AH$13:$AH$1012,0)))</f>
      </c>
      <c r="E206" s="30">
        <f>IF(194&gt;$E$8,"",INDEX('CONTROLES'!$AE$13:$AE$1012,MATCH(194,'CONTROLES'!$AH$13:$AH$1012,0)))</f>
      </c>
      <c r="F206" s="30">
        <f>IF(194&gt;$E$8,"",INDEX('CONTROLES'!$AF$13:$AF$1012,MATCH(194,'CONTROLES'!$AH$13:$AH$1012,0)))</f>
      </c>
      <c r="G206" s="30">
        <f>IF(194&gt;$E$8,"",IF(INDEX('CONTROLES'!$AG$13:$AG$1012,MATCH(194,'CONTROLES'!$AH$13:$AH$1012,0))=2,"ROJO","ÁMBAR"))</f>
      </c>
    </row>
    <row r="207" ht="22" customHeight="1">
      <c r="B207" s="30">
        <f>IF(195&gt;$E$8,"",INDEX('CONTROLES'!$AB$13:$AB$1012,MATCH(195,'CONTROLES'!$AH$13:$AH$1012,0)))</f>
      </c>
      <c r="C207" s="30">
        <f>IF(195&gt;$E$8,"",INDEX('CONTROLES'!$AC$13:$AC$1012,MATCH(195,'CONTROLES'!$AH$13:$AH$1012,0)))</f>
      </c>
      <c r="D207" s="30">
        <f>IF(195&gt;$E$8,"",INDEX('CONTROLES'!$AD$13:$AD$1012,MATCH(195,'CONTROLES'!$AH$13:$AH$1012,0)))</f>
      </c>
      <c r="E207" s="30">
        <f>IF(195&gt;$E$8,"",INDEX('CONTROLES'!$AE$13:$AE$1012,MATCH(195,'CONTROLES'!$AH$13:$AH$1012,0)))</f>
      </c>
      <c r="F207" s="30">
        <f>IF(195&gt;$E$8,"",INDEX('CONTROLES'!$AF$13:$AF$1012,MATCH(195,'CONTROLES'!$AH$13:$AH$1012,0)))</f>
      </c>
      <c r="G207" s="30">
        <f>IF(195&gt;$E$8,"",IF(INDEX('CONTROLES'!$AG$13:$AG$1012,MATCH(195,'CONTROLES'!$AH$13:$AH$1012,0))=2,"ROJO","ÁMBAR"))</f>
      </c>
    </row>
    <row r="208" ht="22" customHeight="1">
      <c r="B208" s="30">
        <f>IF(196&gt;$E$8,"",INDEX('CONTROLES'!$AB$13:$AB$1012,MATCH(196,'CONTROLES'!$AH$13:$AH$1012,0)))</f>
      </c>
      <c r="C208" s="30">
        <f>IF(196&gt;$E$8,"",INDEX('CONTROLES'!$AC$13:$AC$1012,MATCH(196,'CONTROLES'!$AH$13:$AH$1012,0)))</f>
      </c>
      <c r="D208" s="30">
        <f>IF(196&gt;$E$8,"",INDEX('CONTROLES'!$AD$13:$AD$1012,MATCH(196,'CONTROLES'!$AH$13:$AH$1012,0)))</f>
      </c>
      <c r="E208" s="30">
        <f>IF(196&gt;$E$8,"",INDEX('CONTROLES'!$AE$13:$AE$1012,MATCH(196,'CONTROLES'!$AH$13:$AH$1012,0)))</f>
      </c>
      <c r="F208" s="30">
        <f>IF(196&gt;$E$8,"",INDEX('CONTROLES'!$AF$13:$AF$1012,MATCH(196,'CONTROLES'!$AH$13:$AH$1012,0)))</f>
      </c>
      <c r="G208" s="30">
        <f>IF(196&gt;$E$8,"",IF(INDEX('CONTROLES'!$AG$13:$AG$1012,MATCH(196,'CONTROLES'!$AH$13:$AH$1012,0))=2,"ROJO","ÁMBAR"))</f>
      </c>
    </row>
    <row r="209" ht="22" customHeight="1">
      <c r="B209" s="30">
        <f>IF(197&gt;$E$8,"",INDEX('CONTROLES'!$AB$13:$AB$1012,MATCH(197,'CONTROLES'!$AH$13:$AH$1012,0)))</f>
      </c>
      <c r="C209" s="30">
        <f>IF(197&gt;$E$8,"",INDEX('CONTROLES'!$AC$13:$AC$1012,MATCH(197,'CONTROLES'!$AH$13:$AH$1012,0)))</f>
      </c>
      <c r="D209" s="30">
        <f>IF(197&gt;$E$8,"",INDEX('CONTROLES'!$AD$13:$AD$1012,MATCH(197,'CONTROLES'!$AH$13:$AH$1012,0)))</f>
      </c>
      <c r="E209" s="30">
        <f>IF(197&gt;$E$8,"",INDEX('CONTROLES'!$AE$13:$AE$1012,MATCH(197,'CONTROLES'!$AH$13:$AH$1012,0)))</f>
      </c>
      <c r="F209" s="30">
        <f>IF(197&gt;$E$8,"",INDEX('CONTROLES'!$AF$13:$AF$1012,MATCH(197,'CONTROLES'!$AH$13:$AH$1012,0)))</f>
      </c>
      <c r="G209" s="30">
        <f>IF(197&gt;$E$8,"",IF(INDEX('CONTROLES'!$AG$13:$AG$1012,MATCH(197,'CONTROLES'!$AH$13:$AH$1012,0))=2,"ROJO","ÁMBAR"))</f>
      </c>
    </row>
    <row r="210" ht="22" customHeight="1">
      <c r="B210" s="30">
        <f>IF(198&gt;$E$8,"",INDEX('CONTROLES'!$AB$13:$AB$1012,MATCH(198,'CONTROLES'!$AH$13:$AH$1012,0)))</f>
      </c>
      <c r="C210" s="30">
        <f>IF(198&gt;$E$8,"",INDEX('CONTROLES'!$AC$13:$AC$1012,MATCH(198,'CONTROLES'!$AH$13:$AH$1012,0)))</f>
      </c>
      <c r="D210" s="30">
        <f>IF(198&gt;$E$8,"",INDEX('CONTROLES'!$AD$13:$AD$1012,MATCH(198,'CONTROLES'!$AH$13:$AH$1012,0)))</f>
      </c>
      <c r="E210" s="30">
        <f>IF(198&gt;$E$8,"",INDEX('CONTROLES'!$AE$13:$AE$1012,MATCH(198,'CONTROLES'!$AH$13:$AH$1012,0)))</f>
      </c>
      <c r="F210" s="30">
        <f>IF(198&gt;$E$8,"",INDEX('CONTROLES'!$AF$13:$AF$1012,MATCH(198,'CONTROLES'!$AH$13:$AH$1012,0)))</f>
      </c>
      <c r="G210" s="30">
        <f>IF(198&gt;$E$8,"",IF(INDEX('CONTROLES'!$AG$13:$AG$1012,MATCH(198,'CONTROLES'!$AH$13:$AH$1012,0))=2,"ROJO","ÁMBAR"))</f>
      </c>
    </row>
    <row r="211" ht="22" customHeight="1">
      <c r="B211" s="30">
        <f>IF(199&gt;$E$8,"",INDEX('CONTROLES'!$AB$13:$AB$1012,MATCH(199,'CONTROLES'!$AH$13:$AH$1012,0)))</f>
      </c>
      <c r="C211" s="30">
        <f>IF(199&gt;$E$8,"",INDEX('CONTROLES'!$AC$13:$AC$1012,MATCH(199,'CONTROLES'!$AH$13:$AH$1012,0)))</f>
      </c>
      <c r="D211" s="30">
        <f>IF(199&gt;$E$8,"",INDEX('CONTROLES'!$AD$13:$AD$1012,MATCH(199,'CONTROLES'!$AH$13:$AH$1012,0)))</f>
      </c>
      <c r="E211" s="30">
        <f>IF(199&gt;$E$8,"",INDEX('CONTROLES'!$AE$13:$AE$1012,MATCH(199,'CONTROLES'!$AH$13:$AH$1012,0)))</f>
      </c>
      <c r="F211" s="30">
        <f>IF(199&gt;$E$8,"",INDEX('CONTROLES'!$AF$13:$AF$1012,MATCH(199,'CONTROLES'!$AH$13:$AH$1012,0)))</f>
      </c>
      <c r="G211" s="30">
        <f>IF(199&gt;$E$8,"",IF(INDEX('CONTROLES'!$AG$13:$AG$1012,MATCH(199,'CONTROLES'!$AH$13:$AH$1012,0))=2,"ROJO","ÁMBAR"))</f>
      </c>
    </row>
    <row r="212" ht="22" customHeight="1">
      <c r="B212" s="30">
        <f>IF(200&gt;$E$8,"",INDEX('CONTROLES'!$AB$13:$AB$1012,MATCH(200,'CONTROLES'!$AH$13:$AH$1012,0)))</f>
      </c>
      <c r="C212" s="30">
        <f>IF(200&gt;$E$8,"",INDEX('CONTROLES'!$AC$13:$AC$1012,MATCH(200,'CONTROLES'!$AH$13:$AH$1012,0)))</f>
      </c>
      <c r="D212" s="30">
        <f>IF(200&gt;$E$8,"",INDEX('CONTROLES'!$AD$13:$AD$1012,MATCH(200,'CONTROLES'!$AH$13:$AH$1012,0)))</f>
      </c>
      <c r="E212" s="30">
        <f>IF(200&gt;$E$8,"",INDEX('CONTROLES'!$AE$13:$AE$1012,MATCH(200,'CONTROLES'!$AH$13:$AH$1012,0)))</f>
      </c>
      <c r="F212" s="30">
        <f>IF(200&gt;$E$8,"",INDEX('CONTROLES'!$AF$13:$AF$1012,MATCH(200,'CONTROLES'!$AH$13:$AH$1012,0)))</f>
      </c>
      <c r="G212" s="30">
        <f>IF(200&gt;$E$8,"",IF(INDEX('CONTROLES'!$AG$13:$AG$1012,MATCH(200,'CONTROLES'!$AH$13:$AH$1012,0))=2,"ROJO","ÁMBAR"))</f>
      </c>
    </row>
    <row r="213" ht="22" customHeight="1">
      <c r="B213" s="30">
        <f>IF(201&gt;$E$8,"",INDEX('CONTROLES'!$AB$13:$AB$1012,MATCH(201,'CONTROLES'!$AH$13:$AH$1012,0)))</f>
      </c>
      <c r="C213" s="30">
        <f>IF(201&gt;$E$8,"",INDEX('CONTROLES'!$AC$13:$AC$1012,MATCH(201,'CONTROLES'!$AH$13:$AH$1012,0)))</f>
      </c>
      <c r="D213" s="30">
        <f>IF(201&gt;$E$8,"",INDEX('CONTROLES'!$AD$13:$AD$1012,MATCH(201,'CONTROLES'!$AH$13:$AH$1012,0)))</f>
      </c>
      <c r="E213" s="30">
        <f>IF(201&gt;$E$8,"",INDEX('CONTROLES'!$AE$13:$AE$1012,MATCH(201,'CONTROLES'!$AH$13:$AH$1012,0)))</f>
      </c>
      <c r="F213" s="30">
        <f>IF(201&gt;$E$8,"",INDEX('CONTROLES'!$AF$13:$AF$1012,MATCH(201,'CONTROLES'!$AH$13:$AH$1012,0)))</f>
      </c>
      <c r="G213" s="30">
        <f>IF(201&gt;$E$8,"",IF(INDEX('CONTROLES'!$AG$13:$AG$1012,MATCH(201,'CONTROLES'!$AH$13:$AH$1012,0))=2,"ROJO","ÁMBAR"))</f>
      </c>
    </row>
    <row r="214" ht="22" customHeight="1">
      <c r="B214" s="30">
        <f>IF(202&gt;$E$8,"",INDEX('CONTROLES'!$AB$13:$AB$1012,MATCH(202,'CONTROLES'!$AH$13:$AH$1012,0)))</f>
      </c>
      <c r="C214" s="30">
        <f>IF(202&gt;$E$8,"",INDEX('CONTROLES'!$AC$13:$AC$1012,MATCH(202,'CONTROLES'!$AH$13:$AH$1012,0)))</f>
      </c>
      <c r="D214" s="30">
        <f>IF(202&gt;$E$8,"",INDEX('CONTROLES'!$AD$13:$AD$1012,MATCH(202,'CONTROLES'!$AH$13:$AH$1012,0)))</f>
      </c>
      <c r="E214" s="30">
        <f>IF(202&gt;$E$8,"",INDEX('CONTROLES'!$AE$13:$AE$1012,MATCH(202,'CONTROLES'!$AH$13:$AH$1012,0)))</f>
      </c>
      <c r="F214" s="30">
        <f>IF(202&gt;$E$8,"",INDEX('CONTROLES'!$AF$13:$AF$1012,MATCH(202,'CONTROLES'!$AH$13:$AH$1012,0)))</f>
      </c>
      <c r="G214" s="30">
        <f>IF(202&gt;$E$8,"",IF(INDEX('CONTROLES'!$AG$13:$AG$1012,MATCH(202,'CONTROLES'!$AH$13:$AH$1012,0))=2,"ROJO","ÁMBAR"))</f>
      </c>
    </row>
    <row r="215" ht="22" customHeight="1">
      <c r="B215" s="30">
        <f>IF(203&gt;$E$8,"",INDEX('CONTROLES'!$AB$13:$AB$1012,MATCH(203,'CONTROLES'!$AH$13:$AH$1012,0)))</f>
      </c>
      <c r="C215" s="30">
        <f>IF(203&gt;$E$8,"",INDEX('CONTROLES'!$AC$13:$AC$1012,MATCH(203,'CONTROLES'!$AH$13:$AH$1012,0)))</f>
      </c>
      <c r="D215" s="30">
        <f>IF(203&gt;$E$8,"",INDEX('CONTROLES'!$AD$13:$AD$1012,MATCH(203,'CONTROLES'!$AH$13:$AH$1012,0)))</f>
      </c>
      <c r="E215" s="30">
        <f>IF(203&gt;$E$8,"",INDEX('CONTROLES'!$AE$13:$AE$1012,MATCH(203,'CONTROLES'!$AH$13:$AH$1012,0)))</f>
      </c>
      <c r="F215" s="30">
        <f>IF(203&gt;$E$8,"",INDEX('CONTROLES'!$AF$13:$AF$1012,MATCH(203,'CONTROLES'!$AH$13:$AH$1012,0)))</f>
      </c>
      <c r="G215" s="30">
        <f>IF(203&gt;$E$8,"",IF(INDEX('CONTROLES'!$AG$13:$AG$1012,MATCH(203,'CONTROLES'!$AH$13:$AH$1012,0))=2,"ROJO","ÁMBAR"))</f>
      </c>
    </row>
    <row r="216" ht="22" customHeight="1">
      <c r="B216" s="30">
        <f>IF(204&gt;$E$8,"",INDEX('CONTROLES'!$AB$13:$AB$1012,MATCH(204,'CONTROLES'!$AH$13:$AH$1012,0)))</f>
      </c>
      <c r="C216" s="30">
        <f>IF(204&gt;$E$8,"",INDEX('CONTROLES'!$AC$13:$AC$1012,MATCH(204,'CONTROLES'!$AH$13:$AH$1012,0)))</f>
      </c>
      <c r="D216" s="30">
        <f>IF(204&gt;$E$8,"",INDEX('CONTROLES'!$AD$13:$AD$1012,MATCH(204,'CONTROLES'!$AH$13:$AH$1012,0)))</f>
      </c>
      <c r="E216" s="30">
        <f>IF(204&gt;$E$8,"",INDEX('CONTROLES'!$AE$13:$AE$1012,MATCH(204,'CONTROLES'!$AH$13:$AH$1012,0)))</f>
      </c>
      <c r="F216" s="30">
        <f>IF(204&gt;$E$8,"",INDEX('CONTROLES'!$AF$13:$AF$1012,MATCH(204,'CONTROLES'!$AH$13:$AH$1012,0)))</f>
      </c>
      <c r="G216" s="30">
        <f>IF(204&gt;$E$8,"",IF(INDEX('CONTROLES'!$AG$13:$AG$1012,MATCH(204,'CONTROLES'!$AH$13:$AH$1012,0))=2,"ROJO","ÁMBAR"))</f>
      </c>
    </row>
    <row r="217" ht="22" customHeight="1">
      <c r="B217" s="30">
        <f>IF(205&gt;$E$8,"",INDEX('CONTROLES'!$AB$13:$AB$1012,MATCH(205,'CONTROLES'!$AH$13:$AH$1012,0)))</f>
      </c>
      <c r="C217" s="30">
        <f>IF(205&gt;$E$8,"",INDEX('CONTROLES'!$AC$13:$AC$1012,MATCH(205,'CONTROLES'!$AH$13:$AH$1012,0)))</f>
      </c>
      <c r="D217" s="30">
        <f>IF(205&gt;$E$8,"",INDEX('CONTROLES'!$AD$13:$AD$1012,MATCH(205,'CONTROLES'!$AH$13:$AH$1012,0)))</f>
      </c>
      <c r="E217" s="30">
        <f>IF(205&gt;$E$8,"",INDEX('CONTROLES'!$AE$13:$AE$1012,MATCH(205,'CONTROLES'!$AH$13:$AH$1012,0)))</f>
      </c>
      <c r="F217" s="30">
        <f>IF(205&gt;$E$8,"",INDEX('CONTROLES'!$AF$13:$AF$1012,MATCH(205,'CONTROLES'!$AH$13:$AH$1012,0)))</f>
      </c>
      <c r="G217" s="30">
        <f>IF(205&gt;$E$8,"",IF(INDEX('CONTROLES'!$AG$13:$AG$1012,MATCH(205,'CONTROLES'!$AH$13:$AH$1012,0))=2,"ROJO","ÁMBAR"))</f>
      </c>
    </row>
    <row r="218" ht="22" customHeight="1">
      <c r="B218" s="30">
        <f>IF(206&gt;$E$8,"",INDEX('CONTROLES'!$AB$13:$AB$1012,MATCH(206,'CONTROLES'!$AH$13:$AH$1012,0)))</f>
      </c>
      <c r="C218" s="30">
        <f>IF(206&gt;$E$8,"",INDEX('CONTROLES'!$AC$13:$AC$1012,MATCH(206,'CONTROLES'!$AH$13:$AH$1012,0)))</f>
      </c>
      <c r="D218" s="30">
        <f>IF(206&gt;$E$8,"",INDEX('CONTROLES'!$AD$13:$AD$1012,MATCH(206,'CONTROLES'!$AH$13:$AH$1012,0)))</f>
      </c>
      <c r="E218" s="30">
        <f>IF(206&gt;$E$8,"",INDEX('CONTROLES'!$AE$13:$AE$1012,MATCH(206,'CONTROLES'!$AH$13:$AH$1012,0)))</f>
      </c>
      <c r="F218" s="30">
        <f>IF(206&gt;$E$8,"",INDEX('CONTROLES'!$AF$13:$AF$1012,MATCH(206,'CONTROLES'!$AH$13:$AH$1012,0)))</f>
      </c>
      <c r="G218" s="30">
        <f>IF(206&gt;$E$8,"",IF(INDEX('CONTROLES'!$AG$13:$AG$1012,MATCH(206,'CONTROLES'!$AH$13:$AH$1012,0))=2,"ROJO","ÁMBAR"))</f>
      </c>
    </row>
    <row r="219" ht="22" customHeight="1">
      <c r="B219" s="30">
        <f>IF(207&gt;$E$8,"",INDEX('CONTROLES'!$AB$13:$AB$1012,MATCH(207,'CONTROLES'!$AH$13:$AH$1012,0)))</f>
      </c>
      <c r="C219" s="30">
        <f>IF(207&gt;$E$8,"",INDEX('CONTROLES'!$AC$13:$AC$1012,MATCH(207,'CONTROLES'!$AH$13:$AH$1012,0)))</f>
      </c>
      <c r="D219" s="30">
        <f>IF(207&gt;$E$8,"",INDEX('CONTROLES'!$AD$13:$AD$1012,MATCH(207,'CONTROLES'!$AH$13:$AH$1012,0)))</f>
      </c>
      <c r="E219" s="30">
        <f>IF(207&gt;$E$8,"",INDEX('CONTROLES'!$AE$13:$AE$1012,MATCH(207,'CONTROLES'!$AH$13:$AH$1012,0)))</f>
      </c>
      <c r="F219" s="30">
        <f>IF(207&gt;$E$8,"",INDEX('CONTROLES'!$AF$13:$AF$1012,MATCH(207,'CONTROLES'!$AH$13:$AH$1012,0)))</f>
      </c>
      <c r="G219" s="30">
        <f>IF(207&gt;$E$8,"",IF(INDEX('CONTROLES'!$AG$13:$AG$1012,MATCH(207,'CONTROLES'!$AH$13:$AH$1012,0))=2,"ROJO","ÁMBAR"))</f>
      </c>
    </row>
    <row r="220" ht="22" customHeight="1">
      <c r="B220" s="30">
        <f>IF(208&gt;$E$8,"",INDEX('CONTROLES'!$AB$13:$AB$1012,MATCH(208,'CONTROLES'!$AH$13:$AH$1012,0)))</f>
      </c>
      <c r="C220" s="30">
        <f>IF(208&gt;$E$8,"",INDEX('CONTROLES'!$AC$13:$AC$1012,MATCH(208,'CONTROLES'!$AH$13:$AH$1012,0)))</f>
      </c>
      <c r="D220" s="30">
        <f>IF(208&gt;$E$8,"",INDEX('CONTROLES'!$AD$13:$AD$1012,MATCH(208,'CONTROLES'!$AH$13:$AH$1012,0)))</f>
      </c>
      <c r="E220" s="30">
        <f>IF(208&gt;$E$8,"",INDEX('CONTROLES'!$AE$13:$AE$1012,MATCH(208,'CONTROLES'!$AH$13:$AH$1012,0)))</f>
      </c>
      <c r="F220" s="30">
        <f>IF(208&gt;$E$8,"",INDEX('CONTROLES'!$AF$13:$AF$1012,MATCH(208,'CONTROLES'!$AH$13:$AH$1012,0)))</f>
      </c>
      <c r="G220" s="30">
        <f>IF(208&gt;$E$8,"",IF(INDEX('CONTROLES'!$AG$13:$AG$1012,MATCH(208,'CONTROLES'!$AH$13:$AH$1012,0))=2,"ROJO","ÁMBAR"))</f>
      </c>
    </row>
    <row r="221" ht="22" customHeight="1">
      <c r="B221" s="30">
        <f>IF(209&gt;$E$8,"",INDEX('CONTROLES'!$AB$13:$AB$1012,MATCH(209,'CONTROLES'!$AH$13:$AH$1012,0)))</f>
      </c>
      <c r="C221" s="30">
        <f>IF(209&gt;$E$8,"",INDEX('CONTROLES'!$AC$13:$AC$1012,MATCH(209,'CONTROLES'!$AH$13:$AH$1012,0)))</f>
      </c>
      <c r="D221" s="30">
        <f>IF(209&gt;$E$8,"",INDEX('CONTROLES'!$AD$13:$AD$1012,MATCH(209,'CONTROLES'!$AH$13:$AH$1012,0)))</f>
      </c>
      <c r="E221" s="30">
        <f>IF(209&gt;$E$8,"",INDEX('CONTROLES'!$AE$13:$AE$1012,MATCH(209,'CONTROLES'!$AH$13:$AH$1012,0)))</f>
      </c>
      <c r="F221" s="30">
        <f>IF(209&gt;$E$8,"",INDEX('CONTROLES'!$AF$13:$AF$1012,MATCH(209,'CONTROLES'!$AH$13:$AH$1012,0)))</f>
      </c>
      <c r="G221" s="30">
        <f>IF(209&gt;$E$8,"",IF(INDEX('CONTROLES'!$AG$13:$AG$1012,MATCH(209,'CONTROLES'!$AH$13:$AH$1012,0))=2,"ROJO","ÁMBAR"))</f>
      </c>
    </row>
    <row r="222" ht="22" customHeight="1">
      <c r="B222" s="30">
        <f>IF(210&gt;$E$8,"",INDEX('CONTROLES'!$AB$13:$AB$1012,MATCH(210,'CONTROLES'!$AH$13:$AH$1012,0)))</f>
      </c>
      <c r="C222" s="30">
        <f>IF(210&gt;$E$8,"",INDEX('CONTROLES'!$AC$13:$AC$1012,MATCH(210,'CONTROLES'!$AH$13:$AH$1012,0)))</f>
      </c>
      <c r="D222" s="30">
        <f>IF(210&gt;$E$8,"",INDEX('CONTROLES'!$AD$13:$AD$1012,MATCH(210,'CONTROLES'!$AH$13:$AH$1012,0)))</f>
      </c>
      <c r="E222" s="30">
        <f>IF(210&gt;$E$8,"",INDEX('CONTROLES'!$AE$13:$AE$1012,MATCH(210,'CONTROLES'!$AH$13:$AH$1012,0)))</f>
      </c>
      <c r="F222" s="30">
        <f>IF(210&gt;$E$8,"",INDEX('CONTROLES'!$AF$13:$AF$1012,MATCH(210,'CONTROLES'!$AH$13:$AH$1012,0)))</f>
      </c>
      <c r="G222" s="30">
        <f>IF(210&gt;$E$8,"",IF(INDEX('CONTROLES'!$AG$13:$AG$1012,MATCH(210,'CONTROLES'!$AH$13:$AH$1012,0))=2,"ROJO","ÁMBAR"))</f>
      </c>
    </row>
    <row r="223" ht="22" customHeight="1">
      <c r="B223" s="30">
        <f>IF(211&gt;$E$8,"",INDEX('CONTROLES'!$AB$13:$AB$1012,MATCH(211,'CONTROLES'!$AH$13:$AH$1012,0)))</f>
      </c>
      <c r="C223" s="30">
        <f>IF(211&gt;$E$8,"",INDEX('CONTROLES'!$AC$13:$AC$1012,MATCH(211,'CONTROLES'!$AH$13:$AH$1012,0)))</f>
      </c>
      <c r="D223" s="30">
        <f>IF(211&gt;$E$8,"",INDEX('CONTROLES'!$AD$13:$AD$1012,MATCH(211,'CONTROLES'!$AH$13:$AH$1012,0)))</f>
      </c>
      <c r="E223" s="30">
        <f>IF(211&gt;$E$8,"",INDEX('CONTROLES'!$AE$13:$AE$1012,MATCH(211,'CONTROLES'!$AH$13:$AH$1012,0)))</f>
      </c>
      <c r="F223" s="30">
        <f>IF(211&gt;$E$8,"",INDEX('CONTROLES'!$AF$13:$AF$1012,MATCH(211,'CONTROLES'!$AH$13:$AH$1012,0)))</f>
      </c>
      <c r="G223" s="30">
        <f>IF(211&gt;$E$8,"",IF(INDEX('CONTROLES'!$AG$13:$AG$1012,MATCH(211,'CONTROLES'!$AH$13:$AH$1012,0))=2,"ROJO","ÁMBAR"))</f>
      </c>
    </row>
    <row r="224" ht="22" customHeight="1">
      <c r="B224" s="30">
        <f>IF(212&gt;$E$8,"",INDEX('CONTROLES'!$AB$13:$AB$1012,MATCH(212,'CONTROLES'!$AH$13:$AH$1012,0)))</f>
      </c>
      <c r="C224" s="30">
        <f>IF(212&gt;$E$8,"",INDEX('CONTROLES'!$AC$13:$AC$1012,MATCH(212,'CONTROLES'!$AH$13:$AH$1012,0)))</f>
      </c>
      <c r="D224" s="30">
        <f>IF(212&gt;$E$8,"",INDEX('CONTROLES'!$AD$13:$AD$1012,MATCH(212,'CONTROLES'!$AH$13:$AH$1012,0)))</f>
      </c>
      <c r="E224" s="30">
        <f>IF(212&gt;$E$8,"",INDEX('CONTROLES'!$AE$13:$AE$1012,MATCH(212,'CONTROLES'!$AH$13:$AH$1012,0)))</f>
      </c>
      <c r="F224" s="30">
        <f>IF(212&gt;$E$8,"",INDEX('CONTROLES'!$AF$13:$AF$1012,MATCH(212,'CONTROLES'!$AH$13:$AH$1012,0)))</f>
      </c>
      <c r="G224" s="30">
        <f>IF(212&gt;$E$8,"",IF(INDEX('CONTROLES'!$AG$13:$AG$1012,MATCH(212,'CONTROLES'!$AH$13:$AH$1012,0))=2,"ROJO","ÁMBAR"))</f>
      </c>
    </row>
    <row r="225" ht="22" customHeight="1">
      <c r="B225" s="30">
        <f>IF(213&gt;$E$8,"",INDEX('CONTROLES'!$AB$13:$AB$1012,MATCH(213,'CONTROLES'!$AH$13:$AH$1012,0)))</f>
      </c>
      <c r="C225" s="30">
        <f>IF(213&gt;$E$8,"",INDEX('CONTROLES'!$AC$13:$AC$1012,MATCH(213,'CONTROLES'!$AH$13:$AH$1012,0)))</f>
      </c>
      <c r="D225" s="30">
        <f>IF(213&gt;$E$8,"",INDEX('CONTROLES'!$AD$13:$AD$1012,MATCH(213,'CONTROLES'!$AH$13:$AH$1012,0)))</f>
      </c>
      <c r="E225" s="30">
        <f>IF(213&gt;$E$8,"",INDEX('CONTROLES'!$AE$13:$AE$1012,MATCH(213,'CONTROLES'!$AH$13:$AH$1012,0)))</f>
      </c>
      <c r="F225" s="30">
        <f>IF(213&gt;$E$8,"",INDEX('CONTROLES'!$AF$13:$AF$1012,MATCH(213,'CONTROLES'!$AH$13:$AH$1012,0)))</f>
      </c>
      <c r="G225" s="30">
        <f>IF(213&gt;$E$8,"",IF(INDEX('CONTROLES'!$AG$13:$AG$1012,MATCH(213,'CONTROLES'!$AH$13:$AH$1012,0))=2,"ROJO","ÁMBAR"))</f>
      </c>
    </row>
    <row r="226" ht="22" customHeight="1">
      <c r="B226" s="30">
        <f>IF(214&gt;$E$8,"",INDEX('CONTROLES'!$AB$13:$AB$1012,MATCH(214,'CONTROLES'!$AH$13:$AH$1012,0)))</f>
      </c>
      <c r="C226" s="30">
        <f>IF(214&gt;$E$8,"",INDEX('CONTROLES'!$AC$13:$AC$1012,MATCH(214,'CONTROLES'!$AH$13:$AH$1012,0)))</f>
      </c>
      <c r="D226" s="30">
        <f>IF(214&gt;$E$8,"",INDEX('CONTROLES'!$AD$13:$AD$1012,MATCH(214,'CONTROLES'!$AH$13:$AH$1012,0)))</f>
      </c>
      <c r="E226" s="30">
        <f>IF(214&gt;$E$8,"",INDEX('CONTROLES'!$AE$13:$AE$1012,MATCH(214,'CONTROLES'!$AH$13:$AH$1012,0)))</f>
      </c>
      <c r="F226" s="30">
        <f>IF(214&gt;$E$8,"",INDEX('CONTROLES'!$AF$13:$AF$1012,MATCH(214,'CONTROLES'!$AH$13:$AH$1012,0)))</f>
      </c>
      <c r="G226" s="30">
        <f>IF(214&gt;$E$8,"",IF(INDEX('CONTROLES'!$AG$13:$AG$1012,MATCH(214,'CONTROLES'!$AH$13:$AH$1012,0))=2,"ROJO","ÁMBAR"))</f>
      </c>
    </row>
    <row r="227" ht="22" customHeight="1">
      <c r="B227" s="30">
        <f>IF(215&gt;$E$8,"",INDEX('CONTROLES'!$AB$13:$AB$1012,MATCH(215,'CONTROLES'!$AH$13:$AH$1012,0)))</f>
      </c>
      <c r="C227" s="30">
        <f>IF(215&gt;$E$8,"",INDEX('CONTROLES'!$AC$13:$AC$1012,MATCH(215,'CONTROLES'!$AH$13:$AH$1012,0)))</f>
      </c>
      <c r="D227" s="30">
        <f>IF(215&gt;$E$8,"",INDEX('CONTROLES'!$AD$13:$AD$1012,MATCH(215,'CONTROLES'!$AH$13:$AH$1012,0)))</f>
      </c>
      <c r="E227" s="30">
        <f>IF(215&gt;$E$8,"",INDEX('CONTROLES'!$AE$13:$AE$1012,MATCH(215,'CONTROLES'!$AH$13:$AH$1012,0)))</f>
      </c>
      <c r="F227" s="30">
        <f>IF(215&gt;$E$8,"",INDEX('CONTROLES'!$AF$13:$AF$1012,MATCH(215,'CONTROLES'!$AH$13:$AH$1012,0)))</f>
      </c>
      <c r="G227" s="30">
        <f>IF(215&gt;$E$8,"",IF(INDEX('CONTROLES'!$AG$13:$AG$1012,MATCH(215,'CONTROLES'!$AH$13:$AH$1012,0))=2,"ROJO","ÁMBAR"))</f>
      </c>
    </row>
    <row r="228" ht="22" customHeight="1">
      <c r="B228" s="30">
        <f>IF(216&gt;$E$8,"",INDEX('CONTROLES'!$AB$13:$AB$1012,MATCH(216,'CONTROLES'!$AH$13:$AH$1012,0)))</f>
      </c>
      <c r="C228" s="30">
        <f>IF(216&gt;$E$8,"",INDEX('CONTROLES'!$AC$13:$AC$1012,MATCH(216,'CONTROLES'!$AH$13:$AH$1012,0)))</f>
      </c>
      <c r="D228" s="30">
        <f>IF(216&gt;$E$8,"",INDEX('CONTROLES'!$AD$13:$AD$1012,MATCH(216,'CONTROLES'!$AH$13:$AH$1012,0)))</f>
      </c>
      <c r="E228" s="30">
        <f>IF(216&gt;$E$8,"",INDEX('CONTROLES'!$AE$13:$AE$1012,MATCH(216,'CONTROLES'!$AH$13:$AH$1012,0)))</f>
      </c>
      <c r="F228" s="30">
        <f>IF(216&gt;$E$8,"",INDEX('CONTROLES'!$AF$13:$AF$1012,MATCH(216,'CONTROLES'!$AH$13:$AH$1012,0)))</f>
      </c>
      <c r="G228" s="30">
        <f>IF(216&gt;$E$8,"",IF(INDEX('CONTROLES'!$AG$13:$AG$1012,MATCH(216,'CONTROLES'!$AH$13:$AH$1012,0))=2,"ROJO","ÁMBAR"))</f>
      </c>
    </row>
    <row r="229" ht="22" customHeight="1">
      <c r="B229" s="30">
        <f>IF(217&gt;$E$8,"",INDEX('CONTROLES'!$AB$13:$AB$1012,MATCH(217,'CONTROLES'!$AH$13:$AH$1012,0)))</f>
      </c>
      <c r="C229" s="30">
        <f>IF(217&gt;$E$8,"",INDEX('CONTROLES'!$AC$13:$AC$1012,MATCH(217,'CONTROLES'!$AH$13:$AH$1012,0)))</f>
      </c>
      <c r="D229" s="30">
        <f>IF(217&gt;$E$8,"",INDEX('CONTROLES'!$AD$13:$AD$1012,MATCH(217,'CONTROLES'!$AH$13:$AH$1012,0)))</f>
      </c>
      <c r="E229" s="30">
        <f>IF(217&gt;$E$8,"",INDEX('CONTROLES'!$AE$13:$AE$1012,MATCH(217,'CONTROLES'!$AH$13:$AH$1012,0)))</f>
      </c>
      <c r="F229" s="30">
        <f>IF(217&gt;$E$8,"",INDEX('CONTROLES'!$AF$13:$AF$1012,MATCH(217,'CONTROLES'!$AH$13:$AH$1012,0)))</f>
      </c>
      <c r="G229" s="30">
        <f>IF(217&gt;$E$8,"",IF(INDEX('CONTROLES'!$AG$13:$AG$1012,MATCH(217,'CONTROLES'!$AH$13:$AH$1012,0))=2,"ROJO","ÁMBAR"))</f>
      </c>
    </row>
    <row r="230" ht="22" customHeight="1">
      <c r="B230" s="30">
        <f>IF(218&gt;$E$8,"",INDEX('CONTROLES'!$AB$13:$AB$1012,MATCH(218,'CONTROLES'!$AH$13:$AH$1012,0)))</f>
      </c>
      <c r="C230" s="30">
        <f>IF(218&gt;$E$8,"",INDEX('CONTROLES'!$AC$13:$AC$1012,MATCH(218,'CONTROLES'!$AH$13:$AH$1012,0)))</f>
      </c>
      <c r="D230" s="30">
        <f>IF(218&gt;$E$8,"",INDEX('CONTROLES'!$AD$13:$AD$1012,MATCH(218,'CONTROLES'!$AH$13:$AH$1012,0)))</f>
      </c>
      <c r="E230" s="30">
        <f>IF(218&gt;$E$8,"",INDEX('CONTROLES'!$AE$13:$AE$1012,MATCH(218,'CONTROLES'!$AH$13:$AH$1012,0)))</f>
      </c>
      <c r="F230" s="30">
        <f>IF(218&gt;$E$8,"",INDEX('CONTROLES'!$AF$13:$AF$1012,MATCH(218,'CONTROLES'!$AH$13:$AH$1012,0)))</f>
      </c>
      <c r="G230" s="30">
        <f>IF(218&gt;$E$8,"",IF(INDEX('CONTROLES'!$AG$13:$AG$1012,MATCH(218,'CONTROLES'!$AH$13:$AH$1012,0))=2,"ROJO","ÁMBAR"))</f>
      </c>
    </row>
    <row r="231" ht="22" customHeight="1">
      <c r="B231" s="30">
        <f>IF(219&gt;$E$8,"",INDEX('CONTROLES'!$AB$13:$AB$1012,MATCH(219,'CONTROLES'!$AH$13:$AH$1012,0)))</f>
      </c>
      <c r="C231" s="30">
        <f>IF(219&gt;$E$8,"",INDEX('CONTROLES'!$AC$13:$AC$1012,MATCH(219,'CONTROLES'!$AH$13:$AH$1012,0)))</f>
      </c>
      <c r="D231" s="30">
        <f>IF(219&gt;$E$8,"",INDEX('CONTROLES'!$AD$13:$AD$1012,MATCH(219,'CONTROLES'!$AH$13:$AH$1012,0)))</f>
      </c>
      <c r="E231" s="30">
        <f>IF(219&gt;$E$8,"",INDEX('CONTROLES'!$AE$13:$AE$1012,MATCH(219,'CONTROLES'!$AH$13:$AH$1012,0)))</f>
      </c>
      <c r="F231" s="30">
        <f>IF(219&gt;$E$8,"",INDEX('CONTROLES'!$AF$13:$AF$1012,MATCH(219,'CONTROLES'!$AH$13:$AH$1012,0)))</f>
      </c>
      <c r="G231" s="30">
        <f>IF(219&gt;$E$8,"",IF(INDEX('CONTROLES'!$AG$13:$AG$1012,MATCH(219,'CONTROLES'!$AH$13:$AH$1012,0))=2,"ROJO","ÁMBAR"))</f>
      </c>
    </row>
    <row r="232" ht="22" customHeight="1">
      <c r="B232" s="30">
        <f>IF(220&gt;$E$8,"",INDEX('CONTROLES'!$AB$13:$AB$1012,MATCH(220,'CONTROLES'!$AH$13:$AH$1012,0)))</f>
      </c>
      <c r="C232" s="30">
        <f>IF(220&gt;$E$8,"",INDEX('CONTROLES'!$AC$13:$AC$1012,MATCH(220,'CONTROLES'!$AH$13:$AH$1012,0)))</f>
      </c>
      <c r="D232" s="30">
        <f>IF(220&gt;$E$8,"",INDEX('CONTROLES'!$AD$13:$AD$1012,MATCH(220,'CONTROLES'!$AH$13:$AH$1012,0)))</f>
      </c>
      <c r="E232" s="30">
        <f>IF(220&gt;$E$8,"",INDEX('CONTROLES'!$AE$13:$AE$1012,MATCH(220,'CONTROLES'!$AH$13:$AH$1012,0)))</f>
      </c>
      <c r="F232" s="30">
        <f>IF(220&gt;$E$8,"",INDEX('CONTROLES'!$AF$13:$AF$1012,MATCH(220,'CONTROLES'!$AH$13:$AH$1012,0)))</f>
      </c>
      <c r="G232" s="30">
        <f>IF(220&gt;$E$8,"",IF(INDEX('CONTROLES'!$AG$13:$AG$1012,MATCH(220,'CONTROLES'!$AH$13:$AH$1012,0))=2,"ROJO","ÁMBAR"))</f>
      </c>
    </row>
    <row r="233" ht="22" customHeight="1">
      <c r="B233" s="30">
        <f>IF(221&gt;$E$8,"",INDEX('CONTROLES'!$AB$13:$AB$1012,MATCH(221,'CONTROLES'!$AH$13:$AH$1012,0)))</f>
      </c>
      <c r="C233" s="30">
        <f>IF(221&gt;$E$8,"",INDEX('CONTROLES'!$AC$13:$AC$1012,MATCH(221,'CONTROLES'!$AH$13:$AH$1012,0)))</f>
      </c>
      <c r="D233" s="30">
        <f>IF(221&gt;$E$8,"",INDEX('CONTROLES'!$AD$13:$AD$1012,MATCH(221,'CONTROLES'!$AH$13:$AH$1012,0)))</f>
      </c>
      <c r="E233" s="30">
        <f>IF(221&gt;$E$8,"",INDEX('CONTROLES'!$AE$13:$AE$1012,MATCH(221,'CONTROLES'!$AH$13:$AH$1012,0)))</f>
      </c>
      <c r="F233" s="30">
        <f>IF(221&gt;$E$8,"",INDEX('CONTROLES'!$AF$13:$AF$1012,MATCH(221,'CONTROLES'!$AH$13:$AH$1012,0)))</f>
      </c>
      <c r="G233" s="30">
        <f>IF(221&gt;$E$8,"",IF(INDEX('CONTROLES'!$AG$13:$AG$1012,MATCH(221,'CONTROLES'!$AH$13:$AH$1012,0))=2,"ROJO","ÁMBAR"))</f>
      </c>
    </row>
    <row r="234" ht="22" customHeight="1">
      <c r="B234" s="30">
        <f>IF(222&gt;$E$8,"",INDEX('CONTROLES'!$AB$13:$AB$1012,MATCH(222,'CONTROLES'!$AH$13:$AH$1012,0)))</f>
      </c>
      <c r="C234" s="30">
        <f>IF(222&gt;$E$8,"",INDEX('CONTROLES'!$AC$13:$AC$1012,MATCH(222,'CONTROLES'!$AH$13:$AH$1012,0)))</f>
      </c>
      <c r="D234" s="30">
        <f>IF(222&gt;$E$8,"",INDEX('CONTROLES'!$AD$13:$AD$1012,MATCH(222,'CONTROLES'!$AH$13:$AH$1012,0)))</f>
      </c>
      <c r="E234" s="30">
        <f>IF(222&gt;$E$8,"",INDEX('CONTROLES'!$AE$13:$AE$1012,MATCH(222,'CONTROLES'!$AH$13:$AH$1012,0)))</f>
      </c>
      <c r="F234" s="30">
        <f>IF(222&gt;$E$8,"",INDEX('CONTROLES'!$AF$13:$AF$1012,MATCH(222,'CONTROLES'!$AH$13:$AH$1012,0)))</f>
      </c>
      <c r="G234" s="30">
        <f>IF(222&gt;$E$8,"",IF(INDEX('CONTROLES'!$AG$13:$AG$1012,MATCH(222,'CONTROLES'!$AH$13:$AH$1012,0))=2,"ROJO","ÁMBAR"))</f>
      </c>
    </row>
    <row r="235" ht="22" customHeight="1">
      <c r="B235" s="30">
        <f>IF(223&gt;$E$8,"",INDEX('CONTROLES'!$AB$13:$AB$1012,MATCH(223,'CONTROLES'!$AH$13:$AH$1012,0)))</f>
      </c>
      <c r="C235" s="30">
        <f>IF(223&gt;$E$8,"",INDEX('CONTROLES'!$AC$13:$AC$1012,MATCH(223,'CONTROLES'!$AH$13:$AH$1012,0)))</f>
      </c>
      <c r="D235" s="30">
        <f>IF(223&gt;$E$8,"",INDEX('CONTROLES'!$AD$13:$AD$1012,MATCH(223,'CONTROLES'!$AH$13:$AH$1012,0)))</f>
      </c>
      <c r="E235" s="30">
        <f>IF(223&gt;$E$8,"",INDEX('CONTROLES'!$AE$13:$AE$1012,MATCH(223,'CONTROLES'!$AH$13:$AH$1012,0)))</f>
      </c>
      <c r="F235" s="30">
        <f>IF(223&gt;$E$8,"",INDEX('CONTROLES'!$AF$13:$AF$1012,MATCH(223,'CONTROLES'!$AH$13:$AH$1012,0)))</f>
      </c>
      <c r="G235" s="30">
        <f>IF(223&gt;$E$8,"",IF(INDEX('CONTROLES'!$AG$13:$AG$1012,MATCH(223,'CONTROLES'!$AH$13:$AH$1012,0))=2,"ROJO","ÁMBAR"))</f>
      </c>
    </row>
    <row r="236" ht="22" customHeight="1">
      <c r="B236" s="30">
        <f>IF(224&gt;$E$8,"",INDEX('CONTROLES'!$AB$13:$AB$1012,MATCH(224,'CONTROLES'!$AH$13:$AH$1012,0)))</f>
      </c>
      <c r="C236" s="30">
        <f>IF(224&gt;$E$8,"",INDEX('CONTROLES'!$AC$13:$AC$1012,MATCH(224,'CONTROLES'!$AH$13:$AH$1012,0)))</f>
      </c>
      <c r="D236" s="30">
        <f>IF(224&gt;$E$8,"",INDEX('CONTROLES'!$AD$13:$AD$1012,MATCH(224,'CONTROLES'!$AH$13:$AH$1012,0)))</f>
      </c>
      <c r="E236" s="30">
        <f>IF(224&gt;$E$8,"",INDEX('CONTROLES'!$AE$13:$AE$1012,MATCH(224,'CONTROLES'!$AH$13:$AH$1012,0)))</f>
      </c>
      <c r="F236" s="30">
        <f>IF(224&gt;$E$8,"",INDEX('CONTROLES'!$AF$13:$AF$1012,MATCH(224,'CONTROLES'!$AH$13:$AH$1012,0)))</f>
      </c>
      <c r="G236" s="30">
        <f>IF(224&gt;$E$8,"",IF(INDEX('CONTROLES'!$AG$13:$AG$1012,MATCH(224,'CONTROLES'!$AH$13:$AH$1012,0))=2,"ROJO","ÁMBAR"))</f>
      </c>
    </row>
    <row r="237" ht="22" customHeight="1">
      <c r="B237" s="30">
        <f>IF(225&gt;$E$8,"",INDEX('CONTROLES'!$AB$13:$AB$1012,MATCH(225,'CONTROLES'!$AH$13:$AH$1012,0)))</f>
      </c>
      <c r="C237" s="30">
        <f>IF(225&gt;$E$8,"",INDEX('CONTROLES'!$AC$13:$AC$1012,MATCH(225,'CONTROLES'!$AH$13:$AH$1012,0)))</f>
      </c>
      <c r="D237" s="30">
        <f>IF(225&gt;$E$8,"",INDEX('CONTROLES'!$AD$13:$AD$1012,MATCH(225,'CONTROLES'!$AH$13:$AH$1012,0)))</f>
      </c>
      <c r="E237" s="30">
        <f>IF(225&gt;$E$8,"",INDEX('CONTROLES'!$AE$13:$AE$1012,MATCH(225,'CONTROLES'!$AH$13:$AH$1012,0)))</f>
      </c>
      <c r="F237" s="30">
        <f>IF(225&gt;$E$8,"",INDEX('CONTROLES'!$AF$13:$AF$1012,MATCH(225,'CONTROLES'!$AH$13:$AH$1012,0)))</f>
      </c>
      <c r="G237" s="30">
        <f>IF(225&gt;$E$8,"",IF(INDEX('CONTROLES'!$AG$13:$AG$1012,MATCH(225,'CONTROLES'!$AH$13:$AH$1012,0))=2,"ROJO","ÁMBAR"))</f>
      </c>
    </row>
    <row r="238" ht="22" customHeight="1">
      <c r="B238" s="30">
        <f>IF(226&gt;$E$8,"",INDEX('CONTROLES'!$AB$13:$AB$1012,MATCH(226,'CONTROLES'!$AH$13:$AH$1012,0)))</f>
      </c>
      <c r="C238" s="30">
        <f>IF(226&gt;$E$8,"",INDEX('CONTROLES'!$AC$13:$AC$1012,MATCH(226,'CONTROLES'!$AH$13:$AH$1012,0)))</f>
      </c>
      <c r="D238" s="30">
        <f>IF(226&gt;$E$8,"",INDEX('CONTROLES'!$AD$13:$AD$1012,MATCH(226,'CONTROLES'!$AH$13:$AH$1012,0)))</f>
      </c>
      <c r="E238" s="30">
        <f>IF(226&gt;$E$8,"",INDEX('CONTROLES'!$AE$13:$AE$1012,MATCH(226,'CONTROLES'!$AH$13:$AH$1012,0)))</f>
      </c>
      <c r="F238" s="30">
        <f>IF(226&gt;$E$8,"",INDEX('CONTROLES'!$AF$13:$AF$1012,MATCH(226,'CONTROLES'!$AH$13:$AH$1012,0)))</f>
      </c>
      <c r="G238" s="30">
        <f>IF(226&gt;$E$8,"",IF(INDEX('CONTROLES'!$AG$13:$AG$1012,MATCH(226,'CONTROLES'!$AH$13:$AH$1012,0))=2,"ROJO","ÁMBAR"))</f>
      </c>
    </row>
    <row r="239" ht="22" customHeight="1">
      <c r="B239" s="30">
        <f>IF(227&gt;$E$8,"",INDEX('CONTROLES'!$AB$13:$AB$1012,MATCH(227,'CONTROLES'!$AH$13:$AH$1012,0)))</f>
      </c>
      <c r="C239" s="30">
        <f>IF(227&gt;$E$8,"",INDEX('CONTROLES'!$AC$13:$AC$1012,MATCH(227,'CONTROLES'!$AH$13:$AH$1012,0)))</f>
      </c>
      <c r="D239" s="30">
        <f>IF(227&gt;$E$8,"",INDEX('CONTROLES'!$AD$13:$AD$1012,MATCH(227,'CONTROLES'!$AH$13:$AH$1012,0)))</f>
      </c>
      <c r="E239" s="30">
        <f>IF(227&gt;$E$8,"",INDEX('CONTROLES'!$AE$13:$AE$1012,MATCH(227,'CONTROLES'!$AH$13:$AH$1012,0)))</f>
      </c>
      <c r="F239" s="30">
        <f>IF(227&gt;$E$8,"",INDEX('CONTROLES'!$AF$13:$AF$1012,MATCH(227,'CONTROLES'!$AH$13:$AH$1012,0)))</f>
      </c>
      <c r="G239" s="30">
        <f>IF(227&gt;$E$8,"",IF(INDEX('CONTROLES'!$AG$13:$AG$1012,MATCH(227,'CONTROLES'!$AH$13:$AH$1012,0))=2,"ROJO","ÁMBAR"))</f>
      </c>
    </row>
    <row r="240" ht="22" customHeight="1">
      <c r="B240" s="30">
        <f>IF(228&gt;$E$8,"",INDEX('CONTROLES'!$AB$13:$AB$1012,MATCH(228,'CONTROLES'!$AH$13:$AH$1012,0)))</f>
      </c>
      <c r="C240" s="30">
        <f>IF(228&gt;$E$8,"",INDEX('CONTROLES'!$AC$13:$AC$1012,MATCH(228,'CONTROLES'!$AH$13:$AH$1012,0)))</f>
      </c>
      <c r="D240" s="30">
        <f>IF(228&gt;$E$8,"",INDEX('CONTROLES'!$AD$13:$AD$1012,MATCH(228,'CONTROLES'!$AH$13:$AH$1012,0)))</f>
      </c>
      <c r="E240" s="30">
        <f>IF(228&gt;$E$8,"",INDEX('CONTROLES'!$AE$13:$AE$1012,MATCH(228,'CONTROLES'!$AH$13:$AH$1012,0)))</f>
      </c>
      <c r="F240" s="30">
        <f>IF(228&gt;$E$8,"",INDEX('CONTROLES'!$AF$13:$AF$1012,MATCH(228,'CONTROLES'!$AH$13:$AH$1012,0)))</f>
      </c>
      <c r="G240" s="30">
        <f>IF(228&gt;$E$8,"",IF(INDEX('CONTROLES'!$AG$13:$AG$1012,MATCH(228,'CONTROLES'!$AH$13:$AH$1012,0))=2,"ROJO","ÁMBAR"))</f>
      </c>
    </row>
    <row r="241" ht="22" customHeight="1">
      <c r="B241" s="30">
        <f>IF(229&gt;$E$8,"",INDEX('CONTROLES'!$AB$13:$AB$1012,MATCH(229,'CONTROLES'!$AH$13:$AH$1012,0)))</f>
      </c>
      <c r="C241" s="30">
        <f>IF(229&gt;$E$8,"",INDEX('CONTROLES'!$AC$13:$AC$1012,MATCH(229,'CONTROLES'!$AH$13:$AH$1012,0)))</f>
      </c>
      <c r="D241" s="30">
        <f>IF(229&gt;$E$8,"",INDEX('CONTROLES'!$AD$13:$AD$1012,MATCH(229,'CONTROLES'!$AH$13:$AH$1012,0)))</f>
      </c>
      <c r="E241" s="30">
        <f>IF(229&gt;$E$8,"",INDEX('CONTROLES'!$AE$13:$AE$1012,MATCH(229,'CONTROLES'!$AH$13:$AH$1012,0)))</f>
      </c>
      <c r="F241" s="30">
        <f>IF(229&gt;$E$8,"",INDEX('CONTROLES'!$AF$13:$AF$1012,MATCH(229,'CONTROLES'!$AH$13:$AH$1012,0)))</f>
      </c>
      <c r="G241" s="30">
        <f>IF(229&gt;$E$8,"",IF(INDEX('CONTROLES'!$AG$13:$AG$1012,MATCH(229,'CONTROLES'!$AH$13:$AH$1012,0))=2,"ROJO","ÁMBAR"))</f>
      </c>
    </row>
    <row r="242" ht="22" customHeight="1">
      <c r="B242" s="30">
        <f>IF(230&gt;$E$8,"",INDEX('CONTROLES'!$AB$13:$AB$1012,MATCH(230,'CONTROLES'!$AH$13:$AH$1012,0)))</f>
      </c>
      <c r="C242" s="30">
        <f>IF(230&gt;$E$8,"",INDEX('CONTROLES'!$AC$13:$AC$1012,MATCH(230,'CONTROLES'!$AH$13:$AH$1012,0)))</f>
      </c>
      <c r="D242" s="30">
        <f>IF(230&gt;$E$8,"",INDEX('CONTROLES'!$AD$13:$AD$1012,MATCH(230,'CONTROLES'!$AH$13:$AH$1012,0)))</f>
      </c>
      <c r="E242" s="30">
        <f>IF(230&gt;$E$8,"",INDEX('CONTROLES'!$AE$13:$AE$1012,MATCH(230,'CONTROLES'!$AH$13:$AH$1012,0)))</f>
      </c>
      <c r="F242" s="30">
        <f>IF(230&gt;$E$8,"",INDEX('CONTROLES'!$AF$13:$AF$1012,MATCH(230,'CONTROLES'!$AH$13:$AH$1012,0)))</f>
      </c>
      <c r="G242" s="30">
        <f>IF(230&gt;$E$8,"",IF(INDEX('CONTROLES'!$AG$13:$AG$1012,MATCH(230,'CONTROLES'!$AH$13:$AH$1012,0))=2,"ROJO","ÁMBAR"))</f>
      </c>
    </row>
    <row r="243" ht="22" customHeight="1">
      <c r="B243" s="30">
        <f>IF(231&gt;$E$8,"",INDEX('CONTROLES'!$AB$13:$AB$1012,MATCH(231,'CONTROLES'!$AH$13:$AH$1012,0)))</f>
      </c>
      <c r="C243" s="30">
        <f>IF(231&gt;$E$8,"",INDEX('CONTROLES'!$AC$13:$AC$1012,MATCH(231,'CONTROLES'!$AH$13:$AH$1012,0)))</f>
      </c>
      <c r="D243" s="30">
        <f>IF(231&gt;$E$8,"",INDEX('CONTROLES'!$AD$13:$AD$1012,MATCH(231,'CONTROLES'!$AH$13:$AH$1012,0)))</f>
      </c>
      <c r="E243" s="30">
        <f>IF(231&gt;$E$8,"",INDEX('CONTROLES'!$AE$13:$AE$1012,MATCH(231,'CONTROLES'!$AH$13:$AH$1012,0)))</f>
      </c>
      <c r="F243" s="30">
        <f>IF(231&gt;$E$8,"",INDEX('CONTROLES'!$AF$13:$AF$1012,MATCH(231,'CONTROLES'!$AH$13:$AH$1012,0)))</f>
      </c>
      <c r="G243" s="30">
        <f>IF(231&gt;$E$8,"",IF(INDEX('CONTROLES'!$AG$13:$AG$1012,MATCH(231,'CONTROLES'!$AH$13:$AH$1012,0))=2,"ROJO","ÁMBAR"))</f>
      </c>
    </row>
    <row r="244" ht="22" customHeight="1">
      <c r="B244" s="30">
        <f>IF(232&gt;$E$8,"",INDEX('CONTROLES'!$AB$13:$AB$1012,MATCH(232,'CONTROLES'!$AH$13:$AH$1012,0)))</f>
      </c>
      <c r="C244" s="30">
        <f>IF(232&gt;$E$8,"",INDEX('CONTROLES'!$AC$13:$AC$1012,MATCH(232,'CONTROLES'!$AH$13:$AH$1012,0)))</f>
      </c>
      <c r="D244" s="30">
        <f>IF(232&gt;$E$8,"",INDEX('CONTROLES'!$AD$13:$AD$1012,MATCH(232,'CONTROLES'!$AH$13:$AH$1012,0)))</f>
      </c>
      <c r="E244" s="30">
        <f>IF(232&gt;$E$8,"",INDEX('CONTROLES'!$AE$13:$AE$1012,MATCH(232,'CONTROLES'!$AH$13:$AH$1012,0)))</f>
      </c>
      <c r="F244" s="30">
        <f>IF(232&gt;$E$8,"",INDEX('CONTROLES'!$AF$13:$AF$1012,MATCH(232,'CONTROLES'!$AH$13:$AH$1012,0)))</f>
      </c>
      <c r="G244" s="30">
        <f>IF(232&gt;$E$8,"",IF(INDEX('CONTROLES'!$AG$13:$AG$1012,MATCH(232,'CONTROLES'!$AH$13:$AH$1012,0))=2,"ROJO","ÁMBAR"))</f>
      </c>
    </row>
    <row r="245" ht="22" customHeight="1">
      <c r="B245" s="30">
        <f>IF(233&gt;$E$8,"",INDEX('CONTROLES'!$AB$13:$AB$1012,MATCH(233,'CONTROLES'!$AH$13:$AH$1012,0)))</f>
      </c>
      <c r="C245" s="30">
        <f>IF(233&gt;$E$8,"",INDEX('CONTROLES'!$AC$13:$AC$1012,MATCH(233,'CONTROLES'!$AH$13:$AH$1012,0)))</f>
      </c>
      <c r="D245" s="30">
        <f>IF(233&gt;$E$8,"",INDEX('CONTROLES'!$AD$13:$AD$1012,MATCH(233,'CONTROLES'!$AH$13:$AH$1012,0)))</f>
      </c>
      <c r="E245" s="30">
        <f>IF(233&gt;$E$8,"",INDEX('CONTROLES'!$AE$13:$AE$1012,MATCH(233,'CONTROLES'!$AH$13:$AH$1012,0)))</f>
      </c>
      <c r="F245" s="30">
        <f>IF(233&gt;$E$8,"",INDEX('CONTROLES'!$AF$13:$AF$1012,MATCH(233,'CONTROLES'!$AH$13:$AH$1012,0)))</f>
      </c>
      <c r="G245" s="30">
        <f>IF(233&gt;$E$8,"",IF(INDEX('CONTROLES'!$AG$13:$AG$1012,MATCH(233,'CONTROLES'!$AH$13:$AH$1012,0))=2,"ROJO","ÁMBAR"))</f>
      </c>
    </row>
    <row r="246" ht="22" customHeight="1">
      <c r="B246" s="30">
        <f>IF(234&gt;$E$8,"",INDEX('CONTROLES'!$AB$13:$AB$1012,MATCH(234,'CONTROLES'!$AH$13:$AH$1012,0)))</f>
      </c>
      <c r="C246" s="30">
        <f>IF(234&gt;$E$8,"",INDEX('CONTROLES'!$AC$13:$AC$1012,MATCH(234,'CONTROLES'!$AH$13:$AH$1012,0)))</f>
      </c>
      <c r="D246" s="30">
        <f>IF(234&gt;$E$8,"",INDEX('CONTROLES'!$AD$13:$AD$1012,MATCH(234,'CONTROLES'!$AH$13:$AH$1012,0)))</f>
      </c>
      <c r="E246" s="30">
        <f>IF(234&gt;$E$8,"",INDEX('CONTROLES'!$AE$13:$AE$1012,MATCH(234,'CONTROLES'!$AH$13:$AH$1012,0)))</f>
      </c>
      <c r="F246" s="30">
        <f>IF(234&gt;$E$8,"",INDEX('CONTROLES'!$AF$13:$AF$1012,MATCH(234,'CONTROLES'!$AH$13:$AH$1012,0)))</f>
      </c>
      <c r="G246" s="30">
        <f>IF(234&gt;$E$8,"",IF(INDEX('CONTROLES'!$AG$13:$AG$1012,MATCH(234,'CONTROLES'!$AH$13:$AH$1012,0))=2,"ROJO","ÁMBAR"))</f>
      </c>
    </row>
    <row r="247" ht="22" customHeight="1">
      <c r="B247" s="30">
        <f>IF(235&gt;$E$8,"",INDEX('CONTROLES'!$AB$13:$AB$1012,MATCH(235,'CONTROLES'!$AH$13:$AH$1012,0)))</f>
      </c>
      <c r="C247" s="30">
        <f>IF(235&gt;$E$8,"",INDEX('CONTROLES'!$AC$13:$AC$1012,MATCH(235,'CONTROLES'!$AH$13:$AH$1012,0)))</f>
      </c>
      <c r="D247" s="30">
        <f>IF(235&gt;$E$8,"",INDEX('CONTROLES'!$AD$13:$AD$1012,MATCH(235,'CONTROLES'!$AH$13:$AH$1012,0)))</f>
      </c>
      <c r="E247" s="30">
        <f>IF(235&gt;$E$8,"",INDEX('CONTROLES'!$AE$13:$AE$1012,MATCH(235,'CONTROLES'!$AH$13:$AH$1012,0)))</f>
      </c>
      <c r="F247" s="30">
        <f>IF(235&gt;$E$8,"",INDEX('CONTROLES'!$AF$13:$AF$1012,MATCH(235,'CONTROLES'!$AH$13:$AH$1012,0)))</f>
      </c>
      <c r="G247" s="30">
        <f>IF(235&gt;$E$8,"",IF(INDEX('CONTROLES'!$AG$13:$AG$1012,MATCH(235,'CONTROLES'!$AH$13:$AH$1012,0))=2,"ROJO","ÁMBAR"))</f>
      </c>
    </row>
    <row r="248" ht="22" customHeight="1">
      <c r="B248" s="30">
        <f>IF(236&gt;$E$8,"",INDEX('CONTROLES'!$AB$13:$AB$1012,MATCH(236,'CONTROLES'!$AH$13:$AH$1012,0)))</f>
      </c>
      <c r="C248" s="30">
        <f>IF(236&gt;$E$8,"",INDEX('CONTROLES'!$AC$13:$AC$1012,MATCH(236,'CONTROLES'!$AH$13:$AH$1012,0)))</f>
      </c>
      <c r="D248" s="30">
        <f>IF(236&gt;$E$8,"",INDEX('CONTROLES'!$AD$13:$AD$1012,MATCH(236,'CONTROLES'!$AH$13:$AH$1012,0)))</f>
      </c>
      <c r="E248" s="30">
        <f>IF(236&gt;$E$8,"",INDEX('CONTROLES'!$AE$13:$AE$1012,MATCH(236,'CONTROLES'!$AH$13:$AH$1012,0)))</f>
      </c>
      <c r="F248" s="30">
        <f>IF(236&gt;$E$8,"",INDEX('CONTROLES'!$AF$13:$AF$1012,MATCH(236,'CONTROLES'!$AH$13:$AH$1012,0)))</f>
      </c>
      <c r="G248" s="30">
        <f>IF(236&gt;$E$8,"",IF(INDEX('CONTROLES'!$AG$13:$AG$1012,MATCH(236,'CONTROLES'!$AH$13:$AH$1012,0))=2,"ROJO","ÁMBAR"))</f>
      </c>
    </row>
    <row r="249" ht="22" customHeight="1">
      <c r="B249" s="30">
        <f>IF(237&gt;$E$8,"",INDEX('CONTROLES'!$AB$13:$AB$1012,MATCH(237,'CONTROLES'!$AH$13:$AH$1012,0)))</f>
      </c>
      <c r="C249" s="30">
        <f>IF(237&gt;$E$8,"",INDEX('CONTROLES'!$AC$13:$AC$1012,MATCH(237,'CONTROLES'!$AH$13:$AH$1012,0)))</f>
      </c>
      <c r="D249" s="30">
        <f>IF(237&gt;$E$8,"",INDEX('CONTROLES'!$AD$13:$AD$1012,MATCH(237,'CONTROLES'!$AH$13:$AH$1012,0)))</f>
      </c>
      <c r="E249" s="30">
        <f>IF(237&gt;$E$8,"",INDEX('CONTROLES'!$AE$13:$AE$1012,MATCH(237,'CONTROLES'!$AH$13:$AH$1012,0)))</f>
      </c>
      <c r="F249" s="30">
        <f>IF(237&gt;$E$8,"",INDEX('CONTROLES'!$AF$13:$AF$1012,MATCH(237,'CONTROLES'!$AH$13:$AH$1012,0)))</f>
      </c>
      <c r="G249" s="30">
        <f>IF(237&gt;$E$8,"",IF(INDEX('CONTROLES'!$AG$13:$AG$1012,MATCH(237,'CONTROLES'!$AH$13:$AH$1012,0))=2,"ROJO","ÁMBAR"))</f>
      </c>
    </row>
    <row r="250" ht="22" customHeight="1">
      <c r="B250" s="30">
        <f>IF(238&gt;$E$8,"",INDEX('CONTROLES'!$AB$13:$AB$1012,MATCH(238,'CONTROLES'!$AH$13:$AH$1012,0)))</f>
      </c>
      <c r="C250" s="30">
        <f>IF(238&gt;$E$8,"",INDEX('CONTROLES'!$AC$13:$AC$1012,MATCH(238,'CONTROLES'!$AH$13:$AH$1012,0)))</f>
      </c>
      <c r="D250" s="30">
        <f>IF(238&gt;$E$8,"",INDEX('CONTROLES'!$AD$13:$AD$1012,MATCH(238,'CONTROLES'!$AH$13:$AH$1012,0)))</f>
      </c>
      <c r="E250" s="30">
        <f>IF(238&gt;$E$8,"",INDEX('CONTROLES'!$AE$13:$AE$1012,MATCH(238,'CONTROLES'!$AH$13:$AH$1012,0)))</f>
      </c>
      <c r="F250" s="30">
        <f>IF(238&gt;$E$8,"",INDEX('CONTROLES'!$AF$13:$AF$1012,MATCH(238,'CONTROLES'!$AH$13:$AH$1012,0)))</f>
      </c>
      <c r="G250" s="30">
        <f>IF(238&gt;$E$8,"",IF(INDEX('CONTROLES'!$AG$13:$AG$1012,MATCH(238,'CONTROLES'!$AH$13:$AH$1012,0))=2,"ROJO","ÁMBAR"))</f>
      </c>
    </row>
    <row r="251" ht="22" customHeight="1">
      <c r="B251" s="30">
        <f>IF(239&gt;$E$8,"",INDEX('CONTROLES'!$AB$13:$AB$1012,MATCH(239,'CONTROLES'!$AH$13:$AH$1012,0)))</f>
      </c>
      <c r="C251" s="30">
        <f>IF(239&gt;$E$8,"",INDEX('CONTROLES'!$AC$13:$AC$1012,MATCH(239,'CONTROLES'!$AH$13:$AH$1012,0)))</f>
      </c>
      <c r="D251" s="30">
        <f>IF(239&gt;$E$8,"",INDEX('CONTROLES'!$AD$13:$AD$1012,MATCH(239,'CONTROLES'!$AH$13:$AH$1012,0)))</f>
      </c>
      <c r="E251" s="30">
        <f>IF(239&gt;$E$8,"",INDEX('CONTROLES'!$AE$13:$AE$1012,MATCH(239,'CONTROLES'!$AH$13:$AH$1012,0)))</f>
      </c>
      <c r="F251" s="30">
        <f>IF(239&gt;$E$8,"",INDEX('CONTROLES'!$AF$13:$AF$1012,MATCH(239,'CONTROLES'!$AH$13:$AH$1012,0)))</f>
      </c>
      <c r="G251" s="30">
        <f>IF(239&gt;$E$8,"",IF(INDEX('CONTROLES'!$AG$13:$AG$1012,MATCH(239,'CONTROLES'!$AH$13:$AH$1012,0))=2,"ROJO","ÁMBAR"))</f>
      </c>
    </row>
    <row r="252" ht="22" customHeight="1">
      <c r="B252" s="30">
        <f>IF(240&gt;$E$8,"",INDEX('CONTROLES'!$AB$13:$AB$1012,MATCH(240,'CONTROLES'!$AH$13:$AH$1012,0)))</f>
      </c>
      <c r="C252" s="30">
        <f>IF(240&gt;$E$8,"",INDEX('CONTROLES'!$AC$13:$AC$1012,MATCH(240,'CONTROLES'!$AH$13:$AH$1012,0)))</f>
      </c>
      <c r="D252" s="30">
        <f>IF(240&gt;$E$8,"",INDEX('CONTROLES'!$AD$13:$AD$1012,MATCH(240,'CONTROLES'!$AH$13:$AH$1012,0)))</f>
      </c>
      <c r="E252" s="30">
        <f>IF(240&gt;$E$8,"",INDEX('CONTROLES'!$AE$13:$AE$1012,MATCH(240,'CONTROLES'!$AH$13:$AH$1012,0)))</f>
      </c>
      <c r="F252" s="30">
        <f>IF(240&gt;$E$8,"",INDEX('CONTROLES'!$AF$13:$AF$1012,MATCH(240,'CONTROLES'!$AH$13:$AH$1012,0)))</f>
      </c>
      <c r="G252" s="30">
        <f>IF(240&gt;$E$8,"",IF(INDEX('CONTROLES'!$AG$13:$AG$1012,MATCH(240,'CONTROLES'!$AH$13:$AH$1012,0))=2,"ROJO","ÁMBAR"))</f>
      </c>
    </row>
    <row r="253" ht="22" customHeight="1">
      <c r="B253" s="30">
        <f>IF(241&gt;$E$8,"",INDEX('CONTROLES'!$AB$13:$AB$1012,MATCH(241,'CONTROLES'!$AH$13:$AH$1012,0)))</f>
      </c>
      <c r="C253" s="30">
        <f>IF(241&gt;$E$8,"",INDEX('CONTROLES'!$AC$13:$AC$1012,MATCH(241,'CONTROLES'!$AH$13:$AH$1012,0)))</f>
      </c>
      <c r="D253" s="30">
        <f>IF(241&gt;$E$8,"",INDEX('CONTROLES'!$AD$13:$AD$1012,MATCH(241,'CONTROLES'!$AH$13:$AH$1012,0)))</f>
      </c>
      <c r="E253" s="30">
        <f>IF(241&gt;$E$8,"",INDEX('CONTROLES'!$AE$13:$AE$1012,MATCH(241,'CONTROLES'!$AH$13:$AH$1012,0)))</f>
      </c>
      <c r="F253" s="30">
        <f>IF(241&gt;$E$8,"",INDEX('CONTROLES'!$AF$13:$AF$1012,MATCH(241,'CONTROLES'!$AH$13:$AH$1012,0)))</f>
      </c>
      <c r="G253" s="30">
        <f>IF(241&gt;$E$8,"",IF(INDEX('CONTROLES'!$AG$13:$AG$1012,MATCH(241,'CONTROLES'!$AH$13:$AH$1012,0))=2,"ROJO","ÁMBAR"))</f>
      </c>
    </row>
    <row r="254" ht="22" customHeight="1">
      <c r="B254" s="30">
        <f>IF(242&gt;$E$8,"",INDEX('CONTROLES'!$AB$13:$AB$1012,MATCH(242,'CONTROLES'!$AH$13:$AH$1012,0)))</f>
      </c>
      <c r="C254" s="30">
        <f>IF(242&gt;$E$8,"",INDEX('CONTROLES'!$AC$13:$AC$1012,MATCH(242,'CONTROLES'!$AH$13:$AH$1012,0)))</f>
      </c>
      <c r="D254" s="30">
        <f>IF(242&gt;$E$8,"",INDEX('CONTROLES'!$AD$13:$AD$1012,MATCH(242,'CONTROLES'!$AH$13:$AH$1012,0)))</f>
      </c>
      <c r="E254" s="30">
        <f>IF(242&gt;$E$8,"",INDEX('CONTROLES'!$AE$13:$AE$1012,MATCH(242,'CONTROLES'!$AH$13:$AH$1012,0)))</f>
      </c>
      <c r="F254" s="30">
        <f>IF(242&gt;$E$8,"",INDEX('CONTROLES'!$AF$13:$AF$1012,MATCH(242,'CONTROLES'!$AH$13:$AH$1012,0)))</f>
      </c>
      <c r="G254" s="30">
        <f>IF(242&gt;$E$8,"",IF(INDEX('CONTROLES'!$AG$13:$AG$1012,MATCH(242,'CONTROLES'!$AH$13:$AH$1012,0))=2,"ROJO","ÁMBAR"))</f>
      </c>
    </row>
    <row r="255" ht="22" customHeight="1">
      <c r="B255" s="30">
        <f>IF(243&gt;$E$8,"",INDEX('CONTROLES'!$AB$13:$AB$1012,MATCH(243,'CONTROLES'!$AH$13:$AH$1012,0)))</f>
      </c>
      <c r="C255" s="30">
        <f>IF(243&gt;$E$8,"",INDEX('CONTROLES'!$AC$13:$AC$1012,MATCH(243,'CONTROLES'!$AH$13:$AH$1012,0)))</f>
      </c>
      <c r="D255" s="30">
        <f>IF(243&gt;$E$8,"",INDEX('CONTROLES'!$AD$13:$AD$1012,MATCH(243,'CONTROLES'!$AH$13:$AH$1012,0)))</f>
      </c>
      <c r="E255" s="30">
        <f>IF(243&gt;$E$8,"",INDEX('CONTROLES'!$AE$13:$AE$1012,MATCH(243,'CONTROLES'!$AH$13:$AH$1012,0)))</f>
      </c>
      <c r="F255" s="30">
        <f>IF(243&gt;$E$8,"",INDEX('CONTROLES'!$AF$13:$AF$1012,MATCH(243,'CONTROLES'!$AH$13:$AH$1012,0)))</f>
      </c>
      <c r="G255" s="30">
        <f>IF(243&gt;$E$8,"",IF(INDEX('CONTROLES'!$AG$13:$AG$1012,MATCH(243,'CONTROLES'!$AH$13:$AH$1012,0))=2,"ROJO","ÁMBAR"))</f>
      </c>
    </row>
    <row r="256" ht="22" customHeight="1">
      <c r="B256" s="30">
        <f>IF(244&gt;$E$8,"",INDEX('CONTROLES'!$AB$13:$AB$1012,MATCH(244,'CONTROLES'!$AH$13:$AH$1012,0)))</f>
      </c>
      <c r="C256" s="30">
        <f>IF(244&gt;$E$8,"",INDEX('CONTROLES'!$AC$13:$AC$1012,MATCH(244,'CONTROLES'!$AH$13:$AH$1012,0)))</f>
      </c>
      <c r="D256" s="30">
        <f>IF(244&gt;$E$8,"",INDEX('CONTROLES'!$AD$13:$AD$1012,MATCH(244,'CONTROLES'!$AH$13:$AH$1012,0)))</f>
      </c>
      <c r="E256" s="30">
        <f>IF(244&gt;$E$8,"",INDEX('CONTROLES'!$AE$13:$AE$1012,MATCH(244,'CONTROLES'!$AH$13:$AH$1012,0)))</f>
      </c>
      <c r="F256" s="30">
        <f>IF(244&gt;$E$8,"",INDEX('CONTROLES'!$AF$13:$AF$1012,MATCH(244,'CONTROLES'!$AH$13:$AH$1012,0)))</f>
      </c>
      <c r="G256" s="30">
        <f>IF(244&gt;$E$8,"",IF(INDEX('CONTROLES'!$AG$13:$AG$1012,MATCH(244,'CONTROLES'!$AH$13:$AH$1012,0))=2,"ROJO","ÁMBAR"))</f>
      </c>
    </row>
    <row r="257" ht="22" customHeight="1">
      <c r="B257" s="30">
        <f>IF(245&gt;$E$8,"",INDEX('CONTROLES'!$AB$13:$AB$1012,MATCH(245,'CONTROLES'!$AH$13:$AH$1012,0)))</f>
      </c>
      <c r="C257" s="30">
        <f>IF(245&gt;$E$8,"",INDEX('CONTROLES'!$AC$13:$AC$1012,MATCH(245,'CONTROLES'!$AH$13:$AH$1012,0)))</f>
      </c>
      <c r="D257" s="30">
        <f>IF(245&gt;$E$8,"",INDEX('CONTROLES'!$AD$13:$AD$1012,MATCH(245,'CONTROLES'!$AH$13:$AH$1012,0)))</f>
      </c>
      <c r="E257" s="30">
        <f>IF(245&gt;$E$8,"",INDEX('CONTROLES'!$AE$13:$AE$1012,MATCH(245,'CONTROLES'!$AH$13:$AH$1012,0)))</f>
      </c>
      <c r="F257" s="30">
        <f>IF(245&gt;$E$8,"",INDEX('CONTROLES'!$AF$13:$AF$1012,MATCH(245,'CONTROLES'!$AH$13:$AH$1012,0)))</f>
      </c>
      <c r="G257" s="30">
        <f>IF(245&gt;$E$8,"",IF(INDEX('CONTROLES'!$AG$13:$AG$1012,MATCH(245,'CONTROLES'!$AH$13:$AH$1012,0))=2,"ROJO","ÁMBAR"))</f>
      </c>
    </row>
    <row r="258" ht="22" customHeight="1">
      <c r="B258" s="30">
        <f>IF(246&gt;$E$8,"",INDEX('CONTROLES'!$AB$13:$AB$1012,MATCH(246,'CONTROLES'!$AH$13:$AH$1012,0)))</f>
      </c>
      <c r="C258" s="30">
        <f>IF(246&gt;$E$8,"",INDEX('CONTROLES'!$AC$13:$AC$1012,MATCH(246,'CONTROLES'!$AH$13:$AH$1012,0)))</f>
      </c>
      <c r="D258" s="30">
        <f>IF(246&gt;$E$8,"",INDEX('CONTROLES'!$AD$13:$AD$1012,MATCH(246,'CONTROLES'!$AH$13:$AH$1012,0)))</f>
      </c>
      <c r="E258" s="30">
        <f>IF(246&gt;$E$8,"",INDEX('CONTROLES'!$AE$13:$AE$1012,MATCH(246,'CONTROLES'!$AH$13:$AH$1012,0)))</f>
      </c>
      <c r="F258" s="30">
        <f>IF(246&gt;$E$8,"",INDEX('CONTROLES'!$AF$13:$AF$1012,MATCH(246,'CONTROLES'!$AH$13:$AH$1012,0)))</f>
      </c>
      <c r="G258" s="30">
        <f>IF(246&gt;$E$8,"",IF(INDEX('CONTROLES'!$AG$13:$AG$1012,MATCH(246,'CONTROLES'!$AH$13:$AH$1012,0))=2,"ROJO","ÁMBAR"))</f>
      </c>
    </row>
    <row r="259" ht="22" customHeight="1">
      <c r="B259" s="30">
        <f>IF(247&gt;$E$8,"",INDEX('CONTROLES'!$AB$13:$AB$1012,MATCH(247,'CONTROLES'!$AH$13:$AH$1012,0)))</f>
      </c>
      <c r="C259" s="30">
        <f>IF(247&gt;$E$8,"",INDEX('CONTROLES'!$AC$13:$AC$1012,MATCH(247,'CONTROLES'!$AH$13:$AH$1012,0)))</f>
      </c>
      <c r="D259" s="30">
        <f>IF(247&gt;$E$8,"",INDEX('CONTROLES'!$AD$13:$AD$1012,MATCH(247,'CONTROLES'!$AH$13:$AH$1012,0)))</f>
      </c>
      <c r="E259" s="30">
        <f>IF(247&gt;$E$8,"",INDEX('CONTROLES'!$AE$13:$AE$1012,MATCH(247,'CONTROLES'!$AH$13:$AH$1012,0)))</f>
      </c>
      <c r="F259" s="30">
        <f>IF(247&gt;$E$8,"",INDEX('CONTROLES'!$AF$13:$AF$1012,MATCH(247,'CONTROLES'!$AH$13:$AH$1012,0)))</f>
      </c>
      <c r="G259" s="30">
        <f>IF(247&gt;$E$8,"",IF(INDEX('CONTROLES'!$AG$13:$AG$1012,MATCH(247,'CONTROLES'!$AH$13:$AH$1012,0))=2,"ROJO","ÁMBAR"))</f>
      </c>
    </row>
    <row r="260" ht="22" customHeight="1">
      <c r="B260" s="30">
        <f>IF(248&gt;$E$8,"",INDEX('CONTROLES'!$AB$13:$AB$1012,MATCH(248,'CONTROLES'!$AH$13:$AH$1012,0)))</f>
      </c>
      <c r="C260" s="30">
        <f>IF(248&gt;$E$8,"",INDEX('CONTROLES'!$AC$13:$AC$1012,MATCH(248,'CONTROLES'!$AH$13:$AH$1012,0)))</f>
      </c>
      <c r="D260" s="30">
        <f>IF(248&gt;$E$8,"",INDEX('CONTROLES'!$AD$13:$AD$1012,MATCH(248,'CONTROLES'!$AH$13:$AH$1012,0)))</f>
      </c>
      <c r="E260" s="30">
        <f>IF(248&gt;$E$8,"",INDEX('CONTROLES'!$AE$13:$AE$1012,MATCH(248,'CONTROLES'!$AH$13:$AH$1012,0)))</f>
      </c>
      <c r="F260" s="30">
        <f>IF(248&gt;$E$8,"",INDEX('CONTROLES'!$AF$13:$AF$1012,MATCH(248,'CONTROLES'!$AH$13:$AH$1012,0)))</f>
      </c>
      <c r="G260" s="30">
        <f>IF(248&gt;$E$8,"",IF(INDEX('CONTROLES'!$AG$13:$AG$1012,MATCH(248,'CONTROLES'!$AH$13:$AH$1012,0))=2,"ROJO","ÁMBAR"))</f>
      </c>
    </row>
    <row r="261" ht="22" customHeight="1">
      <c r="B261" s="30">
        <f>IF(249&gt;$E$8,"",INDEX('CONTROLES'!$AB$13:$AB$1012,MATCH(249,'CONTROLES'!$AH$13:$AH$1012,0)))</f>
      </c>
      <c r="C261" s="30">
        <f>IF(249&gt;$E$8,"",INDEX('CONTROLES'!$AC$13:$AC$1012,MATCH(249,'CONTROLES'!$AH$13:$AH$1012,0)))</f>
      </c>
      <c r="D261" s="30">
        <f>IF(249&gt;$E$8,"",INDEX('CONTROLES'!$AD$13:$AD$1012,MATCH(249,'CONTROLES'!$AH$13:$AH$1012,0)))</f>
      </c>
      <c r="E261" s="30">
        <f>IF(249&gt;$E$8,"",INDEX('CONTROLES'!$AE$13:$AE$1012,MATCH(249,'CONTROLES'!$AH$13:$AH$1012,0)))</f>
      </c>
      <c r="F261" s="30">
        <f>IF(249&gt;$E$8,"",INDEX('CONTROLES'!$AF$13:$AF$1012,MATCH(249,'CONTROLES'!$AH$13:$AH$1012,0)))</f>
      </c>
      <c r="G261" s="30">
        <f>IF(249&gt;$E$8,"",IF(INDEX('CONTROLES'!$AG$13:$AG$1012,MATCH(249,'CONTROLES'!$AH$13:$AH$1012,0))=2,"ROJO","ÁMBAR"))</f>
      </c>
    </row>
    <row r="262" ht="22" customHeight="1">
      <c r="B262" s="30">
        <f>IF(250&gt;$E$8,"",INDEX('CONTROLES'!$AB$13:$AB$1012,MATCH(250,'CONTROLES'!$AH$13:$AH$1012,0)))</f>
      </c>
      <c r="C262" s="30">
        <f>IF(250&gt;$E$8,"",INDEX('CONTROLES'!$AC$13:$AC$1012,MATCH(250,'CONTROLES'!$AH$13:$AH$1012,0)))</f>
      </c>
      <c r="D262" s="30">
        <f>IF(250&gt;$E$8,"",INDEX('CONTROLES'!$AD$13:$AD$1012,MATCH(250,'CONTROLES'!$AH$13:$AH$1012,0)))</f>
      </c>
      <c r="E262" s="30">
        <f>IF(250&gt;$E$8,"",INDEX('CONTROLES'!$AE$13:$AE$1012,MATCH(250,'CONTROLES'!$AH$13:$AH$1012,0)))</f>
      </c>
      <c r="F262" s="30">
        <f>IF(250&gt;$E$8,"",INDEX('CONTROLES'!$AF$13:$AF$1012,MATCH(250,'CONTROLES'!$AH$13:$AH$1012,0)))</f>
      </c>
      <c r="G262" s="30">
        <f>IF(250&gt;$E$8,"",IF(INDEX('CONTROLES'!$AG$13:$AG$1012,MATCH(250,'CONTROLES'!$AH$13:$AH$1012,0))=2,"ROJO","ÁMBAR"))</f>
      </c>
    </row>
    <row r="263" ht="22" customHeight="1">
      <c r="B263" s="30">
        <f>IF(251&gt;$E$8,"",INDEX('CONTROLES'!$AB$13:$AB$1012,MATCH(251,'CONTROLES'!$AH$13:$AH$1012,0)))</f>
      </c>
      <c r="C263" s="30">
        <f>IF(251&gt;$E$8,"",INDEX('CONTROLES'!$AC$13:$AC$1012,MATCH(251,'CONTROLES'!$AH$13:$AH$1012,0)))</f>
      </c>
      <c r="D263" s="30">
        <f>IF(251&gt;$E$8,"",INDEX('CONTROLES'!$AD$13:$AD$1012,MATCH(251,'CONTROLES'!$AH$13:$AH$1012,0)))</f>
      </c>
      <c r="E263" s="30">
        <f>IF(251&gt;$E$8,"",INDEX('CONTROLES'!$AE$13:$AE$1012,MATCH(251,'CONTROLES'!$AH$13:$AH$1012,0)))</f>
      </c>
      <c r="F263" s="30">
        <f>IF(251&gt;$E$8,"",INDEX('CONTROLES'!$AF$13:$AF$1012,MATCH(251,'CONTROLES'!$AH$13:$AH$1012,0)))</f>
      </c>
      <c r="G263" s="30">
        <f>IF(251&gt;$E$8,"",IF(INDEX('CONTROLES'!$AG$13:$AG$1012,MATCH(251,'CONTROLES'!$AH$13:$AH$1012,0))=2,"ROJO","ÁMBAR"))</f>
      </c>
    </row>
    <row r="264" ht="22" customHeight="1">
      <c r="B264" s="30">
        <f>IF(252&gt;$E$8,"",INDEX('CONTROLES'!$AB$13:$AB$1012,MATCH(252,'CONTROLES'!$AH$13:$AH$1012,0)))</f>
      </c>
      <c r="C264" s="30">
        <f>IF(252&gt;$E$8,"",INDEX('CONTROLES'!$AC$13:$AC$1012,MATCH(252,'CONTROLES'!$AH$13:$AH$1012,0)))</f>
      </c>
      <c r="D264" s="30">
        <f>IF(252&gt;$E$8,"",INDEX('CONTROLES'!$AD$13:$AD$1012,MATCH(252,'CONTROLES'!$AH$13:$AH$1012,0)))</f>
      </c>
      <c r="E264" s="30">
        <f>IF(252&gt;$E$8,"",INDEX('CONTROLES'!$AE$13:$AE$1012,MATCH(252,'CONTROLES'!$AH$13:$AH$1012,0)))</f>
      </c>
      <c r="F264" s="30">
        <f>IF(252&gt;$E$8,"",INDEX('CONTROLES'!$AF$13:$AF$1012,MATCH(252,'CONTROLES'!$AH$13:$AH$1012,0)))</f>
      </c>
      <c r="G264" s="30">
        <f>IF(252&gt;$E$8,"",IF(INDEX('CONTROLES'!$AG$13:$AG$1012,MATCH(252,'CONTROLES'!$AH$13:$AH$1012,0))=2,"ROJO","ÁMBAR"))</f>
      </c>
    </row>
    <row r="265" ht="22" customHeight="1">
      <c r="B265" s="30">
        <f>IF(253&gt;$E$8,"",INDEX('CONTROLES'!$AB$13:$AB$1012,MATCH(253,'CONTROLES'!$AH$13:$AH$1012,0)))</f>
      </c>
      <c r="C265" s="30">
        <f>IF(253&gt;$E$8,"",INDEX('CONTROLES'!$AC$13:$AC$1012,MATCH(253,'CONTROLES'!$AH$13:$AH$1012,0)))</f>
      </c>
      <c r="D265" s="30">
        <f>IF(253&gt;$E$8,"",INDEX('CONTROLES'!$AD$13:$AD$1012,MATCH(253,'CONTROLES'!$AH$13:$AH$1012,0)))</f>
      </c>
      <c r="E265" s="30">
        <f>IF(253&gt;$E$8,"",INDEX('CONTROLES'!$AE$13:$AE$1012,MATCH(253,'CONTROLES'!$AH$13:$AH$1012,0)))</f>
      </c>
      <c r="F265" s="30">
        <f>IF(253&gt;$E$8,"",INDEX('CONTROLES'!$AF$13:$AF$1012,MATCH(253,'CONTROLES'!$AH$13:$AH$1012,0)))</f>
      </c>
      <c r="G265" s="30">
        <f>IF(253&gt;$E$8,"",IF(INDEX('CONTROLES'!$AG$13:$AG$1012,MATCH(253,'CONTROLES'!$AH$13:$AH$1012,0))=2,"ROJO","ÁMBAR"))</f>
      </c>
    </row>
    <row r="266" ht="22" customHeight="1">
      <c r="B266" s="30">
        <f>IF(254&gt;$E$8,"",INDEX('CONTROLES'!$AB$13:$AB$1012,MATCH(254,'CONTROLES'!$AH$13:$AH$1012,0)))</f>
      </c>
      <c r="C266" s="30">
        <f>IF(254&gt;$E$8,"",INDEX('CONTROLES'!$AC$13:$AC$1012,MATCH(254,'CONTROLES'!$AH$13:$AH$1012,0)))</f>
      </c>
      <c r="D266" s="30">
        <f>IF(254&gt;$E$8,"",INDEX('CONTROLES'!$AD$13:$AD$1012,MATCH(254,'CONTROLES'!$AH$13:$AH$1012,0)))</f>
      </c>
      <c r="E266" s="30">
        <f>IF(254&gt;$E$8,"",INDEX('CONTROLES'!$AE$13:$AE$1012,MATCH(254,'CONTROLES'!$AH$13:$AH$1012,0)))</f>
      </c>
      <c r="F266" s="30">
        <f>IF(254&gt;$E$8,"",INDEX('CONTROLES'!$AF$13:$AF$1012,MATCH(254,'CONTROLES'!$AH$13:$AH$1012,0)))</f>
      </c>
      <c r="G266" s="30">
        <f>IF(254&gt;$E$8,"",IF(INDEX('CONTROLES'!$AG$13:$AG$1012,MATCH(254,'CONTROLES'!$AH$13:$AH$1012,0))=2,"ROJO","ÁMBAR"))</f>
      </c>
    </row>
    <row r="267" ht="22" customHeight="1">
      <c r="B267" s="30">
        <f>IF(255&gt;$E$8,"",INDEX('CONTROLES'!$AB$13:$AB$1012,MATCH(255,'CONTROLES'!$AH$13:$AH$1012,0)))</f>
      </c>
      <c r="C267" s="30">
        <f>IF(255&gt;$E$8,"",INDEX('CONTROLES'!$AC$13:$AC$1012,MATCH(255,'CONTROLES'!$AH$13:$AH$1012,0)))</f>
      </c>
      <c r="D267" s="30">
        <f>IF(255&gt;$E$8,"",INDEX('CONTROLES'!$AD$13:$AD$1012,MATCH(255,'CONTROLES'!$AH$13:$AH$1012,0)))</f>
      </c>
      <c r="E267" s="30">
        <f>IF(255&gt;$E$8,"",INDEX('CONTROLES'!$AE$13:$AE$1012,MATCH(255,'CONTROLES'!$AH$13:$AH$1012,0)))</f>
      </c>
      <c r="F267" s="30">
        <f>IF(255&gt;$E$8,"",INDEX('CONTROLES'!$AF$13:$AF$1012,MATCH(255,'CONTROLES'!$AH$13:$AH$1012,0)))</f>
      </c>
      <c r="G267" s="30">
        <f>IF(255&gt;$E$8,"",IF(INDEX('CONTROLES'!$AG$13:$AG$1012,MATCH(255,'CONTROLES'!$AH$13:$AH$1012,0))=2,"ROJO","ÁMBAR"))</f>
      </c>
    </row>
    <row r="268" ht="22" customHeight="1">
      <c r="B268" s="30">
        <f>IF(256&gt;$E$8,"",INDEX('CONTROLES'!$AB$13:$AB$1012,MATCH(256,'CONTROLES'!$AH$13:$AH$1012,0)))</f>
      </c>
      <c r="C268" s="30">
        <f>IF(256&gt;$E$8,"",INDEX('CONTROLES'!$AC$13:$AC$1012,MATCH(256,'CONTROLES'!$AH$13:$AH$1012,0)))</f>
      </c>
      <c r="D268" s="30">
        <f>IF(256&gt;$E$8,"",INDEX('CONTROLES'!$AD$13:$AD$1012,MATCH(256,'CONTROLES'!$AH$13:$AH$1012,0)))</f>
      </c>
      <c r="E268" s="30">
        <f>IF(256&gt;$E$8,"",INDEX('CONTROLES'!$AE$13:$AE$1012,MATCH(256,'CONTROLES'!$AH$13:$AH$1012,0)))</f>
      </c>
      <c r="F268" s="30">
        <f>IF(256&gt;$E$8,"",INDEX('CONTROLES'!$AF$13:$AF$1012,MATCH(256,'CONTROLES'!$AH$13:$AH$1012,0)))</f>
      </c>
      <c r="G268" s="30">
        <f>IF(256&gt;$E$8,"",IF(INDEX('CONTROLES'!$AG$13:$AG$1012,MATCH(256,'CONTROLES'!$AH$13:$AH$1012,0))=2,"ROJO","ÁMBAR"))</f>
      </c>
    </row>
    <row r="269" ht="22" customHeight="1">
      <c r="B269" s="30">
        <f>IF(257&gt;$E$8,"",INDEX('CONTROLES'!$AB$13:$AB$1012,MATCH(257,'CONTROLES'!$AH$13:$AH$1012,0)))</f>
      </c>
      <c r="C269" s="30">
        <f>IF(257&gt;$E$8,"",INDEX('CONTROLES'!$AC$13:$AC$1012,MATCH(257,'CONTROLES'!$AH$13:$AH$1012,0)))</f>
      </c>
      <c r="D269" s="30">
        <f>IF(257&gt;$E$8,"",INDEX('CONTROLES'!$AD$13:$AD$1012,MATCH(257,'CONTROLES'!$AH$13:$AH$1012,0)))</f>
      </c>
      <c r="E269" s="30">
        <f>IF(257&gt;$E$8,"",INDEX('CONTROLES'!$AE$13:$AE$1012,MATCH(257,'CONTROLES'!$AH$13:$AH$1012,0)))</f>
      </c>
      <c r="F269" s="30">
        <f>IF(257&gt;$E$8,"",INDEX('CONTROLES'!$AF$13:$AF$1012,MATCH(257,'CONTROLES'!$AH$13:$AH$1012,0)))</f>
      </c>
      <c r="G269" s="30">
        <f>IF(257&gt;$E$8,"",IF(INDEX('CONTROLES'!$AG$13:$AG$1012,MATCH(257,'CONTROLES'!$AH$13:$AH$1012,0))=2,"ROJO","ÁMBAR"))</f>
      </c>
    </row>
    <row r="270" ht="22" customHeight="1">
      <c r="B270" s="30">
        <f>IF(258&gt;$E$8,"",INDEX('CONTROLES'!$AB$13:$AB$1012,MATCH(258,'CONTROLES'!$AH$13:$AH$1012,0)))</f>
      </c>
      <c r="C270" s="30">
        <f>IF(258&gt;$E$8,"",INDEX('CONTROLES'!$AC$13:$AC$1012,MATCH(258,'CONTROLES'!$AH$13:$AH$1012,0)))</f>
      </c>
      <c r="D270" s="30">
        <f>IF(258&gt;$E$8,"",INDEX('CONTROLES'!$AD$13:$AD$1012,MATCH(258,'CONTROLES'!$AH$13:$AH$1012,0)))</f>
      </c>
      <c r="E270" s="30">
        <f>IF(258&gt;$E$8,"",INDEX('CONTROLES'!$AE$13:$AE$1012,MATCH(258,'CONTROLES'!$AH$13:$AH$1012,0)))</f>
      </c>
      <c r="F270" s="30">
        <f>IF(258&gt;$E$8,"",INDEX('CONTROLES'!$AF$13:$AF$1012,MATCH(258,'CONTROLES'!$AH$13:$AH$1012,0)))</f>
      </c>
      <c r="G270" s="30">
        <f>IF(258&gt;$E$8,"",IF(INDEX('CONTROLES'!$AG$13:$AG$1012,MATCH(258,'CONTROLES'!$AH$13:$AH$1012,0))=2,"ROJO","ÁMBAR"))</f>
      </c>
    </row>
    <row r="271" ht="22" customHeight="1">
      <c r="B271" s="30">
        <f>IF(259&gt;$E$8,"",INDEX('CONTROLES'!$AB$13:$AB$1012,MATCH(259,'CONTROLES'!$AH$13:$AH$1012,0)))</f>
      </c>
      <c r="C271" s="30">
        <f>IF(259&gt;$E$8,"",INDEX('CONTROLES'!$AC$13:$AC$1012,MATCH(259,'CONTROLES'!$AH$13:$AH$1012,0)))</f>
      </c>
      <c r="D271" s="30">
        <f>IF(259&gt;$E$8,"",INDEX('CONTROLES'!$AD$13:$AD$1012,MATCH(259,'CONTROLES'!$AH$13:$AH$1012,0)))</f>
      </c>
      <c r="E271" s="30">
        <f>IF(259&gt;$E$8,"",INDEX('CONTROLES'!$AE$13:$AE$1012,MATCH(259,'CONTROLES'!$AH$13:$AH$1012,0)))</f>
      </c>
      <c r="F271" s="30">
        <f>IF(259&gt;$E$8,"",INDEX('CONTROLES'!$AF$13:$AF$1012,MATCH(259,'CONTROLES'!$AH$13:$AH$1012,0)))</f>
      </c>
      <c r="G271" s="30">
        <f>IF(259&gt;$E$8,"",IF(INDEX('CONTROLES'!$AG$13:$AG$1012,MATCH(259,'CONTROLES'!$AH$13:$AH$1012,0))=2,"ROJO","ÁMBAR"))</f>
      </c>
    </row>
    <row r="272" ht="22" customHeight="1">
      <c r="B272" s="30">
        <f>IF(260&gt;$E$8,"",INDEX('CONTROLES'!$AB$13:$AB$1012,MATCH(260,'CONTROLES'!$AH$13:$AH$1012,0)))</f>
      </c>
      <c r="C272" s="30">
        <f>IF(260&gt;$E$8,"",INDEX('CONTROLES'!$AC$13:$AC$1012,MATCH(260,'CONTROLES'!$AH$13:$AH$1012,0)))</f>
      </c>
      <c r="D272" s="30">
        <f>IF(260&gt;$E$8,"",INDEX('CONTROLES'!$AD$13:$AD$1012,MATCH(260,'CONTROLES'!$AH$13:$AH$1012,0)))</f>
      </c>
      <c r="E272" s="30">
        <f>IF(260&gt;$E$8,"",INDEX('CONTROLES'!$AE$13:$AE$1012,MATCH(260,'CONTROLES'!$AH$13:$AH$1012,0)))</f>
      </c>
      <c r="F272" s="30">
        <f>IF(260&gt;$E$8,"",INDEX('CONTROLES'!$AF$13:$AF$1012,MATCH(260,'CONTROLES'!$AH$13:$AH$1012,0)))</f>
      </c>
      <c r="G272" s="30">
        <f>IF(260&gt;$E$8,"",IF(INDEX('CONTROLES'!$AG$13:$AG$1012,MATCH(260,'CONTROLES'!$AH$13:$AH$1012,0))=2,"ROJO","ÁMBAR"))</f>
      </c>
    </row>
    <row r="273" ht="22" customHeight="1">
      <c r="B273" s="30">
        <f>IF(261&gt;$E$8,"",INDEX('CONTROLES'!$AB$13:$AB$1012,MATCH(261,'CONTROLES'!$AH$13:$AH$1012,0)))</f>
      </c>
      <c r="C273" s="30">
        <f>IF(261&gt;$E$8,"",INDEX('CONTROLES'!$AC$13:$AC$1012,MATCH(261,'CONTROLES'!$AH$13:$AH$1012,0)))</f>
      </c>
      <c r="D273" s="30">
        <f>IF(261&gt;$E$8,"",INDEX('CONTROLES'!$AD$13:$AD$1012,MATCH(261,'CONTROLES'!$AH$13:$AH$1012,0)))</f>
      </c>
      <c r="E273" s="30">
        <f>IF(261&gt;$E$8,"",INDEX('CONTROLES'!$AE$13:$AE$1012,MATCH(261,'CONTROLES'!$AH$13:$AH$1012,0)))</f>
      </c>
      <c r="F273" s="30">
        <f>IF(261&gt;$E$8,"",INDEX('CONTROLES'!$AF$13:$AF$1012,MATCH(261,'CONTROLES'!$AH$13:$AH$1012,0)))</f>
      </c>
      <c r="G273" s="30">
        <f>IF(261&gt;$E$8,"",IF(INDEX('CONTROLES'!$AG$13:$AG$1012,MATCH(261,'CONTROLES'!$AH$13:$AH$1012,0))=2,"ROJO","ÁMBAR"))</f>
      </c>
    </row>
    <row r="274" ht="22" customHeight="1">
      <c r="B274" s="30">
        <f>IF(262&gt;$E$8,"",INDEX('CONTROLES'!$AB$13:$AB$1012,MATCH(262,'CONTROLES'!$AH$13:$AH$1012,0)))</f>
      </c>
      <c r="C274" s="30">
        <f>IF(262&gt;$E$8,"",INDEX('CONTROLES'!$AC$13:$AC$1012,MATCH(262,'CONTROLES'!$AH$13:$AH$1012,0)))</f>
      </c>
      <c r="D274" s="30">
        <f>IF(262&gt;$E$8,"",INDEX('CONTROLES'!$AD$13:$AD$1012,MATCH(262,'CONTROLES'!$AH$13:$AH$1012,0)))</f>
      </c>
      <c r="E274" s="30">
        <f>IF(262&gt;$E$8,"",INDEX('CONTROLES'!$AE$13:$AE$1012,MATCH(262,'CONTROLES'!$AH$13:$AH$1012,0)))</f>
      </c>
      <c r="F274" s="30">
        <f>IF(262&gt;$E$8,"",INDEX('CONTROLES'!$AF$13:$AF$1012,MATCH(262,'CONTROLES'!$AH$13:$AH$1012,0)))</f>
      </c>
      <c r="G274" s="30">
        <f>IF(262&gt;$E$8,"",IF(INDEX('CONTROLES'!$AG$13:$AG$1012,MATCH(262,'CONTROLES'!$AH$13:$AH$1012,0))=2,"ROJO","ÁMBAR"))</f>
      </c>
    </row>
    <row r="275" ht="22" customHeight="1">
      <c r="B275" s="30">
        <f>IF(263&gt;$E$8,"",INDEX('CONTROLES'!$AB$13:$AB$1012,MATCH(263,'CONTROLES'!$AH$13:$AH$1012,0)))</f>
      </c>
      <c r="C275" s="30">
        <f>IF(263&gt;$E$8,"",INDEX('CONTROLES'!$AC$13:$AC$1012,MATCH(263,'CONTROLES'!$AH$13:$AH$1012,0)))</f>
      </c>
      <c r="D275" s="30">
        <f>IF(263&gt;$E$8,"",INDEX('CONTROLES'!$AD$13:$AD$1012,MATCH(263,'CONTROLES'!$AH$13:$AH$1012,0)))</f>
      </c>
      <c r="E275" s="30">
        <f>IF(263&gt;$E$8,"",INDEX('CONTROLES'!$AE$13:$AE$1012,MATCH(263,'CONTROLES'!$AH$13:$AH$1012,0)))</f>
      </c>
      <c r="F275" s="30">
        <f>IF(263&gt;$E$8,"",INDEX('CONTROLES'!$AF$13:$AF$1012,MATCH(263,'CONTROLES'!$AH$13:$AH$1012,0)))</f>
      </c>
      <c r="G275" s="30">
        <f>IF(263&gt;$E$8,"",IF(INDEX('CONTROLES'!$AG$13:$AG$1012,MATCH(263,'CONTROLES'!$AH$13:$AH$1012,0))=2,"ROJO","ÁMBAR"))</f>
      </c>
    </row>
    <row r="276" ht="22" customHeight="1">
      <c r="B276" s="30">
        <f>IF(264&gt;$E$8,"",INDEX('CONTROLES'!$AB$13:$AB$1012,MATCH(264,'CONTROLES'!$AH$13:$AH$1012,0)))</f>
      </c>
      <c r="C276" s="30">
        <f>IF(264&gt;$E$8,"",INDEX('CONTROLES'!$AC$13:$AC$1012,MATCH(264,'CONTROLES'!$AH$13:$AH$1012,0)))</f>
      </c>
      <c r="D276" s="30">
        <f>IF(264&gt;$E$8,"",INDEX('CONTROLES'!$AD$13:$AD$1012,MATCH(264,'CONTROLES'!$AH$13:$AH$1012,0)))</f>
      </c>
      <c r="E276" s="30">
        <f>IF(264&gt;$E$8,"",INDEX('CONTROLES'!$AE$13:$AE$1012,MATCH(264,'CONTROLES'!$AH$13:$AH$1012,0)))</f>
      </c>
      <c r="F276" s="30">
        <f>IF(264&gt;$E$8,"",INDEX('CONTROLES'!$AF$13:$AF$1012,MATCH(264,'CONTROLES'!$AH$13:$AH$1012,0)))</f>
      </c>
      <c r="G276" s="30">
        <f>IF(264&gt;$E$8,"",IF(INDEX('CONTROLES'!$AG$13:$AG$1012,MATCH(264,'CONTROLES'!$AH$13:$AH$1012,0))=2,"ROJO","ÁMBAR"))</f>
      </c>
    </row>
    <row r="277" ht="22" customHeight="1">
      <c r="B277" s="30">
        <f>IF(265&gt;$E$8,"",INDEX('CONTROLES'!$AB$13:$AB$1012,MATCH(265,'CONTROLES'!$AH$13:$AH$1012,0)))</f>
      </c>
      <c r="C277" s="30">
        <f>IF(265&gt;$E$8,"",INDEX('CONTROLES'!$AC$13:$AC$1012,MATCH(265,'CONTROLES'!$AH$13:$AH$1012,0)))</f>
      </c>
      <c r="D277" s="30">
        <f>IF(265&gt;$E$8,"",INDEX('CONTROLES'!$AD$13:$AD$1012,MATCH(265,'CONTROLES'!$AH$13:$AH$1012,0)))</f>
      </c>
      <c r="E277" s="30">
        <f>IF(265&gt;$E$8,"",INDEX('CONTROLES'!$AE$13:$AE$1012,MATCH(265,'CONTROLES'!$AH$13:$AH$1012,0)))</f>
      </c>
      <c r="F277" s="30">
        <f>IF(265&gt;$E$8,"",INDEX('CONTROLES'!$AF$13:$AF$1012,MATCH(265,'CONTROLES'!$AH$13:$AH$1012,0)))</f>
      </c>
      <c r="G277" s="30">
        <f>IF(265&gt;$E$8,"",IF(INDEX('CONTROLES'!$AG$13:$AG$1012,MATCH(265,'CONTROLES'!$AH$13:$AH$1012,0))=2,"ROJO","ÁMBAR"))</f>
      </c>
    </row>
    <row r="278" ht="22" customHeight="1">
      <c r="B278" s="30">
        <f>IF(266&gt;$E$8,"",INDEX('CONTROLES'!$AB$13:$AB$1012,MATCH(266,'CONTROLES'!$AH$13:$AH$1012,0)))</f>
      </c>
      <c r="C278" s="30">
        <f>IF(266&gt;$E$8,"",INDEX('CONTROLES'!$AC$13:$AC$1012,MATCH(266,'CONTROLES'!$AH$13:$AH$1012,0)))</f>
      </c>
      <c r="D278" s="30">
        <f>IF(266&gt;$E$8,"",INDEX('CONTROLES'!$AD$13:$AD$1012,MATCH(266,'CONTROLES'!$AH$13:$AH$1012,0)))</f>
      </c>
      <c r="E278" s="30">
        <f>IF(266&gt;$E$8,"",INDEX('CONTROLES'!$AE$13:$AE$1012,MATCH(266,'CONTROLES'!$AH$13:$AH$1012,0)))</f>
      </c>
      <c r="F278" s="30">
        <f>IF(266&gt;$E$8,"",INDEX('CONTROLES'!$AF$13:$AF$1012,MATCH(266,'CONTROLES'!$AH$13:$AH$1012,0)))</f>
      </c>
      <c r="G278" s="30">
        <f>IF(266&gt;$E$8,"",IF(INDEX('CONTROLES'!$AG$13:$AG$1012,MATCH(266,'CONTROLES'!$AH$13:$AH$1012,0))=2,"ROJO","ÁMBAR"))</f>
      </c>
    </row>
    <row r="279" ht="22" customHeight="1">
      <c r="B279" s="30">
        <f>IF(267&gt;$E$8,"",INDEX('CONTROLES'!$AB$13:$AB$1012,MATCH(267,'CONTROLES'!$AH$13:$AH$1012,0)))</f>
      </c>
      <c r="C279" s="30">
        <f>IF(267&gt;$E$8,"",INDEX('CONTROLES'!$AC$13:$AC$1012,MATCH(267,'CONTROLES'!$AH$13:$AH$1012,0)))</f>
      </c>
      <c r="D279" s="30">
        <f>IF(267&gt;$E$8,"",INDEX('CONTROLES'!$AD$13:$AD$1012,MATCH(267,'CONTROLES'!$AH$13:$AH$1012,0)))</f>
      </c>
      <c r="E279" s="30">
        <f>IF(267&gt;$E$8,"",INDEX('CONTROLES'!$AE$13:$AE$1012,MATCH(267,'CONTROLES'!$AH$13:$AH$1012,0)))</f>
      </c>
      <c r="F279" s="30">
        <f>IF(267&gt;$E$8,"",INDEX('CONTROLES'!$AF$13:$AF$1012,MATCH(267,'CONTROLES'!$AH$13:$AH$1012,0)))</f>
      </c>
      <c r="G279" s="30">
        <f>IF(267&gt;$E$8,"",IF(INDEX('CONTROLES'!$AG$13:$AG$1012,MATCH(267,'CONTROLES'!$AH$13:$AH$1012,0))=2,"ROJO","ÁMBAR"))</f>
      </c>
    </row>
    <row r="280" ht="22" customHeight="1">
      <c r="B280" s="30">
        <f>IF(268&gt;$E$8,"",INDEX('CONTROLES'!$AB$13:$AB$1012,MATCH(268,'CONTROLES'!$AH$13:$AH$1012,0)))</f>
      </c>
      <c r="C280" s="30">
        <f>IF(268&gt;$E$8,"",INDEX('CONTROLES'!$AC$13:$AC$1012,MATCH(268,'CONTROLES'!$AH$13:$AH$1012,0)))</f>
      </c>
      <c r="D280" s="30">
        <f>IF(268&gt;$E$8,"",INDEX('CONTROLES'!$AD$13:$AD$1012,MATCH(268,'CONTROLES'!$AH$13:$AH$1012,0)))</f>
      </c>
      <c r="E280" s="30">
        <f>IF(268&gt;$E$8,"",INDEX('CONTROLES'!$AE$13:$AE$1012,MATCH(268,'CONTROLES'!$AH$13:$AH$1012,0)))</f>
      </c>
      <c r="F280" s="30">
        <f>IF(268&gt;$E$8,"",INDEX('CONTROLES'!$AF$13:$AF$1012,MATCH(268,'CONTROLES'!$AH$13:$AH$1012,0)))</f>
      </c>
      <c r="G280" s="30">
        <f>IF(268&gt;$E$8,"",IF(INDEX('CONTROLES'!$AG$13:$AG$1012,MATCH(268,'CONTROLES'!$AH$13:$AH$1012,0))=2,"ROJO","ÁMBAR"))</f>
      </c>
    </row>
    <row r="281" ht="22" customHeight="1">
      <c r="B281" s="30">
        <f>IF(269&gt;$E$8,"",INDEX('CONTROLES'!$AB$13:$AB$1012,MATCH(269,'CONTROLES'!$AH$13:$AH$1012,0)))</f>
      </c>
      <c r="C281" s="30">
        <f>IF(269&gt;$E$8,"",INDEX('CONTROLES'!$AC$13:$AC$1012,MATCH(269,'CONTROLES'!$AH$13:$AH$1012,0)))</f>
      </c>
      <c r="D281" s="30">
        <f>IF(269&gt;$E$8,"",INDEX('CONTROLES'!$AD$13:$AD$1012,MATCH(269,'CONTROLES'!$AH$13:$AH$1012,0)))</f>
      </c>
      <c r="E281" s="30">
        <f>IF(269&gt;$E$8,"",INDEX('CONTROLES'!$AE$13:$AE$1012,MATCH(269,'CONTROLES'!$AH$13:$AH$1012,0)))</f>
      </c>
      <c r="F281" s="30">
        <f>IF(269&gt;$E$8,"",INDEX('CONTROLES'!$AF$13:$AF$1012,MATCH(269,'CONTROLES'!$AH$13:$AH$1012,0)))</f>
      </c>
      <c r="G281" s="30">
        <f>IF(269&gt;$E$8,"",IF(INDEX('CONTROLES'!$AG$13:$AG$1012,MATCH(269,'CONTROLES'!$AH$13:$AH$1012,0))=2,"ROJO","ÁMBAR"))</f>
      </c>
    </row>
    <row r="282" ht="22" customHeight="1">
      <c r="B282" s="30">
        <f>IF(270&gt;$E$8,"",INDEX('CONTROLES'!$AB$13:$AB$1012,MATCH(270,'CONTROLES'!$AH$13:$AH$1012,0)))</f>
      </c>
      <c r="C282" s="30">
        <f>IF(270&gt;$E$8,"",INDEX('CONTROLES'!$AC$13:$AC$1012,MATCH(270,'CONTROLES'!$AH$13:$AH$1012,0)))</f>
      </c>
      <c r="D282" s="30">
        <f>IF(270&gt;$E$8,"",INDEX('CONTROLES'!$AD$13:$AD$1012,MATCH(270,'CONTROLES'!$AH$13:$AH$1012,0)))</f>
      </c>
      <c r="E282" s="30">
        <f>IF(270&gt;$E$8,"",INDEX('CONTROLES'!$AE$13:$AE$1012,MATCH(270,'CONTROLES'!$AH$13:$AH$1012,0)))</f>
      </c>
      <c r="F282" s="30">
        <f>IF(270&gt;$E$8,"",INDEX('CONTROLES'!$AF$13:$AF$1012,MATCH(270,'CONTROLES'!$AH$13:$AH$1012,0)))</f>
      </c>
      <c r="G282" s="30">
        <f>IF(270&gt;$E$8,"",IF(INDEX('CONTROLES'!$AG$13:$AG$1012,MATCH(270,'CONTROLES'!$AH$13:$AH$1012,0))=2,"ROJO","ÁMBAR"))</f>
      </c>
    </row>
    <row r="283" ht="22" customHeight="1">
      <c r="B283" s="30">
        <f>IF(271&gt;$E$8,"",INDEX('CONTROLES'!$AB$13:$AB$1012,MATCH(271,'CONTROLES'!$AH$13:$AH$1012,0)))</f>
      </c>
      <c r="C283" s="30">
        <f>IF(271&gt;$E$8,"",INDEX('CONTROLES'!$AC$13:$AC$1012,MATCH(271,'CONTROLES'!$AH$13:$AH$1012,0)))</f>
      </c>
      <c r="D283" s="30">
        <f>IF(271&gt;$E$8,"",INDEX('CONTROLES'!$AD$13:$AD$1012,MATCH(271,'CONTROLES'!$AH$13:$AH$1012,0)))</f>
      </c>
      <c r="E283" s="30">
        <f>IF(271&gt;$E$8,"",INDEX('CONTROLES'!$AE$13:$AE$1012,MATCH(271,'CONTROLES'!$AH$13:$AH$1012,0)))</f>
      </c>
      <c r="F283" s="30">
        <f>IF(271&gt;$E$8,"",INDEX('CONTROLES'!$AF$13:$AF$1012,MATCH(271,'CONTROLES'!$AH$13:$AH$1012,0)))</f>
      </c>
      <c r="G283" s="30">
        <f>IF(271&gt;$E$8,"",IF(INDEX('CONTROLES'!$AG$13:$AG$1012,MATCH(271,'CONTROLES'!$AH$13:$AH$1012,0))=2,"ROJO","ÁMBAR"))</f>
      </c>
    </row>
    <row r="284" ht="22" customHeight="1">
      <c r="B284" s="30">
        <f>IF(272&gt;$E$8,"",INDEX('CONTROLES'!$AB$13:$AB$1012,MATCH(272,'CONTROLES'!$AH$13:$AH$1012,0)))</f>
      </c>
      <c r="C284" s="30">
        <f>IF(272&gt;$E$8,"",INDEX('CONTROLES'!$AC$13:$AC$1012,MATCH(272,'CONTROLES'!$AH$13:$AH$1012,0)))</f>
      </c>
      <c r="D284" s="30">
        <f>IF(272&gt;$E$8,"",INDEX('CONTROLES'!$AD$13:$AD$1012,MATCH(272,'CONTROLES'!$AH$13:$AH$1012,0)))</f>
      </c>
      <c r="E284" s="30">
        <f>IF(272&gt;$E$8,"",INDEX('CONTROLES'!$AE$13:$AE$1012,MATCH(272,'CONTROLES'!$AH$13:$AH$1012,0)))</f>
      </c>
      <c r="F284" s="30">
        <f>IF(272&gt;$E$8,"",INDEX('CONTROLES'!$AF$13:$AF$1012,MATCH(272,'CONTROLES'!$AH$13:$AH$1012,0)))</f>
      </c>
      <c r="G284" s="30">
        <f>IF(272&gt;$E$8,"",IF(INDEX('CONTROLES'!$AG$13:$AG$1012,MATCH(272,'CONTROLES'!$AH$13:$AH$1012,0))=2,"ROJO","ÁMBAR"))</f>
      </c>
    </row>
    <row r="285" ht="22" customHeight="1">
      <c r="B285" s="30">
        <f>IF(273&gt;$E$8,"",INDEX('CONTROLES'!$AB$13:$AB$1012,MATCH(273,'CONTROLES'!$AH$13:$AH$1012,0)))</f>
      </c>
      <c r="C285" s="30">
        <f>IF(273&gt;$E$8,"",INDEX('CONTROLES'!$AC$13:$AC$1012,MATCH(273,'CONTROLES'!$AH$13:$AH$1012,0)))</f>
      </c>
      <c r="D285" s="30">
        <f>IF(273&gt;$E$8,"",INDEX('CONTROLES'!$AD$13:$AD$1012,MATCH(273,'CONTROLES'!$AH$13:$AH$1012,0)))</f>
      </c>
      <c r="E285" s="30">
        <f>IF(273&gt;$E$8,"",INDEX('CONTROLES'!$AE$13:$AE$1012,MATCH(273,'CONTROLES'!$AH$13:$AH$1012,0)))</f>
      </c>
      <c r="F285" s="30">
        <f>IF(273&gt;$E$8,"",INDEX('CONTROLES'!$AF$13:$AF$1012,MATCH(273,'CONTROLES'!$AH$13:$AH$1012,0)))</f>
      </c>
      <c r="G285" s="30">
        <f>IF(273&gt;$E$8,"",IF(INDEX('CONTROLES'!$AG$13:$AG$1012,MATCH(273,'CONTROLES'!$AH$13:$AH$1012,0))=2,"ROJO","ÁMBAR"))</f>
      </c>
    </row>
    <row r="286" ht="22" customHeight="1">
      <c r="B286" s="30">
        <f>IF(274&gt;$E$8,"",INDEX('CONTROLES'!$AB$13:$AB$1012,MATCH(274,'CONTROLES'!$AH$13:$AH$1012,0)))</f>
      </c>
      <c r="C286" s="30">
        <f>IF(274&gt;$E$8,"",INDEX('CONTROLES'!$AC$13:$AC$1012,MATCH(274,'CONTROLES'!$AH$13:$AH$1012,0)))</f>
      </c>
      <c r="D286" s="30">
        <f>IF(274&gt;$E$8,"",INDEX('CONTROLES'!$AD$13:$AD$1012,MATCH(274,'CONTROLES'!$AH$13:$AH$1012,0)))</f>
      </c>
      <c r="E286" s="30">
        <f>IF(274&gt;$E$8,"",INDEX('CONTROLES'!$AE$13:$AE$1012,MATCH(274,'CONTROLES'!$AH$13:$AH$1012,0)))</f>
      </c>
      <c r="F286" s="30">
        <f>IF(274&gt;$E$8,"",INDEX('CONTROLES'!$AF$13:$AF$1012,MATCH(274,'CONTROLES'!$AH$13:$AH$1012,0)))</f>
      </c>
      <c r="G286" s="30">
        <f>IF(274&gt;$E$8,"",IF(INDEX('CONTROLES'!$AG$13:$AG$1012,MATCH(274,'CONTROLES'!$AH$13:$AH$1012,0))=2,"ROJO","ÁMBAR"))</f>
      </c>
    </row>
    <row r="287" ht="22" customHeight="1">
      <c r="B287" s="30">
        <f>IF(275&gt;$E$8,"",INDEX('CONTROLES'!$AB$13:$AB$1012,MATCH(275,'CONTROLES'!$AH$13:$AH$1012,0)))</f>
      </c>
      <c r="C287" s="30">
        <f>IF(275&gt;$E$8,"",INDEX('CONTROLES'!$AC$13:$AC$1012,MATCH(275,'CONTROLES'!$AH$13:$AH$1012,0)))</f>
      </c>
      <c r="D287" s="30">
        <f>IF(275&gt;$E$8,"",INDEX('CONTROLES'!$AD$13:$AD$1012,MATCH(275,'CONTROLES'!$AH$13:$AH$1012,0)))</f>
      </c>
      <c r="E287" s="30">
        <f>IF(275&gt;$E$8,"",INDEX('CONTROLES'!$AE$13:$AE$1012,MATCH(275,'CONTROLES'!$AH$13:$AH$1012,0)))</f>
      </c>
      <c r="F287" s="30">
        <f>IF(275&gt;$E$8,"",INDEX('CONTROLES'!$AF$13:$AF$1012,MATCH(275,'CONTROLES'!$AH$13:$AH$1012,0)))</f>
      </c>
      <c r="G287" s="30">
        <f>IF(275&gt;$E$8,"",IF(INDEX('CONTROLES'!$AG$13:$AG$1012,MATCH(275,'CONTROLES'!$AH$13:$AH$1012,0))=2,"ROJO","ÁMBAR"))</f>
      </c>
    </row>
    <row r="288" ht="22" customHeight="1">
      <c r="B288" s="30">
        <f>IF(276&gt;$E$8,"",INDEX('CONTROLES'!$AB$13:$AB$1012,MATCH(276,'CONTROLES'!$AH$13:$AH$1012,0)))</f>
      </c>
      <c r="C288" s="30">
        <f>IF(276&gt;$E$8,"",INDEX('CONTROLES'!$AC$13:$AC$1012,MATCH(276,'CONTROLES'!$AH$13:$AH$1012,0)))</f>
      </c>
      <c r="D288" s="30">
        <f>IF(276&gt;$E$8,"",INDEX('CONTROLES'!$AD$13:$AD$1012,MATCH(276,'CONTROLES'!$AH$13:$AH$1012,0)))</f>
      </c>
      <c r="E288" s="30">
        <f>IF(276&gt;$E$8,"",INDEX('CONTROLES'!$AE$13:$AE$1012,MATCH(276,'CONTROLES'!$AH$13:$AH$1012,0)))</f>
      </c>
      <c r="F288" s="30">
        <f>IF(276&gt;$E$8,"",INDEX('CONTROLES'!$AF$13:$AF$1012,MATCH(276,'CONTROLES'!$AH$13:$AH$1012,0)))</f>
      </c>
      <c r="G288" s="30">
        <f>IF(276&gt;$E$8,"",IF(INDEX('CONTROLES'!$AG$13:$AG$1012,MATCH(276,'CONTROLES'!$AH$13:$AH$1012,0))=2,"ROJO","ÁMBAR"))</f>
      </c>
    </row>
    <row r="289" ht="22" customHeight="1">
      <c r="B289" s="30">
        <f>IF(277&gt;$E$8,"",INDEX('CONTROLES'!$AB$13:$AB$1012,MATCH(277,'CONTROLES'!$AH$13:$AH$1012,0)))</f>
      </c>
      <c r="C289" s="30">
        <f>IF(277&gt;$E$8,"",INDEX('CONTROLES'!$AC$13:$AC$1012,MATCH(277,'CONTROLES'!$AH$13:$AH$1012,0)))</f>
      </c>
      <c r="D289" s="30">
        <f>IF(277&gt;$E$8,"",INDEX('CONTROLES'!$AD$13:$AD$1012,MATCH(277,'CONTROLES'!$AH$13:$AH$1012,0)))</f>
      </c>
      <c r="E289" s="30">
        <f>IF(277&gt;$E$8,"",INDEX('CONTROLES'!$AE$13:$AE$1012,MATCH(277,'CONTROLES'!$AH$13:$AH$1012,0)))</f>
      </c>
      <c r="F289" s="30">
        <f>IF(277&gt;$E$8,"",INDEX('CONTROLES'!$AF$13:$AF$1012,MATCH(277,'CONTROLES'!$AH$13:$AH$1012,0)))</f>
      </c>
      <c r="G289" s="30">
        <f>IF(277&gt;$E$8,"",IF(INDEX('CONTROLES'!$AG$13:$AG$1012,MATCH(277,'CONTROLES'!$AH$13:$AH$1012,0))=2,"ROJO","ÁMBAR"))</f>
      </c>
    </row>
    <row r="290" ht="22" customHeight="1">
      <c r="B290" s="30">
        <f>IF(278&gt;$E$8,"",INDEX('CONTROLES'!$AB$13:$AB$1012,MATCH(278,'CONTROLES'!$AH$13:$AH$1012,0)))</f>
      </c>
      <c r="C290" s="30">
        <f>IF(278&gt;$E$8,"",INDEX('CONTROLES'!$AC$13:$AC$1012,MATCH(278,'CONTROLES'!$AH$13:$AH$1012,0)))</f>
      </c>
      <c r="D290" s="30">
        <f>IF(278&gt;$E$8,"",INDEX('CONTROLES'!$AD$13:$AD$1012,MATCH(278,'CONTROLES'!$AH$13:$AH$1012,0)))</f>
      </c>
      <c r="E290" s="30">
        <f>IF(278&gt;$E$8,"",INDEX('CONTROLES'!$AE$13:$AE$1012,MATCH(278,'CONTROLES'!$AH$13:$AH$1012,0)))</f>
      </c>
      <c r="F290" s="30">
        <f>IF(278&gt;$E$8,"",INDEX('CONTROLES'!$AF$13:$AF$1012,MATCH(278,'CONTROLES'!$AH$13:$AH$1012,0)))</f>
      </c>
      <c r="G290" s="30">
        <f>IF(278&gt;$E$8,"",IF(INDEX('CONTROLES'!$AG$13:$AG$1012,MATCH(278,'CONTROLES'!$AH$13:$AH$1012,0))=2,"ROJO","ÁMBAR"))</f>
      </c>
    </row>
    <row r="291" ht="22" customHeight="1">
      <c r="B291" s="30">
        <f>IF(279&gt;$E$8,"",INDEX('CONTROLES'!$AB$13:$AB$1012,MATCH(279,'CONTROLES'!$AH$13:$AH$1012,0)))</f>
      </c>
      <c r="C291" s="30">
        <f>IF(279&gt;$E$8,"",INDEX('CONTROLES'!$AC$13:$AC$1012,MATCH(279,'CONTROLES'!$AH$13:$AH$1012,0)))</f>
      </c>
      <c r="D291" s="30">
        <f>IF(279&gt;$E$8,"",INDEX('CONTROLES'!$AD$13:$AD$1012,MATCH(279,'CONTROLES'!$AH$13:$AH$1012,0)))</f>
      </c>
      <c r="E291" s="30">
        <f>IF(279&gt;$E$8,"",INDEX('CONTROLES'!$AE$13:$AE$1012,MATCH(279,'CONTROLES'!$AH$13:$AH$1012,0)))</f>
      </c>
      <c r="F291" s="30">
        <f>IF(279&gt;$E$8,"",INDEX('CONTROLES'!$AF$13:$AF$1012,MATCH(279,'CONTROLES'!$AH$13:$AH$1012,0)))</f>
      </c>
      <c r="G291" s="30">
        <f>IF(279&gt;$E$8,"",IF(INDEX('CONTROLES'!$AG$13:$AG$1012,MATCH(279,'CONTROLES'!$AH$13:$AH$1012,0))=2,"ROJO","ÁMBAR"))</f>
      </c>
    </row>
    <row r="292" ht="22" customHeight="1">
      <c r="B292" s="30">
        <f>IF(280&gt;$E$8,"",INDEX('CONTROLES'!$AB$13:$AB$1012,MATCH(280,'CONTROLES'!$AH$13:$AH$1012,0)))</f>
      </c>
      <c r="C292" s="30">
        <f>IF(280&gt;$E$8,"",INDEX('CONTROLES'!$AC$13:$AC$1012,MATCH(280,'CONTROLES'!$AH$13:$AH$1012,0)))</f>
      </c>
      <c r="D292" s="30">
        <f>IF(280&gt;$E$8,"",INDEX('CONTROLES'!$AD$13:$AD$1012,MATCH(280,'CONTROLES'!$AH$13:$AH$1012,0)))</f>
      </c>
      <c r="E292" s="30">
        <f>IF(280&gt;$E$8,"",INDEX('CONTROLES'!$AE$13:$AE$1012,MATCH(280,'CONTROLES'!$AH$13:$AH$1012,0)))</f>
      </c>
      <c r="F292" s="30">
        <f>IF(280&gt;$E$8,"",INDEX('CONTROLES'!$AF$13:$AF$1012,MATCH(280,'CONTROLES'!$AH$13:$AH$1012,0)))</f>
      </c>
      <c r="G292" s="30">
        <f>IF(280&gt;$E$8,"",IF(INDEX('CONTROLES'!$AG$13:$AG$1012,MATCH(280,'CONTROLES'!$AH$13:$AH$1012,0))=2,"ROJO","ÁMBAR"))</f>
      </c>
    </row>
    <row r="293" ht="22" customHeight="1">
      <c r="B293" s="30">
        <f>IF(281&gt;$E$8,"",INDEX('CONTROLES'!$AB$13:$AB$1012,MATCH(281,'CONTROLES'!$AH$13:$AH$1012,0)))</f>
      </c>
      <c r="C293" s="30">
        <f>IF(281&gt;$E$8,"",INDEX('CONTROLES'!$AC$13:$AC$1012,MATCH(281,'CONTROLES'!$AH$13:$AH$1012,0)))</f>
      </c>
      <c r="D293" s="30">
        <f>IF(281&gt;$E$8,"",INDEX('CONTROLES'!$AD$13:$AD$1012,MATCH(281,'CONTROLES'!$AH$13:$AH$1012,0)))</f>
      </c>
      <c r="E293" s="30">
        <f>IF(281&gt;$E$8,"",INDEX('CONTROLES'!$AE$13:$AE$1012,MATCH(281,'CONTROLES'!$AH$13:$AH$1012,0)))</f>
      </c>
      <c r="F293" s="30">
        <f>IF(281&gt;$E$8,"",INDEX('CONTROLES'!$AF$13:$AF$1012,MATCH(281,'CONTROLES'!$AH$13:$AH$1012,0)))</f>
      </c>
      <c r="G293" s="30">
        <f>IF(281&gt;$E$8,"",IF(INDEX('CONTROLES'!$AG$13:$AG$1012,MATCH(281,'CONTROLES'!$AH$13:$AH$1012,0))=2,"ROJO","ÁMBAR"))</f>
      </c>
    </row>
    <row r="294" ht="22" customHeight="1">
      <c r="B294" s="30">
        <f>IF(282&gt;$E$8,"",INDEX('CONTROLES'!$AB$13:$AB$1012,MATCH(282,'CONTROLES'!$AH$13:$AH$1012,0)))</f>
      </c>
      <c r="C294" s="30">
        <f>IF(282&gt;$E$8,"",INDEX('CONTROLES'!$AC$13:$AC$1012,MATCH(282,'CONTROLES'!$AH$13:$AH$1012,0)))</f>
      </c>
      <c r="D294" s="30">
        <f>IF(282&gt;$E$8,"",INDEX('CONTROLES'!$AD$13:$AD$1012,MATCH(282,'CONTROLES'!$AH$13:$AH$1012,0)))</f>
      </c>
      <c r="E294" s="30">
        <f>IF(282&gt;$E$8,"",INDEX('CONTROLES'!$AE$13:$AE$1012,MATCH(282,'CONTROLES'!$AH$13:$AH$1012,0)))</f>
      </c>
      <c r="F294" s="30">
        <f>IF(282&gt;$E$8,"",INDEX('CONTROLES'!$AF$13:$AF$1012,MATCH(282,'CONTROLES'!$AH$13:$AH$1012,0)))</f>
      </c>
      <c r="G294" s="30">
        <f>IF(282&gt;$E$8,"",IF(INDEX('CONTROLES'!$AG$13:$AG$1012,MATCH(282,'CONTROLES'!$AH$13:$AH$1012,0))=2,"ROJO","ÁMBAR"))</f>
      </c>
    </row>
    <row r="295" ht="22" customHeight="1">
      <c r="B295" s="30">
        <f>IF(283&gt;$E$8,"",INDEX('CONTROLES'!$AB$13:$AB$1012,MATCH(283,'CONTROLES'!$AH$13:$AH$1012,0)))</f>
      </c>
      <c r="C295" s="30">
        <f>IF(283&gt;$E$8,"",INDEX('CONTROLES'!$AC$13:$AC$1012,MATCH(283,'CONTROLES'!$AH$13:$AH$1012,0)))</f>
      </c>
      <c r="D295" s="30">
        <f>IF(283&gt;$E$8,"",INDEX('CONTROLES'!$AD$13:$AD$1012,MATCH(283,'CONTROLES'!$AH$13:$AH$1012,0)))</f>
      </c>
      <c r="E295" s="30">
        <f>IF(283&gt;$E$8,"",INDEX('CONTROLES'!$AE$13:$AE$1012,MATCH(283,'CONTROLES'!$AH$13:$AH$1012,0)))</f>
      </c>
      <c r="F295" s="30">
        <f>IF(283&gt;$E$8,"",INDEX('CONTROLES'!$AF$13:$AF$1012,MATCH(283,'CONTROLES'!$AH$13:$AH$1012,0)))</f>
      </c>
      <c r="G295" s="30">
        <f>IF(283&gt;$E$8,"",IF(INDEX('CONTROLES'!$AG$13:$AG$1012,MATCH(283,'CONTROLES'!$AH$13:$AH$1012,0))=2,"ROJO","ÁMBAR"))</f>
      </c>
    </row>
    <row r="296" ht="22" customHeight="1">
      <c r="B296" s="30">
        <f>IF(284&gt;$E$8,"",INDEX('CONTROLES'!$AB$13:$AB$1012,MATCH(284,'CONTROLES'!$AH$13:$AH$1012,0)))</f>
      </c>
      <c r="C296" s="30">
        <f>IF(284&gt;$E$8,"",INDEX('CONTROLES'!$AC$13:$AC$1012,MATCH(284,'CONTROLES'!$AH$13:$AH$1012,0)))</f>
      </c>
      <c r="D296" s="30">
        <f>IF(284&gt;$E$8,"",INDEX('CONTROLES'!$AD$13:$AD$1012,MATCH(284,'CONTROLES'!$AH$13:$AH$1012,0)))</f>
      </c>
      <c r="E296" s="30">
        <f>IF(284&gt;$E$8,"",INDEX('CONTROLES'!$AE$13:$AE$1012,MATCH(284,'CONTROLES'!$AH$13:$AH$1012,0)))</f>
      </c>
      <c r="F296" s="30">
        <f>IF(284&gt;$E$8,"",INDEX('CONTROLES'!$AF$13:$AF$1012,MATCH(284,'CONTROLES'!$AH$13:$AH$1012,0)))</f>
      </c>
      <c r="G296" s="30">
        <f>IF(284&gt;$E$8,"",IF(INDEX('CONTROLES'!$AG$13:$AG$1012,MATCH(284,'CONTROLES'!$AH$13:$AH$1012,0))=2,"ROJO","ÁMBAR"))</f>
      </c>
    </row>
    <row r="297" ht="22" customHeight="1">
      <c r="B297" s="30">
        <f>IF(285&gt;$E$8,"",INDEX('CONTROLES'!$AB$13:$AB$1012,MATCH(285,'CONTROLES'!$AH$13:$AH$1012,0)))</f>
      </c>
      <c r="C297" s="30">
        <f>IF(285&gt;$E$8,"",INDEX('CONTROLES'!$AC$13:$AC$1012,MATCH(285,'CONTROLES'!$AH$13:$AH$1012,0)))</f>
      </c>
      <c r="D297" s="30">
        <f>IF(285&gt;$E$8,"",INDEX('CONTROLES'!$AD$13:$AD$1012,MATCH(285,'CONTROLES'!$AH$13:$AH$1012,0)))</f>
      </c>
      <c r="E297" s="30">
        <f>IF(285&gt;$E$8,"",INDEX('CONTROLES'!$AE$13:$AE$1012,MATCH(285,'CONTROLES'!$AH$13:$AH$1012,0)))</f>
      </c>
      <c r="F297" s="30">
        <f>IF(285&gt;$E$8,"",INDEX('CONTROLES'!$AF$13:$AF$1012,MATCH(285,'CONTROLES'!$AH$13:$AH$1012,0)))</f>
      </c>
      <c r="G297" s="30">
        <f>IF(285&gt;$E$8,"",IF(INDEX('CONTROLES'!$AG$13:$AG$1012,MATCH(285,'CONTROLES'!$AH$13:$AH$1012,0))=2,"ROJO","ÁMBAR"))</f>
      </c>
    </row>
    <row r="298" ht="22" customHeight="1">
      <c r="B298" s="30">
        <f>IF(286&gt;$E$8,"",INDEX('CONTROLES'!$AB$13:$AB$1012,MATCH(286,'CONTROLES'!$AH$13:$AH$1012,0)))</f>
      </c>
      <c r="C298" s="30">
        <f>IF(286&gt;$E$8,"",INDEX('CONTROLES'!$AC$13:$AC$1012,MATCH(286,'CONTROLES'!$AH$13:$AH$1012,0)))</f>
      </c>
      <c r="D298" s="30">
        <f>IF(286&gt;$E$8,"",INDEX('CONTROLES'!$AD$13:$AD$1012,MATCH(286,'CONTROLES'!$AH$13:$AH$1012,0)))</f>
      </c>
      <c r="E298" s="30">
        <f>IF(286&gt;$E$8,"",INDEX('CONTROLES'!$AE$13:$AE$1012,MATCH(286,'CONTROLES'!$AH$13:$AH$1012,0)))</f>
      </c>
      <c r="F298" s="30">
        <f>IF(286&gt;$E$8,"",INDEX('CONTROLES'!$AF$13:$AF$1012,MATCH(286,'CONTROLES'!$AH$13:$AH$1012,0)))</f>
      </c>
      <c r="G298" s="30">
        <f>IF(286&gt;$E$8,"",IF(INDEX('CONTROLES'!$AG$13:$AG$1012,MATCH(286,'CONTROLES'!$AH$13:$AH$1012,0))=2,"ROJO","ÁMBAR"))</f>
      </c>
    </row>
    <row r="299" ht="22" customHeight="1">
      <c r="B299" s="30">
        <f>IF(287&gt;$E$8,"",INDEX('CONTROLES'!$AB$13:$AB$1012,MATCH(287,'CONTROLES'!$AH$13:$AH$1012,0)))</f>
      </c>
      <c r="C299" s="30">
        <f>IF(287&gt;$E$8,"",INDEX('CONTROLES'!$AC$13:$AC$1012,MATCH(287,'CONTROLES'!$AH$13:$AH$1012,0)))</f>
      </c>
      <c r="D299" s="30">
        <f>IF(287&gt;$E$8,"",INDEX('CONTROLES'!$AD$13:$AD$1012,MATCH(287,'CONTROLES'!$AH$13:$AH$1012,0)))</f>
      </c>
      <c r="E299" s="30">
        <f>IF(287&gt;$E$8,"",INDEX('CONTROLES'!$AE$13:$AE$1012,MATCH(287,'CONTROLES'!$AH$13:$AH$1012,0)))</f>
      </c>
      <c r="F299" s="30">
        <f>IF(287&gt;$E$8,"",INDEX('CONTROLES'!$AF$13:$AF$1012,MATCH(287,'CONTROLES'!$AH$13:$AH$1012,0)))</f>
      </c>
      <c r="G299" s="30">
        <f>IF(287&gt;$E$8,"",IF(INDEX('CONTROLES'!$AG$13:$AG$1012,MATCH(287,'CONTROLES'!$AH$13:$AH$1012,0))=2,"ROJO","ÁMBAR"))</f>
      </c>
    </row>
    <row r="300" ht="22" customHeight="1">
      <c r="B300" s="30">
        <f>IF(288&gt;$E$8,"",INDEX('CONTROLES'!$AB$13:$AB$1012,MATCH(288,'CONTROLES'!$AH$13:$AH$1012,0)))</f>
      </c>
      <c r="C300" s="30">
        <f>IF(288&gt;$E$8,"",INDEX('CONTROLES'!$AC$13:$AC$1012,MATCH(288,'CONTROLES'!$AH$13:$AH$1012,0)))</f>
      </c>
      <c r="D300" s="30">
        <f>IF(288&gt;$E$8,"",INDEX('CONTROLES'!$AD$13:$AD$1012,MATCH(288,'CONTROLES'!$AH$13:$AH$1012,0)))</f>
      </c>
      <c r="E300" s="30">
        <f>IF(288&gt;$E$8,"",INDEX('CONTROLES'!$AE$13:$AE$1012,MATCH(288,'CONTROLES'!$AH$13:$AH$1012,0)))</f>
      </c>
      <c r="F300" s="30">
        <f>IF(288&gt;$E$8,"",INDEX('CONTROLES'!$AF$13:$AF$1012,MATCH(288,'CONTROLES'!$AH$13:$AH$1012,0)))</f>
      </c>
      <c r="G300" s="30">
        <f>IF(288&gt;$E$8,"",IF(INDEX('CONTROLES'!$AG$13:$AG$1012,MATCH(288,'CONTROLES'!$AH$13:$AH$1012,0))=2,"ROJO","ÁMBAR"))</f>
      </c>
    </row>
    <row r="301" ht="22" customHeight="1">
      <c r="B301" s="30">
        <f>IF(289&gt;$E$8,"",INDEX('CONTROLES'!$AB$13:$AB$1012,MATCH(289,'CONTROLES'!$AH$13:$AH$1012,0)))</f>
      </c>
      <c r="C301" s="30">
        <f>IF(289&gt;$E$8,"",INDEX('CONTROLES'!$AC$13:$AC$1012,MATCH(289,'CONTROLES'!$AH$13:$AH$1012,0)))</f>
      </c>
      <c r="D301" s="30">
        <f>IF(289&gt;$E$8,"",INDEX('CONTROLES'!$AD$13:$AD$1012,MATCH(289,'CONTROLES'!$AH$13:$AH$1012,0)))</f>
      </c>
      <c r="E301" s="30">
        <f>IF(289&gt;$E$8,"",INDEX('CONTROLES'!$AE$13:$AE$1012,MATCH(289,'CONTROLES'!$AH$13:$AH$1012,0)))</f>
      </c>
      <c r="F301" s="30">
        <f>IF(289&gt;$E$8,"",INDEX('CONTROLES'!$AF$13:$AF$1012,MATCH(289,'CONTROLES'!$AH$13:$AH$1012,0)))</f>
      </c>
      <c r="G301" s="30">
        <f>IF(289&gt;$E$8,"",IF(INDEX('CONTROLES'!$AG$13:$AG$1012,MATCH(289,'CONTROLES'!$AH$13:$AH$1012,0))=2,"ROJO","ÁMBAR"))</f>
      </c>
    </row>
    <row r="302" ht="22" customHeight="1">
      <c r="B302" s="30">
        <f>IF(290&gt;$E$8,"",INDEX('CONTROLES'!$AB$13:$AB$1012,MATCH(290,'CONTROLES'!$AH$13:$AH$1012,0)))</f>
      </c>
      <c r="C302" s="30">
        <f>IF(290&gt;$E$8,"",INDEX('CONTROLES'!$AC$13:$AC$1012,MATCH(290,'CONTROLES'!$AH$13:$AH$1012,0)))</f>
      </c>
      <c r="D302" s="30">
        <f>IF(290&gt;$E$8,"",INDEX('CONTROLES'!$AD$13:$AD$1012,MATCH(290,'CONTROLES'!$AH$13:$AH$1012,0)))</f>
      </c>
      <c r="E302" s="30">
        <f>IF(290&gt;$E$8,"",INDEX('CONTROLES'!$AE$13:$AE$1012,MATCH(290,'CONTROLES'!$AH$13:$AH$1012,0)))</f>
      </c>
      <c r="F302" s="30">
        <f>IF(290&gt;$E$8,"",INDEX('CONTROLES'!$AF$13:$AF$1012,MATCH(290,'CONTROLES'!$AH$13:$AH$1012,0)))</f>
      </c>
      <c r="G302" s="30">
        <f>IF(290&gt;$E$8,"",IF(INDEX('CONTROLES'!$AG$13:$AG$1012,MATCH(290,'CONTROLES'!$AH$13:$AH$1012,0))=2,"ROJO","ÁMBAR"))</f>
      </c>
    </row>
    <row r="303" ht="22" customHeight="1">
      <c r="B303" s="30">
        <f>IF(291&gt;$E$8,"",INDEX('CONTROLES'!$AB$13:$AB$1012,MATCH(291,'CONTROLES'!$AH$13:$AH$1012,0)))</f>
      </c>
      <c r="C303" s="30">
        <f>IF(291&gt;$E$8,"",INDEX('CONTROLES'!$AC$13:$AC$1012,MATCH(291,'CONTROLES'!$AH$13:$AH$1012,0)))</f>
      </c>
      <c r="D303" s="30">
        <f>IF(291&gt;$E$8,"",INDEX('CONTROLES'!$AD$13:$AD$1012,MATCH(291,'CONTROLES'!$AH$13:$AH$1012,0)))</f>
      </c>
      <c r="E303" s="30">
        <f>IF(291&gt;$E$8,"",INDEX('CONTROLES'!$AE$13:$AE$1012,MATCH(291,'CONTROLES'!$AH$13:$AH$1012,0)))</f>
      </c>
      <c r="F303" s="30">
        <f>IF(291&gt;$E$8,"",INDEX('CONTROLES'!$AF$13:$AF$1012,MATCH(291,'CONTROLES'!$AH$13:$AH$1012,0)))</f>
      </c>
      <c r="G303" s="30">
        <f>IF(291&gt;$E$8,"",IF(INDEX('CONTROLES'!$AG$13:$AG$1012,MATCH(291,'CONTROLES'!$AH$13:$AH$1012,0))=2,"ROJO","ÁMBAR"))</f>
      </c>
    </row>
    <row r="304" ht="22" customHeight="1">
      <c r="B304" s="30">
        <f>IF(292&gt;$E$8,"",INDEX('CONTROLES'!$AB$13:$AB$1012,MATCH(292,'CONTROLES'!$AH$13:$AH$1012,0)))</f>
      </c>
      <c r="C304" s="30">
        <f>IF(292&gt;$E$8,"",INDEX('CONTROLES'!$AC$13:$AC$1012,MATCH(292,'CONTROLES'!$AH$13:$AH$1012,0)))</f>
      </c>
      <c r="D304" s="30">
        <f>IF(292&gt;$E$8,"",INDEX('CONTROLES'!$AD$13:$AD$1012,MATCH(292,'CONTROLES'!$AH$13:$AH$1012,0)))</f>
      </c>
      <c r="E304" s="30">
        <f>IF(292&gt;$E$8,"",INDEX('CONTROLES'!$AE$13:$AE$1012,MATCH(292,'CONTROLES'!$AH$13:$AH$1012,0)))</f>
      </c>
      <c r="F304" s="30">
        <f>IF(292&gt;$E$8,"",INDEX('CONTROLES'!$AF$13:$AF$1012,MATCH(292,'CONTROLES'!$AH$13:$AH$1012,0)))</f>
      </c>
      <c r="G304" s="30">
        <f>IF(292&gt;$E$8,"",IF(INDEX('CONTROLES'!$AG$13:$AG$1012,MATCH(292,'CONTROLES'!$AH$13:$AH$1012,0))=2,"ROJO","ÁMBAR"))</f>
      </c>
    </row>
    <row r="305" ht="22" customHeight="1">
      <c r="B305" s="30">
        <f>IF(293&gt;$E$8,"",INDEX('CONTROLES'!$AB$13:$AB$1012,MATCH(293,'CONTROLES'!$AH$13:$AH$1012,0)))</f>
      </c>
      <c r="C305" s="30">
        <f>IF(293&gt;$E$8,"",INDEX('CONTROLES'!$AC$13:$AC$1012,MATCH(293,'CONTROLES'!$AH$13:$AH$1012,0)))</f>
      </c>
      <c r="D305" s="30">
        <f>IF(293&gt;$E$8,"",INDEX('CONTROLES'!$AD$13:$AD$1012,MATCH(293,'CONTROLES'!$AH$13:$AH$1012,0)))</f>
      </c>
      <c r="E305" s="30">
        <f>IF(293&gt;$E$8,"",INDEX('CONTROLES'!$AE$13:$AE$1012,MATCH(293,'CONTROLES'!$AH$13:$AH$1012,0)))</f>
      </c>
      <c r="F305" s="30">
        <f>IF(293&gt;$E$8,"",INDEX('CONTROLES'!$AF$13:$AF$1012,MATCH(293,'CONTROLES'!$AH$13:$AH$1012,0)))</f>
      </c>
      <c r="G305" s="30">
        <f>IF(293&gt;$E$8,"",IF(INDEX('CONTROLES'!$AG$13:$AG$1012,MATCH(293,'CONTROLES'!$AH$13:$AH$1012,0))=2,"ROJO","ÁMBAR"))</f>
      </c>
    </row>
    <row r="306" ht="22" customHeight="1">
      <c r="B306" s="30">
        <f>IF(294&gt;$E$8,"",INDEX('CONTROLES'!$AB$13:$AB$1012,MATCH(294,'CONTROLES'!$AH$13:$AH$1012,0)))</f>
      </c>
      <c r="C306" s="30">
        <f>IF(294&gt;$E$8,"",INDEX('CONTROLES'!$AC$13:$AC$1012,MATCH(294,'CONTROLES'!$AH$13:$AH$1012,0)))</f>
      </c>
      <c r="D306" s="30">
        <f>IF(294&gt;$E$8,"",INDEX('CONTROLES'!$AD$13:$AD$1012,MATCH(294,'CONTROLES'!$AH$13:$AH$1012,0)))</f>
      </c>
      <c r="E306" s="30">
        <f>IF(294&gt;$E$8,"",INDEX('CONTROLES'!$AE$13:$AE$1012,MATCH(294,'CONTROLES'!$AH$13:$AH$1012,0)))</f>
      </c>
      <c r="F306" s="30">
        <f>IF(294&gt;$E$8,"",INDEX('CONTROLES'!$AF$13:$AF$1012,MATCH(294,'CONTROLES'!$AH$13:$AH$1012,0)))</f>
      </c>
      <c r="G306" s="30">
        <f>IF(294&gt;$E$8,"",IF(INDEX('CONTROLES'!$AG$13:$AG$1012,MATCH(294,'CONTROLES'!$AH$13:$AH$1012,0))=2,"ROJO","ÁMBAR"))</f>
      </c>
    </row>
    <row r="307" ht="22" customHeight="1">
      <c r="B307" s="30">
        <f>IF(295&gt;$E$8,"",INDEX('CONTROLES'!$AB$13:$AB$1012,MATCH(295,'CONTROLES'!$AH$13:$AH$1012,0)))</f>
      </c>
      <c r="C307" s="30">
        <f>IF(295&gt;$E$8,"",INDEX('CONTROLES'!$AC$13:$AC$1012,MATCH(295,'CONTROLES'!$AH$13:$AH$1012,0)))</f>
      </c>
      <c r="D307" s="30">
        <f>IF(295&gt;$E$8,"",INDEX('CONTROLES'!$AD$13:$AD$1012,MATCH(295,'CONTROLES'!$AH$13:$AH$1012,0)))</f>
      </c>
      <c r="E307" s="30">
        <f>IF(295&gt;$E$8,"",INDEX('CONTROLES'!$AE$13:$AE$1012,MATCH(295,'CONTROLES'!$AH$13:$AH$1012,0)))</f>
      </c>
      <c r="F307" s="30">
        <f>IF(295&gt;$E$8,"",INDEX('CONTROLES'!$AF$13:$AF$1012,MATCH(295,'CONTROLES'!$AH$13:$AH$1012,0)))</f>
      </c>
      <c r="G307" s="30">
        <f>IF(295&gt;$E$8,"",IF(INDEX('CONTROLES'!$AG$13:$AG$1012,MATCH(295,'CONTROLES'!$AH$13:$AH$1012,0))=2,"ROJO","ÁMBAR"))</f>
      </c>
    </row>
    <row r="308" ht="22" customHeight="1">
      <c r="B308" s="30">
        <f>IF(296&gt;$E$8,"",INDEX('CONTROLES'!$AB$13:$AB$1012,MATCH(296,'CONTROLES'!$AH$13:$AH$1012,0)))</f>
      </c>
      <c r="C308" s="30">
        <f>IF(296&gt;$E$8,"",INDEX('CONTROLES'!$AC$13:$AC$1012,MATCH(296,'CONTROLES'!$AH$13:$AH$1012,0)))</f>
      </c>
      <c r="D308" s="30">
        <f>IF(296&gt;$E$8,"",INDEX('CONTROLES'!$AD$13:$AD$1012,MATCH(296,'CONTROLES'!$AH$13:$AH$1012,0)))</f>
      </c>
      <c r="E308" s="30">
        <f>IF(296&gt;$E$8,"",INDEX('CONTROLES'!$AE$13:$AE$1012,MATCH(296,'CONTROLES'!$AH$13:$AH$1012,0)))</f>
      </c>
      <c r="F308" s="30">
        <f>IF(296&gt;$E$8,"",INDEX('CONTROLES'!$AF$13:$AF$1012,MATCH(296,'CONTROLES'!$AH$13:$AH$1012,0)))</f>
      </c>
      <c r="G308" s="30">
        <f>IF(296&gt;$E$8,"",IF(INDEX('CONTROLES'!$AG$13:$AG$1012,MATCH(296,'CONTROLES'!$AH$13:$AH$1012,0))=2,"ROJO","ÁMBAR"))</f>
      </c>
    </row>
    <row r="309" ht="22" customHeight="1">
      <c r="B309" s="30">
        <f>IF(297&gt;$E$8,"",INDEX('CONTROLES'!$AB$13:$AB$1012,MATCH(297,'CONTROLES'!$AH$13:$AH$1012,0)))</f>
      </c>
      <c r="C309" s="30">
        <f>IF(297&gt;$E$8,"",INDEX('CONTROLES'!$AC$13:$AC$1012,MATCH(297,'CONTROLES'!$AH$13:$AH$1012,0)))</f>
      </c>
      <c r="D309" s="30">
        <f>IF(297&gt;$E$8,"",INDEX('CONTROLES'!$AD$13:$AD$1012,MATCH(297,'CONTROLES'!$AH$13:$AH$1012,0)))</f>
      </c>
      <c r="E309" s="30">
        <f>IF(297&gt;$E$8,"",INDEX('CONTROLES'!$AE$13:$AE$1012,MATCH(297,'CONTROLES'!$AH$13:$AH$1012,0)))</f>
      </c>
      <c r="F309" s="30">
        <f>IF(297&gt;$E$8,"",INDEX('CONTROLES'!$AF$13:$AF$1012,MATCH(297,'CONTROLES'!$AH$13:$AH$1012,0)))</f>
      </c>
      <c r="G309" s="30">
        <f>IF(297&gt;$E$8,"",IF(INDEX('CONTROLES'!$AG$13:$AG$1012,MATCH(297,'CONTROLES'!$AH$13:$AH$1012,0))=2,"ROJO","ÁMBAR"))</f>
      </c>
    </row>
    <row r="310" ht="22" customHeight="1">
      <c r="B310" s="30">
        <f>IF(298&gt;$E$8,"",INDEX('CONTROLES'!$AB$13:$AB$1012,MATCH(298,'CONTROLES'!$AH$13:$AH$1012,0)))</f>
      </c>
      <c r="C310" s="30">
        <f>IF(298&gt;$E$8,"",INDEX('CONTROLES'!$AC$13:$AC$1012,MATCH(298,'CONTROLES'!$AH$13:$AH$1012,0)))</f>
      </c>
      <c r="D310" s="30">
        <f>IF(298&gt;$E$8,"",INDEX('CONTROLES'!$AD$13:$AD$1012,MATCH(298,'CONTROLES'!$AH$13:$AH$1012,0)))</f>
      </c>
      <c r="E310" s="30">
        <f>IF(298&gt;$E$8,"",INDEX('CONTROLES'!$AE$13:$AE$1012,MATCH(298,'CONTROLES'!$AH$13:$AH$1012,0)))</f>
      </c>
      <c r="F310" s="30">
        <f>IF(298&gt;$E$8,"",INDEX('CONTROLES'!$AF$13:$AF$1012,MATCH(298,'CONTROLES'!$AH$13:$AH$1012,0)))</f>
      </c>
      <c r="G310" s="30">
        <f>IF(298&gt;$E$8,"",IF(INDEX('CONTROLES'!$AG$13:$AG$1012,MATCH(298,'CONTROLES'!$AH$13:$AH$1012,0))=2,"ROJO","ÁMBAR"))</f>
      </c>
    </row>
    <row r="311" ht="22" customHeight="1">
      <c r="B311" s="30">
        <f>IF(299&gt;$E$8,"",INDEX('CONTROLES'!$AB$13:$AB$1012,MATCH(299,'CONTROLES'!$AH$13:$AH$1012,0)))</f>
      </c>
      <c r="C311" s="30">
        <f>IF(299&gt;$E$8,"",INDEX('CONTROLES'!$AC$13:$AC$1012,MATCH(299,'CONTROLES'!$AH$13:$AH$1012,0)))</f>
      </c>
      <c r="D311" s="30">
        <f>IF(299&gt;$E$8,"",INDEX('CONTROLES'!$AD$13:$AD$1012,MATCH(299,'CONTROLES'!$AH$13:$AH$1012,0)))</f>
      </c>
      <c r="E311" s="30">
        <f>IF(299&gt;$E$8,"",INDEX('CONTROLES'!$AE$13:$AE$1012,MATCH(299,'CONTROLES'!$AH$13:$AH$1012,0)))</f>
      </c>
      <c r="F311" s="30">
        <f>IF(299&gt;$E$8,"",INDEX('CONTROLES'!$AF$13:$AF$1012,MATCH(299,'CONTROLES'!$AH$13:$AH$1012,0)))</f>
      </c>
      <c r="G311" s="30">
        <f>IF(299&gt;$E$8,"",IF(INDEX('CONTROLES'!$AG$13:$AG$1012,MATCH(299,'CONTROLES'!$AH$13:$AH$1012,0))=2,"ROJO","ÁMBAR"))</f>
      </c>
    </row>
    <row r="312" ht="22" customHeight="1">
      <c r="B312" s="30">
        <f>IF(300&gt;$E$8,"",INDEX('CONTROLES'!$AB$13:$AB$1012,MATCH(300,'CONTROLES'!$AH$13:$AH$1012,0)))</f>
      </c>
      <c r="C312" s="30">
        <f>IF(300&gt;$E$8,"",INDEX('CONTROLES'!$AC$13:$AC$1012,MATCH(300,'CONTROLES'!$AH$13:$AH$1012,0)))</f>
      </c>
      <c r="D312" s="30">
        <f>IF(300&gt;$E$8,"",INDEX('CONTROLES'!$AD$13:$AD$1012,MATCH(300,'CONTROLES'!$AH$13:$AH$1012,0)))</f>
      </c>
      <c r="E312" s="30">
        <f>IF(300&gt;$E$8,"",INDEX('CONTROLES'!$AE$13:$AE$1012,MATCH(300,'CONTROLES'!$AH$13:$AH$1012,0)))</f>
      </c>
      <c r="F312" s="30">
        <f>IF(300&gt;$E$8,"",INDEX('CONTROLES'!$AF$13:$AF$1012,MATCH(300,'CONTROLES'!$AH$13:$AH$1012,0)))</f>
      </c>
      <c r="G312" s="30">
        <f>IF(300&gt;$E$8,"",IF(INDEX('CONTROLES'!$AG$13:$AG$1012,MATCH(300,'CONTROLES'!$AH$13:$AH$1012,0))=2,"ROJO","ÁMBAR"))</f>
      </c>
    </row>
    <row r="313" ht="22" customHeight="1">
      <c r="B313" s="30">
        <f>IF(301&gt;$E$8,"",INDEX('CONTROLES'!$AB$13:$AB$1012,MATCH(301,'CONTROLES'!$AH$13:$AH$1012,0)))</f>
      </c>
      <c r="C313" s="30">
        <f>IF(301&gt;$E$8,"",INDEX('CONTROLES'!$AC$13:$AC$1012,MATCH(301,'CONTROLES'!$AH$13:$AH$1012,0)))</f>
      </c>
      <c r="D313" s="30">
        <f>IF(301&gt;$E$8,"",INDEX('CONTROLES'!$AD$13:$AD$1012,MATCH(301,'CONTROLES'!$AH$13:$AH$1012,0)))</f>
      </c>
      <c r="E313" s="30">
        <f>IF(301&gt;$E$8,"",INDEX('CONTROLES'!$AE$13:$AE$1012,MATCH(301,'CONTROLES'!$AH$13:$AH$1012,0)))</f>
      </c>
      <c r="F313" s="30">
        <f>IF(301&gt;$E$8,"",INDEX('CONTROLES'!$AF$13:$AF$1012,MATCH(301,'CONTROLES'!$AH$13:$AH$1012,0)))</f>
      </c>
      <c r="G313" s="30">
        <f>IF(301&gt;$E$8,"",IF(INDEX('CONTROLES'!$AG$13:$AG$1012,MATCH(301,'CONTROLES'!$AH$13:$AH$1012,0))=2,"ROJO","ÁMBAR"))</f>
      </c>
    </row>
    <row r="314" ht="22" customHeight="1">
      <c r="B314" s="30">
        <f>IF(302&gt;$E$8,"",INDEX('CONTROLES'!$AB$13:$AB$1012,MATCH(302,'CONTROLES'!$AH$13:$AH$1012,0)))</f>
      </c>
      <c r="C314" s="30">
        <f>IF(302&gt;$E$8,"",INDEX('CONTROLES'!$AC$13:$AC$1012,MATCH(302,'CONTROLES'!$AH$13:$AH$1012,0)))</f>
      </c>
      <c r="D314" s="30">
        <f>IF(302&gt;$E$8,"",INDEX('CONTROLES'!$AD$13:$AD$1012,MATCH(302,'CONTROLES'!$AH$13:$AH$1012,0)))</f>
      </c>
      <c r="E314" s="30">
        <f>IF(302&gt;$E$8,"",INDEX('CONTROLES'!$AE$13:$AE$1012,MATCH(302,'CONTROLES'!$AH$13:$AH$1012,0)))</f>
      </c>
      <c r="F314" s="30">
        <f>IF(302&gt;$E$8,"",INDEX('CONTROLES'!$AF$13:$AF$1012,MATCH(302,'CONTROLES'!$AH$13:$AH$1012,0)))</f>
      </c>
      <c r="G314" s="30">
        <f>IF(302&gt;$E$8,"",IF(INDEX('CONTROLES'!$AG$13:$AG$1012,MATCH(302,'CONTROLES'!$AH$13:$AH$1012,0))=2,"ROJO","ÁMBAR"))</f>
      </c>
    </row>
    <row r="315" ht="22" customHeight="1">
      <c r="B315" s="30">
        <f>IF(303&gt;$E$8,"",INDEX('CONTROLES'!$AB$13:$AB$1012,MATCH(303,'CONTROLES'!$AH$13:$AH$1012,0)))</f>
      </c>
      <c r="C315" s="30">
        <f>IF(303&gt;$E$8,"",INDEX('CONTROLES'!$AC$13:$AC$1012,MATCH(303,'CONTROLES'!$AH$13:$AH$1012,0)))</f>
      </c>
      <c r="D315" s="30">
        <f>IF(303&gt;$E$8,"",INDEX('CONTROLES'!$AD$13:$AD$1012,MATCH(303,'CONTROLES'!$AH$13:$AH$1012,0)))</f>
      </c>
      <c r="E315" s="30">
        <f>IF(303&gt;$E$8,"",INDEX('CONTROLES'!$AE$13:$AE$1012,MATCH(303,'CONTROLES'!$AH$13:$AH$1012,0)))</f>
      </c>
      <c r="F315" s="30">
        <f>IF(303&gt;$E$8,"",INDEX('CONTROLES'!$AF$13:$AF$1012,MATCH(303,'CONTROLES'!$AH$13:$AH$1012,0)))</f>
      </c>
      <c r="G315" s="30">
        <f>IF(303&gt;$E$8,"",IF(INDEX('CONTROLES'!$AG$13:$AG$1012,MATCH(303,'CONTROLES'!$AH$13:$AH$1012,0))=2,"ROJO","ÁMBAR"))</f>
      </c>
    </row>
    <row r="316" ht="22" customHeight="1">
      <c r="B316" s="30">
        <f>IF(304&gt;$E$8,"",INDEX('CONTROLES'!$AB$13:$AB$1012,MATCH(304,'CONTROLES'!$AH$13:$AH$1012,0)))</f>
      </c>
      <c r="C316" s="30">
        <f>IF(304&gt;$E$8,"",INDEX('CONTROLES'!$AC$13:$AC$1012,MATCH(304,'CONTROLES'!$AH$13:$AH$1012,0)))</f>
      </c>
      <c r="D316" s="30">
        <f>IF(304&gt;$E$8,"",INDEX('CONTROLES'!$AD$13:$AD$1012,MATCH(304,'CONTROLES'!$AH$13:$AH$1012,0)))</f>
      </c>
      <c r="E316" s="30">
        <f>IF(304&gt;$E$8,"",INDEX('CONTROLES'!$AE$13:$AE$1012,MATCH(304,'CONTROLES'!$AH$13:$AH$1012,0)))</f>
      </c>
      <c r="F316" s="30">
        <f>IF(304&gt;$E$8,"",INDEX('CONTROLES'!$AF$13:$AF$1012,MATCH(304,'CONTROLES'!$AH$13:$AH$1012,0)))</f>
      </c>
      <c r="G316" s="30">
        <f>IF(304&gt;$E$8,"",IF(INDEX('CONTROLES'!$AG$13:$AG$1012,MATCH(304,'CONTROLES'!$AH$13:$AH$1012,0))=2,"ROJO","ÁMBAR"))</f>
      </c>
    </row>
    <row r="317" ht="22" customHeight="1">
      <c r="B317" s="30">
        <f>IF(305&gt;$E$8,"",INDEX('CONTROLES'!$AB$13:$AB$1012,MATCH(305,'CONTROLES'!$AH$13:$AH$1012,0)))</f>
      </c>
      <c r="C317" s="30">
        <f>IF(305&gt;$E$8,"",INDEX('CONTROLES'!$AC$13:$AC$1012,MATCH(305,'CONTROLES'!$AH$13:$AH$1012,0)))</f>
      </c>
      <c r="D317" s="30">
        <f>IF(305&gt;$E$8,"",INDEX('CONTROLES'!$AD$13:$AD$1012,MATCH(305,'CONTROLES'!$AH$13:$AH$1012,0)))</f>
      </c>
      <c r="E317" s="30">
        <f>IF(305&gt;$E$8,"",INDEX('CONTROLES'!$AE$13:$AE$1012,MATCH(305,'CONTROLES'!$AH$13:$AH$1012,0)))</f>
      </c>
      <c r="F317" s="30">
        <f>IF(305&gt;$E$8,"",INDEX('CONTROLES'!$AF$13:$AF$1012,MATCH(305,'CONTROLES'!$AH$13:$AH$1012,0)))</f>
      </c>
      <c r="G317" s="30">
        <f>IF(305&gt;$E$8,"",IF(INDEX('CONTROLES'!$AG$13:$AG$1012,MATCH(305,'CONTROLES'!$AH$13:$AH$1012,0))=2,"ROJO","ÁMBAR"))</f>
      </c>
    </row>
    <row r="318" ht="22" customHeight="1">
      <c r="B318" s="30">
        <f>IF(306&gt;$E$8,"",INDEX('CONTROLES'!$AB$13:$AB$1012,MATCH(306,'CONTROLES'!$AH$13:$AH$1012,0)))</f>
      </c>
      <c r="C318" s="30">
        <f>IF(306&gt;$E$8,"",INDEX('CONTROLES'!$AC$13:$AC$1012,MATCH(306,'CONTROLES'!$AH$13:$AH$1012,0)))</f>
      </c>
      <c r="D318" s="30">
        <f>IF(306&gt;$E$8,"",INDEX('CONTROLES'!$AD$13:$AD$1012,MATCH(306,'CONTROLES'!$AH$13:$AH$1012,0)))</f>
      </c>
      <c r="E318" s="30">
        <f>IF(306&gt;$E$8,"",INDEX('CONTROLES'!$AE$13:$AE$1012,MATCH(306,'CONTROLES'!$AH$13:$AH$1012,0)))</f>
      </c>
      <c r="F318" s="30">
        <f>IF(306&gt;$E$8,"",INDEX('CONTROLES'!$AF$13:$AF$1012,MATCH(306,'CONTROLES'!$AH$13:$AH$1012,0)))</f>
      </c>
      <c r="G318" s="30">
        <f>IF(306&gt;$E$8,"",IF(INDEX('CONTROLES'!$AG$13:$AG$1012,MATCH(306,'CONTROLES'!$AH$13:$AH$1012,0))=2,"ROJO","ÁMBAR"))</f>
      </c>
    </row>
    <row r="319" ht="22" customHeight="1">
      <c r="B319" s="30">
        <f>IF(307&gt;$E$8,"",INDEX('CONTROLES'!$AB$13:$AB$1012,MATCH(307,'CONTROLES'!$AH$13:$AH$1012,0)))</f>
      </c>
      <c r="C319" s="30">
        <f>IF(307&gt;$E$8,"",INDEX('CONTROLES'!$AC$13:$AC$1012,MATCH(307,'CONTROLES'!$AH$13:$AH$1012,0)))</f>
      </c>
      <c r="D319" s="30">
        <f>IF(307&gt;$E$8,"",INDEX('CONTROLES'!$AD$13:$AD$1012,MATCH(307,'CONTROLES'!$AH$13:$AH$1012,0)))</f>
      </c>
      <c r="E319" s="30">
        <f>IF(307&gt;$E$8,"",INDEX('CONTROLES'!$AE$13:$AE$1012,MATCH(307,'CONTROLES'!$AH$13:$AH$1012,0)))</f>
      </c>
      <c r="F319" s="30">
        <f>IF(307&gt;$E$8,"",INDEX('CONTROLES'!$AF$13:$AF$1012,MATCH(307,'CONTROLES'!$AH$13:$AH$1012,0)))</f>
      </c>
      <c r="G319" s="30">
        <f>IF(307&gt;$E$8,"",IF(INDEX('CONTROLES'!$AG$13:$AG$1012,MATCH(307,'CONTROLES'!$AH$13:$AH$1012,0))=2,"ROJO","ÁMBAR"))</f>
      </c>
    </row>
    <row r="320" ht="22" customHeight="1">
      <c r="B320" s="30">
        <f>IF(308&gt;$E$8,"",INDEX('CONTROLES'!$AB$13:$AB$1012,MATCH(308,'CONTROLES'!$AH$13:$AH$1012,0)))</f>
      </c>
      <c r="C320" s="30">
        <f>IF(308&gt;$E$8,"",INDEX('CONTROLES'!$AC$13:$AC$1012,MATCH(308,'CONTROLES'!$AH$13:$AH$1012,0)))</f>
      </c>
      <c r="D320" s="30">
        <f>IF(308&gt;$E$8,"",INDEX('CONTROLES'!$AD$13:$AD$1012,MATCH(308,'CONTROLES'!$AH$13:$AH$1012,0)))</f>
      </c>
      <c r="E320" s="30">
        <f>IF(308&gt;$E$8,"",INDEX('CONTROLES'!$AE$13:$AE$1012,MATCH(308,'CONTROLES'!$AH$13:$AH$1012,0)))</f>
      </c>
      <c r="F320" s="30">
        <f>IF(308&gt;$E$8,"",INDEX('CONTROLES'!$AF$13:$AF$1012,MATCH(308,'CONTROLES'!$AH$13:$AH$1012,0)))</f>
      </c>
      <c r="G320" s="30">
        <f>IF(308&gt;$E$8,"",IF(INDEX('CONTROLES'!$AG$13:$AG$1012,MATCH(308,'CONTROLES'!$AH$13:$AH$1012,0))=2,"ROJO","ÁMBAR"))</f>
      </c>
    </row>
    <row r="321" ht="22" customHeight="1">
      <c r="B321" s="30">
        <f>IF(309&gt;$E$8,"",INDEX('CONTROLES'!$AB$13:$AB$1012,MATCH(309,'CONTROLES'!$AH$13:$AH$1012,0)))</f>
      </c>
      <c r="C321" s="30">
        <f>IF(309&gt;$E$8,"",INDEX('CONTROLES'!$AC$13:$AC$1012,MATCH(309,'CONTROLES'!$AH$13:$AH$1012,0)))</f>
      </c>
      <c r="D321" s="30">
        <f>IF(309&gt;$E$8,"",INDEX('CONTROLES'!$AD$13:$AD$1012,MATCH(309,'CONTROLES'!$AH$13:$AH$1012,0)))</f>
      </c>
      <c r="E321" s="30">
        <f>IF(309&gt;$E$8,"",INDEX('CONTROLES'!$AE$13:$AE$1012,MATCH(309,'CONTROLES'!$AH$13:$AH$1012,0)))</f>
      </c>
      <c r="F321" s="30">
        <f>IF(309&gt;$E$8,"",INDEX('CONTROLES'!$AF$13:$AF$1012,MATCH(309,'CONTROLES'!$AH$13:$AH$1012,0)))</f>
      </c>
      <c r="G321" s="30">
        <f>IF(309&gt;$E$8,"",IF(INDEX('CONTROLES'!$AG$13:$AG$1012,MATCH(309,'CONTROLES'!$AH$13:$AH$1012,0))=2,"ROJO","ÁMBAR"))</f>
      </c>
    </row>
    <row r="322" ht="22" customHeight="1">
      <c r="B322" s="30">
        <f>IF(310&gt;$E$8,"",INDEX('CONTROLES'!$AB$13:$AB$1012,MATCH(310,'CONTROLES'!$AH$13:$AH$1012,0)))</f>
      </c>
      <c r="C322" s="30">
        <f>IF(310&gt;$E$8,"",INDEX('CONTROLES'!$AC$13:$AC$1012,MATCH(310,'CONTROLES'!$AH$13:$AH$1012,0)))</f>
      </c>
      <c r="D322" s="30">
        <f>IF(310&gt;$E$8,"",INDEX('CONTROLES'!$AD$13:$AD$1012,MATCH(310,'CONTROLES'!$AH$13:$AH$1012,0)))</f>
      </c>
      <c r="E322" s="30">
        <f>IF(310&gt;$E$8,"",INDEX('CONTROLES'!$AE$13:$AE$1012,MATCH(310,'CONTROLES'!$AH$13:$AH$1012,0)))</f>
      </c>
      <c r="F322" s="30">
        <f>IF(310&gt;$E$8,"",INDEX('CONTROLES'!$AF$13:$AF$1012,MATCH(310,'CONTROLES'!$AH$13:$AH$1012,0)))</f>
      </c>
      <c r="G322" s="30">
        <f>IF(310&gt;$E$8,"",IF(INDEX('CONTROLES'!$AG$13:$AG$1012,MATCH(310,'CONTROLES'!$AH$13:$AH$1012,0))=2,"ROJO","ÁMBAR"))</f>
      </c>
    </row>
    <row r="323" ht="22" customHeight="1">
      <c r="B323" s="30">
        <f>IF(311&gt;$E$8,"",INDEX('CONTROLES'!$AB$13:$AB$1012,MATCH(311,'CONTROLES'!$AH$13:$AH$1012,0)))</f>
      </c>
      <c r="C323" s="30">
        <f>IF(311&gt;$E$8,"",INDEX('CONTROLES'!$AC$13:$AC$1012,MATCH(311,'CONTROLES'!$AH$13:$AH$1012,0)))</f>
      </c>
      <c r="D323" s="30">
        <f>IF(311&gt;$E$8,"",INDEX('CONTROLES'!$AD$13:$AD$1012,MATCH(311,'CONTROLES'!$AH$13:$AH$1012,0)))</f>
      </c>
      <c r="E323" s="30">
        <f>IF(311&gt;$E$8,"",INDEX('CONTROLES'!$AE$13:$AE$1012,MATCH(311,'CONTROLES'!$AH$13:$AH$1012,0)))</f>
      </c>
      <c r="F323" s="30">
        <f>IF(311&gt;$E$8,"",INDEX('CONTROLES'!$AF$13:$AF$1012,MATCH(311,'CONTROLES'!$AH$13:$AH$1012,0)))</f>
      </c>
      <c r="G323" s="30">
        <f>IF(311&gt;$E$8,"",IF(INDEX('CONTROLES'!$AG$13:$AG$1012,MATCH(311,'CONTROLES'!$AH$13:$AH$1012,0))=2,"ROJO","ÁMBAR"))</f>
      </c>
    </row>
    <row r="324" ht="22" customHeight="1">
      <c r="B324" s="30">
        <f>IF(312&gt;$E$8,"",INDEX('CONTROLES'!$AB$13:$AB$1012,MATCH(312,'CONTROLES'!$AH$13:$AH$1012,0)))</f>
      </c>
      <c r="C324" s="30">
        <f>IF(312&gt;$E$8,"",INDEX('CONTROLES'!$AC$13:$AC$1012,MATCH(312,'CONTROLES'!$AH$13:$AH$1012,0)))</f>
      </c>
      <c r="D324" s="30">
        <f>IF(312&gt;$E$8,"",INDEX('CONTROLES'!$AD$13:$AD$1012,MATCH(312,'CONTROLES'!$AH$13:$AH$1012,0)))</f>
      </c>
      <c r="E324" s="30">
        <f>IF(312&gt;$E$8,"",INDEX('CONTROLES'!$AE$13:$AE$1012,MATCH(312,'CONTROLES'!$AH$13:$AH$1012,0)))</f>
      </c>
      <c r="F324" s="30">
        <f>IF(312&gt;$E$8,"",INDEX('CONTROLES'!$AF$13:$AF$1012,MATCH(312,'CONTROLES'!$AH$13:$AH$1012,0)))</f>
      </c>
      <c r="G324" s="30">
        <f>IF(312&gt;$E$8,"",IF(INDEX('CONTROLES'!$AG$13:$AG$1012,MATCH(312,'CONTROLES'!$AH$13:$AH$1012,0))=2,"ROJO","ÁMBAR"))</f>
      </c>
    </row>
    <row r="325" ht="22" customHeight="1">
      <c r="B325" s="30">
        <f>IF(313&gt;$E$8,"",INDEX('CONTROLES'!$AB$13:$AB$1012,MATCH(313,'CONTROLES'!$AH$13:$AH$1012,0)))</f>
      </c>
      <c r="C325" s="30">
        <f>IF(313&gt;$E$8,"",INDEX('CONTROLES'!$AC$13:$AC$1012,MATCH(313,'CONTROLES'!$AH$13:$AH$1012,0)))</f>
      </c>
      <c r="D325" s="30">
        <f>IF(313&gt;$E$8,"",INDEX('CONTROLES'!$AD$13:$AD$1012,MATCH(313,'CONTROLES'!$AH$13:$AH$1012,0)))</f>
      </c>
      <c r="E325" s="30">
        <f>IF(313&gt;$E$8,"",INDEX('CONTROLES'!$AE$13:$AE$1012,MATCH(313,'CONTROLES'!$AH$13:$AH$1012,0)))</f>
      </c>
      <c r="F325" s="30">
        <f>IF(313&gt;$E$8,"",INDEX('CONTROLES'!$AF$13:$AF$1012,MATCH(313,'CONTROLES'!$AH$13:$AH$1012,0)))</f>
      </c>
      <c r="G325" s="30">
        <f>IF(313&gt;$E$8,"",IF(INDEX('CONTROLES'!$AG$13:$AG$1012,MATCH(313,'CONTROLES'!$AH$13:$AH$1012,0))=2,"ROJO","ÁMBAR"))</f>
      </c>
    </row>
    <row r="326" ht="22" customHeight="1">
      <c r="B326" s="30">
        <f>IF(314&gt;$E$8,"",INDEX('CONTROLES'!$AB$13:$AB$1012,MATCH(314,'CONTROLES'!$AH$13:$AH$1012,0)))</f>
      </c>
      <c r="C326" s="30">
        <f>IF(314&gt;$E$8,"",INDEX('CONTROLES'!$AC$13:$AC$1012,MATCH(314,'CONTROLES'!$AH$13:$AH$1012,0)))</f>
      </c>
      <c r="D326" s="30">
        <f>IF(314&gt;$E$8,"",INDEX('CONTROLES'!$AD$13:$AD$1012,MATCH(314,'CONTROLES'!$AH$13:$AH$1012,0)))</f>
      </c>
      <c r="E326" s="30">
        <f>IF(314&gt;$E$8,"",INDEX('CONTROLES'!$AE$13:$AE$1012,MATCH(314,'CONTROLES'!$AH$13:$AH$1012,0)))</f>
      </c>
      <c r="F326" s="30">
        <f>IF(314&gt;$E$8,"",INDEX('CONTROLES'!$AF$13:$AF$1012,MATCH(314,'CONTROLES'!$AH$13:$AH$1012,0)))</f>
      </c>
      <c r="G326" s="30">
        <f>IF(314&gt;$E$8,"",IF(INDEX('CONTROLES'!$AG$13:$AG$1012,MATCH(314,'CONTROLES'!$AH$13:$AH$1012,0))=2,"ROJO","ÁMBAR"))</f>
      </c>
    </row>
    <row r="327" ht="22" customHeight="1">
      <c r="B327" s="30">
        <f>IF(315&gt;$E$8,"",INDEX('CONTROLES'!$AB$13:$AB$1012,MATCH(315,'CONTROLES'!$AH$13:$AH$1012,0)))</f>
      </c>
      <c r="C327" s="30">
        <f>IF(315&gt;$E$8,"",INDEX('CONTROLES'!$AC$13:$AC$1012,MATCH(315,'CONTROLES'!$AH$13:$AH$1012,0)))</f>
      </c>
      <c r="D327" s="30">
        <f>IF(315&gt;$E$8,"",INDEX('CONTROLES'!$AD$13:$AD$1012,MATCH(315,'CONTROLES'!$AH$13:$AH$1012,0)))</f>
      </c>
      <c r="E327" s="30">
        <f>IF(315&gt;$E$8,"",INDEX('CONTROLES'!$AE$13:$AE$1012,MATCH(315,'CONTROLES'!$AH$13:$AH$1012,0)))</f>
      </c>
      <c r="F327" s="30">
        <f>IF(315&gt;$E$8,"",INDEX('CONTROLES'!$AF$13:$AF$1012,MATCH(315,'CONTROLES'!$AH$13:$AH$1012,0)))</f>
      </c>
      <c r="G327" s="30">
        <f>IF(315&gt;$E$8,"",IF(INDEX('CONTROLES'!$AG$13:$AG$1012,MATCH(315,'CONTROLES'!$AH$13:$AH$1012,0))=2,"ROJO","ÁMBAR"))</f>
      </c>
    </row>
    <row r="328" ht="22" customHeight="1">
      <c r="B328" s="30">
        <f>IF(316&gt;$E$8,"",INDEX('CONTROLES'!$AB$13:$AB$1012,MATCH(316,'CONTROLES'!$AH$13:$AH$1012,0)))</f>
      </c>
      <c r="C328" s="30">
        <f>IF(316&gt;$E$8,"",INDEX('CONTROLES'!$AC$13:$AC$1012,MATCH(316,'CONTROLES'!$AH$13:$AH$1012,0)))</f>
      </c>
      <c r="D328" s="30">
        <f>IF(316&gt;$E$8,"",INDEX('CONTROLES'!$AD$13:$AD$1012,MATCH(316,'CONTROLES'!$AH$13:$AH$1012,0)))</f>
      </c>
      <c r="E328" s="30">
        <f>IF(316&gt;$E$8,"",INDEX('CONTROLES'!$AE$13:$AE$1012,MATCH(316,'CONTROLES'!$AH$13:$AH$1012,0)))</f>
      </c>
      <c r="F328" s="30">
        <f>IF(316&gt;$E$8,"",INDEX('CONTROLES'!$AF$13:$AF$1012,MATCH(316,'CONTROLES'!$AH$13:$AH$1012,0)))</f>
      </c>
      <c r="G328" s="30">
        <f>IF(316&gt;$E$8,"",IF(INDEX('CONTROLES'!$AG$13:$AG$1012,MATCH(316,'CONTROLES'!$AH$13:$AH$1012,0))=2,"ROJO","ÁMBAR"))</f>
      </c>
    </row>
    <row r="329" ht="22" customHeight="1">
      <c r="B329" s="30">
        <f>IF(317&gt;$E$8,"",INDEX('CONTROLES'!$AB$13:$AB$1012,MATCH(317,'CONTROLES'!$AH$13:$AH$1012,0)))</f>
      </c>
      <c r="C329" s="30">
        <f>IF(317&gt;$E$8,"",INDEX('CONTROLES'!$AC$13:$AC$1012,MATCH(317,'CONTROLES'!$AH$13:$AH$1012,0)))</f>
      </c>
      <c r="D329" s="30">
        <f>IF(317&gt;$E$8,"",INDEX('CONTROLES'!$AD$13:$AD$1012,MATCH(317,'CONTROLES'!$AH$13:$AH$1012,0)))</f>
      </c>
      <c r="E329" s="30">
        <f>IF(317&gt;$E$8,"",INDEX('CONTROLES'!$AE$13:$AE$1012,MATCH(317,'CONTROLES'!$AH$13:$AH$1012,0)))</f>
      </c>
      <c r="F329" s="30">
        <f>IF(317&gt;$E$8,"",INDEX('CONTROLES'!$AF$13:$AF$1012,MATCH(317,'CONTROLES'!$AH$13:$AH$1012,0)))</f>
      </c>
      <c r="G329" s="30">
        <f>IF(317&gt;$E$8,"",IF(INDEX('CONTROLES'!$AG$13:$AG$1012,MATCH(317,'CONTROLES'!$AH$13:$AH$1012,0))=2,"ROJO","ÁMBAR"))</f>
      </c>
    </row>
    <row r="330" ht="22" customHeight="1">
      <c r="B330" s="30">
        <f>IF(318&gt;$E$8,"",INDEX('CONTROLES'!$AB$13:$AB$1012,MATCH(318,'CONTROLES'!$AH$13:$AH$1012,0)))</f>
      </c>
      <c r="C330" s="30">
        <f>IF(318&gt;$E$8,"",INDEX('CONTROLES'!$AC$13:$AC$1012,MATCH(318,'CONTROLES'!$AH$13:$AH$1012,0)))</f>
      </c>
      <c r="D330" s="30">
        <f>IF(318&gt;$E$8,"",INDEX('CONTROLES'!$AD$13:$AD$1012,MATCH(318,'CONTROLES'!$AH$13:$AH$1012,0)))</f>
      </c>
      <c r="E330" s="30">
        <f>IF(318&gt;$E$8,"",INDEX('CONTROLES'!$AE$13:$AE$1012,MATCH(318,'CONTROLES'!$AH$13:$AH$1012,0)))</f>
      </c>
      <c r="F330" s="30">
        <f>IF(318&gt;$E$8,"",INDEX('CONTROLES'!$AF$13:$AF$1012,MATCH(318,'CONTROLES'!$AH$13:$AH$1012,0)))</f>
      </c>
      <c r="G330" s="30">
        <f>IF(318&gt;$E$8,"",IF(INDEX('CONTROLES'!$AG$13:$AG$1012,MATCH(318,'CONTROLES'!$AH$13:$AH$1012,0))=2,"ROJO","ÁMBAR"))</f>
      </c>
    </row>
    <row r="331" ht="22" customHeight="1">
      <c r="B331" s="30">
        <f>IF(319&gt;$E$8,"",INDEX('CONTROLES'!$AB$13:$AB$1012,MATCH(319,'CONTROLES'!$AH$13:$AH$1012,0)))</f>
      </c>
      <c r="C331" s="30">
        <f>IF(319&gt;$E$8,"",INDEX('CONTROLES'!$AC$13:$AC$1012,MATCH(319,'CONTROLES'!$AH$13:$AH$1012,0)))</f>
      </c>
      <c r="D331" s="30">
        <f>IF(319&gt;$E$8,"",INDEX('CONTROLES'!$AD$13:$AD$1012,MATCH(319,'CONTROLES'!$AH$13:$AH$1012,0)))</f>
      </c>
      <c r="E331" s="30">
        <f>IF(319&gt;$E$8,"",INDEX('CONTROLES'!$AE$13:$AE$1012,MATCH(319,'CONTROLES'!$AH$13:$AH$1012,0)))</f>
      </c>
      <c r="F331" s="30">
        <f>IF(319&gt;$E$8,"",INDEX('CONTROLES'!$AF$13:$AF$1012,MATCH(319,'CONTROLES'!$AH$13:$AH$1012,0)))</f>
      </c>
      <c r="G331" s="30">
        <f>IF(319&gt;$E$8,"",IF(INDEX('CONTROLES'!$AG$13:$AG$1012,MATCH(319,'CONTROLES'!$AH$13:$AH$1012,0))=2,"ROJO","ÁMBAR"))</f>
      </c>
    </row>
    <row r="332" ht="22" customHeight="1">
      <c r="B332" s="30">
        <f>IF(320&gt;$E$8,"",INDEX('CONTROLES'!$AB$13:$AB$1012,MATCH(320,'CONTROLES'!$AH$13:$AH$1012,0)))</f>
      </c>
      <c r="C332" s="30">
        <f>IF(320&gt;$E$8,"",INDEX('CONTROLES'!$AC$13:$AC$1012,MATCH(320,'CONTROLES'!$AH$13:$AH$1012,0)))</f>
      </c>
      <c r="D332" s="30">
        <f>IF(320&gt;$E$8,"",INDEX('CONTROLES'!$AD$13:$AD$1012,MATCH(320,'CONTROLES'!$AH$13:$AH$1012,0)))</f>
      </c>
      <c r="E332" s="30">
        <f>IF(320&gt;$E$8,"",INDEX('CONTROLES'!$AE$13:$AE$1012,MATCH(320,'CONTROLES'!$AH$13:$AH$1012,0)))</f>
      </c>
      <c r="F332" s="30">
        <f>IF(320&gt;$E$8,"",INDEX('CONTROLES'!$AF$13:$AF$1012,MATCH(320,'CONTROLES'!$AH$13:$AH$1012,0)))</f>
      </c>
      <c r="G332" s="30">
        <f>IF(320&gt;$E$8,"",IF(INDEX('CONTROLES'!$AG$13:$AG$1012,MATCH(320,'CONTROLES'!$AH$13:$AH$1012,0))=2,"ROJO","ÁMBAR"))</f>
      </c>
    </row>
    <row r="333" ht="22" customHeight="1">
      <c r="B333" s="30">
        <f>IF(321&gt;$E$8,"",INDEX('CONTROLES'!$AB$13:$AB$1012,MATCH(321,'CONTROLES'!$AH$13:$AH$1012,0)))</f>
      </c>
      <c r="C333" s="30">
        <f>IF(321&gt;$E$8,"",INDEX('CONTROLES'!$AC$13:$AC$1012,MATCH(321,'CONTROLES'!$AH$13:$AH$1012,0)))</f>
      </c>
      <c r="D333" s="30">
        <f>IF(321&gt;$E$8,"",INDEX('CONTROLES'!$AD$13:$AD$1012,MATCH(321,'CONTROLES'!$AH$13:$AH$1012,0)))</f>
      </c>
      <c r="E333" s="30">
        <f>IF(321&gt;$E$8,"",INDEX('CONTROLES'!$AE$13:$AE$1012,MATCH(321,'CONTROLES'!$AH$13:$AH$1012,0)))</f>
      </c>
      <c r="F333" s="30">
        <f>IF(321&gt;$E$8,"",INDEX('CONTROLES'!$AF$13:$AF$1012,MATCH(321,'CONTROLES'!$AH$13:$AH$1012,0)))</f>
      </c>
      <c r="G333" s="30">
        <f>IF(321&gt;$E$8,"",IF(INDEX('CONTROLES'!$AG$13:$AG$1012,MATCH(321,'CONTROLES'!$AH$13:$AH$1012,0))=2,"ROJO","ÁMBAR"))</f>
      </c>
    </row>
    <row r="334" ht="22" customHeight="1">
      <c r="B334" s="30">
        <f>IF(322&gt;$E$8,"",INDEX('CONTROLES'!$AB$13:$AB$1012,MATCH(322,'CONTROLES'!$AH$13:$AH$1012,0)))</f>
      </c>
      <c r="C334" s="30">
        <f>IF(322&gt;$E$8,"",INDEX('CONTROLES'!$AC$13:$AC$1012,MATCH(322,'CONTROLES'!$AH$13:$AH$1012,0)))</f>
      </c>
      <c r="D334" s="30">
        <f>IF(322&gt;$E$8,"",INDEX('CONTROLES'!$AD$13:$AD$1012,MATCH(322,'CONTROLES'!$AH$13:$AH$1012,0)))</f>
      </c>
      <c r="E334" s="30">
        <f>IF(322&gt;$E$8,"",INDEX('CONTROLES'!$AE$13:$AE$1012,MATCH(322,'CONTROLES'!$AH$13:$AH$1012,0)))</f>
      </c>
      <c r="F334" s="30">
        <f>IF(322&gt;$E$8,"",INDEX('CONTROLES'!$AF$13:$AF$1012,MATCH(322,'CONTROLES'!$AH$13:$AH$1012,0)))</f>
      </c>
      <c r="G334" s="30">
        <f>IF(322&gt;$E$8,"",IF(INDEX('CONTROLES'!$AG$13:$AG$1012,MATCH(322,'CONTROLES'!$AH$13:$AH$1012,0))=2,"ROJO","ÁMBAR"))</f>
      </c>
    </row>
    <row r="335" ht="22" customHeight="1">
      <c r="B335" s="30">
        <f>IF(323&gt;$E$8,"",INDEX('CONTROLES'!$AB$13:$AB$1012,MATCH(323,'CONTROLES'!$AH$13:$AH$1012,0)))</f>
      </c>
      <c r="C335" s="30">
        <f>IF(323&gt;$E$8,"",INDEX('CONTROLES'!$AC$13:$AC$1012,MATCH(323,'CONTROLES'!$AH$13:$AH$1012,0)))</f>
      </c>
      <c r="D335" s="30">
        <f>IF(323&gt;$E$8,"",INDEX('CONTROLES'!$AD$13:$AD$1012,MATCH(323,'CONTROLES'!$AH$13:$AH$1012,0)))</f>
      </c>
      <c r="E335" s="30">
        <f>IF(323&gt;$E$8,"",INDEX('CONTROLES'!$AE$13:$AE$1012,MATCH(323,'CONTROLES'!$AH$13:$AH$1012,0)))</f>
      </c>
      <c r="F335" s="30">
        <f>IF(323&gt;$E$8,"",INDEX('CONTROLES'!$AF$13:$AF$1012,MATCH(323,'CONTROLES'!$AH$13:$AH$1012,0)))</f>
      </c>
      <c r="G335" s="30">
        <f>IF(323&gt;$E$8,"",IF(INDEX('CONTROLES'!$AG$13:$AG$1012,MATCH(323,'CONTROLES'!$AH$13:$AH$1012,0))=2,"ROJO","ÁMBAR"))</f>
      </c>
    </row>
    <row r="336" ht="22" customHeight="1">
      <c r="B336" s="30">
        <f>IF(324&gt;$E$8,"",INDEX('CONTROLES'!$AB$13:$AB$1012,MATCH(324,'CONTROLES'!$AH$13:$AH$1012,0)))</f>
      </c>
      <c r="C336" s="30">
        <f>IF(324&gt;$E$8,"",INDEX('CONTROLES'!$AC$13:$AC$1012,MATCH(324,'CONTROLES'!$AH$13:$AH$1012,0)))</f>
      </c>
      <c r="D336" s="30">
        <f>IF(324&gt;$E$8,"",INDEX('CONTROLES'!$AD$13:$AD$1012,MATCH(324,'CONTROLES'!$AH$13:$AH$1012,0)))</f>
      </c>
      <c r="E336" s="30">
        <f>IF(324&gt;$E$8,"",INDEX('CONTROLES'!$AE$13:$AE$1012,MATCH(324,'CONTROLES'!$AH$13:$AH$1012,0)))</f>
      </c>
      <c r="F336" s="30">
        <f>IF(324&gt;$E$8,"",INDEX('CONTROLES'!$AF$13:$AF$1012,MATCH(324,'CONTROLES'!$AH$13:$AH$1012,0)))</f>
      </c>
      <c r="G336" s="30">
        <f>IF(324&gt;$E$8,"",IF(INDEX('CONTROLES'!$AG$13:$AG$1012,MATCH(324,'CONTROLES'!$AH$13:$AH$1012,0))=2,"ROJO","ÁMBAR"))</f>
      </c>
    </row>
    <row r="337" ht="22" customHeight="1">
      <c r="B337" s="30">
        <f>IF(325&gt;$E$8,"",INDEX('CONTROLES'!$AB$13:$AB$1012,MATCH(325,'CONTROLES'!$AH$13:$AH$1012,0)))</f>
      </c>
      <c r="C337" s="30">
        <f>IF(325&gt;$E$8,"",INDEX('CONTROLES'!$AC$13:$AC$1012,MATCH(325,'CONTROLES'!$AH$13:$AH$1012,0)))</f>
      </c>
      <c r="D337" s="30">
        <f>IF(325&gt;$E$8,"",INDEX('CONTROLES'!$AD$13:$AD$1012,MATCH(325,'CONTROLES'!$AH$13:$AH$1012,0)))</f>
      </c>
      <c r="E337" s="30">
        <f>IF(325&gt;$E$8,"",INDEX('CONTROLES'!$AE$13:$AE$1012,MATCH(325,'CONTROLES'!$AH$13:$AH$1012,0)))</f>
      </c>
      <c r="F337" s="30">
        <f>IF(325&gt;$E$8,"",INDEX('CONTROLES'!$AF$13:$AF$1012,MATCH(325,'CONTROLES'!$AH$13:$AH$1012,0)))</f>
      </c>
      <c r="G337" s="30">
        <f>IF(325&gt;$E$8,"",IF(INDEX('CONTROLES'!$AG$13:$AG$1012,MATCH(325,'CONTROLES'!$AH$13:$AH$1012,0))=2,"ROJO","ÁMBAR"))</f>
      </c>
    </row>
    <row r="338" ht="22" customHeight="1">
      <c r="B338" s="30">
        <f>IF(326&gt;$E$8,"",INDEX('CONTROLES'!$AB$13:$AB$1012,MATCH(326,'CONTROLES'!$AH$13:$AH$1012,0)))</f>
      </c>
      <c r="C338" s="30">
        <f>IF(326&gt;$E$8,"",INDEX('CONTROLES'!$AC$13:$AC$1012,MATCH(326,'CONTROLES'!$AH$13:$AH$1012,0)))</f>
      </c>
      <c r="D338" s="30">
        <f>IF(326&gt;$E$8,"",INDEX('CONTROLES'!$AD$13:$AD$1012,MATCH(326,'CONTROLES'!$AH$13:$AH$1012,0)))</f>
      </c>
      <c r="E338" s="30">
        <f>IF(326&gt;$E$8,"",INDEX('CONTROLES'!$AE$13:$AE$1012,MATCH(326,'CONTROLES'!$AH$13:$AH$1012,0)))</f>
      </c>
      <c r="F338" s="30">
        <f>IF(326&gt;$E$8,"",INDEX('CONTROLES'!$AF$13:$AF$1012,MATCH(326,'CONTROLES'!$AH$13:$AH$1012,0)))</f>
      </c>
      <c r="G338" s="30">
        <f>IF(326&gt;$E$8,"",IF(INDEX('CONTROLES'!$AG$13:$AG$1012,MATCH(326,'CONTROLES'!$AH$13:$AH$1012,0))=2,"ROJO","ÁMBAR"))</f>
      </c>
    </row>
    <row r="339" ht="22" customHeight="1">
      <c r="B339" s="30">
        <f>IF(327&gt;$E$8,"",INDEX('CONTROLES'!$AB$13:$AB$1012,MATCH(327,'CONTROLES'!$AH$13:$AH$1012,0)))</f>
      </c>
      <c r="C339" s="30">
        <f>IF(327&gt;$E$8,"",INDEX('CONTROLES'!$AC$13:$AC$1012,MATCH(327,'CONTROLES'!$AH$13:$AH$1012,0)))</f>
      </c>
      <c r="D339" s="30">
        <f>IF(327&gt;$E$8,"",INDEX('CONTROLES'!$AD$13:$AD$1012,MATCH(327,'CONTROLES'!$AH$13:$AH$1012,0)))</f>
      </c>
      <c r="E339" s="30">
        <f>IF(327&gt;$E$8,"",INDEX('CONTROLES'!$AE$13:$AE$1012,MATCH(327,'CONTROLES'!$AH$13:$AH$1012,0)))</f>
      </c>
      <c r="F339" s="30">
        <f>IF(327&gt;$E$8,"",INDEX('CONTROLES'!$AF$13:$AF$1012,MATCH(327,'CONTROLES'!$AH$13:$AH$1012,0)))</f>
      </c>
      <c r="G339" s="30">
        <f>IF(327&gt;$E$8,"",IF(INDEX('CONTROLES'!$AG$13:$AG$1012,MATCH(327,'CONTROLES'!$AH$13:$AH$1012,0))=2,"ROJO","ÁMBAR"))</f>
      </c>
    </row>
    <row r="340" ht="22" customHeight="1">
      <c r="B340" s="30">
        <f>IF(328&gt;$E$8,"",INDEX('CONTROLES'!$AB$13:$AB$1012,MATCH(328,'CONTROLES'!$AH$13:$AH$1012,0)))</f>
      </c>
      <c r="C340" s="30">
        <f>IF(328&gt;$E$8,"",INDEX('CONTROLES'!$AC$13:$AC$1012,MATCH(328,'CONTROLES'!$AH$13:$AH$1012,0)))</f>
      </c>
      <c r="D340" s="30">
        <f>IF(328&gt;$E$8,"",INDEX('CONTROLES'!$AD$13:$AD$1012,MATCH(328,'CONTROLES'!$AH$13:$AH$1012,0)))</f>
      </c>
      <c r="E340" s="30">
        <f>IF(328&gt;$E$8,"",INDEX('CONTROLES'!$AE$13:$AE$1012,MATCH(328,'CONTROLES'!$AH$13:$AH$1012,0)))</f>
      </c>
      <c r="F340" s="30">
        <f>IF(328&gt;$E$8,"",INDEX('CONTROLES'!$AF$13:$AF$1012,MATCH(328,'CONTROLES'!$AH$13:$AH$1012,0)))</f>
      </c>
      <c r="G340" s="30">
        <f>IF(328&gt;$E$8,"",IF(INDEX('CONTROLES'!$AG$13:$AG$1012,MATCH(328,'CONTROLES'!$AH$13:$AH$1012,0))=2,"ROJO","ÁMBAR"))</f>
      </c>
    </row>
    <row r="341" ht="22" customHeight="1">
      <c r="B341" s="30">
        <f>IF(329&gt;$E$8,"",INDEX('CONTROLES'!$AB$13:$AB$1012,MATCH(329,'CONTROLES'!$AH$13:$AH$1012,0)))</f>
      </c>
      <c r="C341" s="30">
        <f>IF(329&gt;$E$8,"",INDEX('CONTROLES'!$AC$13:$AC$1012,MATCH(329,'CONTROLES'!$AH$13:$AH$1012,0)))</f>
      </c>
      <c r="D341" s="30">
        <f>IF(329&gt;$E$8,"",INDEX('CONTROLES'!$AD$13:$AD$1012,MATCH(329,'CONTROLES'!$AH$13:$AH$1012,0)))</f>
      </c>
      <c r="E341" s="30">
        <f>IF(329&gt;$E$8,"",INDEX('CONTROLES'!$AE$13:$AE$1012,MATCH(329,'CONTROLES'!$AH$13:$AH$1012,0)))</f>
      </c>
      <c r="F341" s="30">
        <f>IF(329&gt;$E$8,"",INDEX('CONTROLES'!$AF$13:$AF$1012,MATCH(329,'CONTROLES'!$AH$13:$AH$1012,0)))</f>
      </c>
      <c r="G341" s="30">
        <f>IF(329&gt;$E$8,"",IF(INDEX('CONTROLES'!$AG$13:$AG$1012,MATCH(329,'CONTROLES'!$AH$13:$AH$1012,0))=2,"ROJO","ÁMBAR"))</f>
      </c>
    </row>
    <row r="342" ht="22" customHeight="1">
      <c r="B342" s="30">
        <f>IF(330&gt;$E$8,"",INDEX('CONTROLES'!$AB$13:$AB$1012,MATCH(330,'CONTROLES'!$AH$13:$AH$1012,0)))</f>
      </c>
      <c r="C342" s="30">
        <f>IF(330&gt;$E$8,"",INDEX('CONTROLES'!$AC$13:$AC$1012,MATCH(330,'CONTROLES'!$AH$13:$AH$1012,0)))</f>
      </c>
      <c r="D342" s="30">
        <f>IF(330&gt;$E$8,"",INDEX('CONTROLES'!$AD$13:$AD$1012,MATCH(330,'CONTROLES'!$AH$13:$AH$1012,0)))</f>
      </c>
      <c r="E342" s="30">
        <f>IF(330&gt;$E$8,"",INDEX('CONTROLES'!$AE$13:$AE$1012,MATCH(330,'CONTROLES'!$AH$13:$AH$1012,0)))</f>
      </c>
      <c r="F342" s="30">
        <f>IF(330&gt;$E$8,"",INDEX('CONTROLES'!$AF$13:$AF$1012,MATCH(330,'CONTROLES'!$AH$13:$AH$1012,0)))</f>
      </c>
      <c r="G342" s="30">
        <f>IF(330&gt;$E$8,"",IF(INDEX('CONTROLES'!$AG$13:$AG$1012,MATCH(330,'CONTROLES'!$AH$13:$AH$1012,0))=2,"ROJO","ÁMBAR"))</f>
      </c>
    </row>
    <row r="343" ht="22" customHeight="1">
      <c r="B343" s="30">
        <f>IF(331&gt;$E$8,"",INDEX('CONTROLES'!$AB$13:$AB$1012,MATCH(331,'CONTROLES'!$AH$13:$AH$1012,0)))</f>
      </c>
      <c r="C343" s="30">
        <f>IF(331&gt;$E$8,"",INDEX('CONTROLES'!$AC$13:$AC$1012,MATCH(331,'CONTROLES'!$AH$13:$AH$1012,0)))</f>
      </c>
      <c r="D343" s="30">
        <f>IF(331&gt;$E$8,"",INDEX('CONTROLES'!$AD$13:$AD$1012,MATCH(331,'CONTROLES'!$AH$13:$AH$1012,0)))</f>
      </c>
      <c r="E343" s="30">
        <f>IF(331&gt;$E$8,"",INDEX('CONTROLES'!$AE$13:$AE$1012,MATCH(331,'CONTROLES'!$AH$13:$AH$1012,0)))</f>
      </c>
      <c r="F343" s="30">
        <f>IF(331&gt;$E$8,"",INDEX('CONTROLES'!$AF$13:$AF$1012,MATCH(331,'CONTROLES'!$AH$13:$AH$1012,0)))</f>
      </c>
      <c r="G343" s="30">
        <f>IF(331&gt;$E$8,"",IF(INDEX('CONTROLES'!$AG$13:$AG$1012,MATCH(331,'CONTROLES'!$AH$13:$AH$1012,0))=2,"ROJO","ÁMBAR"))</f>
      </c>
    </row>
    <row r="344" ht="22" customHeight="1">
      <c r="B344" s="30">
        <f>IF(332&gt;$E$8,"",INDEX('CONTROLES'!$AB$13:$AB$1012,MATCH(332,'CONTROLES'!$AH$13:$AH$1012,0)))</f>
      </c>
      <c r="C344" s="30">
        <f>IF(332&gt;$E$8,"",INDEX('CONTROLES'!$AC$13:$AC$1012,MATCH(332,'CONTROLES'!$AH$13:$AH$1012,0)))</f>
      </c>
      <c r="D344" s="30">
        <f>IF(332&gt;$E$8,"",INDEX('CONTROLES'!$AD$13:$AD$1012,MATCH(332,'CONTROLES'!$AH$13:$AH$1012,0)))</f>
      </c>
      <c r="E344" s="30">
        <f>IF(332&gt;$E$8,"",INDEX('CONTROLES'!$AE$13:$AE$1012,MATCH(332,'CONTROLES'!$AH$13:$AH$1012,0)))</f>
      </c>
      <c r="F344" s="30">
        <f>IF(332&gt;$E$8,"",INDEX('CONTROLES'!$AF$13:$AF$1012,MATCH(332,'CONTROLES'!$AH$13:$AH$1012,0)))</f>
      </c>
      <c r="G344" s="30">
        <f>IF(332&gt;$E$8,"",IF(INDEX('CONTROLES'!$AG$13:$AG$1012,MATCH(332,'CONTROLES'!$AH$13:$AH$1012,0))=2,"ROJO","ÁMBAR"))</f>
      </c>
    </row>
    <row r="345" ht="22" customHeight="1">
      <c r="B345" s="30">
        <f>IF(333&gt;$E$8,"",INDEX('CONTROLES'!$AB$13:$AB$1012,MATCH(333,'CONTROLES'!$AH$13:$AH$1012,0)))</f>
      </c>
      <c r="C345" s="30">
        <f>IF(333&gt;$E$8,"",INDEX('CONTROLES'!$AC$13:$AC$1012,MATCH(333,'CONTROLES'!$AH$13:$AH$1012,0)))</f>
      </c>
      <c r="D345" s="30">
        <f>IF(333&gt;$E$8,"",INDEX('CONTROLES'!$AD$13:$AD$1012,MATCH(333,'CONTROLES'!$AH$13:$AH$1012,0)))</f>
      </c>
      <c r="E345" s="30">
        <f>IF(333&gt;$E$8,"",INDEX('CONTROLES'!$AE$13:$AE$1012,MATCH(333,'CONTROLES'!$AH$13:$AH$1012,0)))</f>
      </c>
      <c r="F345" s="30">
        <f>IF(333&gt;$E$8,"",INDEX('CONTROLES'!$AF$13:$AF$1012,MATCH(333,'CONTROLES'!$AH$13:$AH$1012,0)))</f>
      </c>
      <c r="G345" s="30">
        <f>IF(333&gt;$E$8,"",IF(INDEX('CONTROLES'!$AG$13:$AG$1012,MATCH(333,'CONTROLES'!$AH$13:$AH$1012,0))=2,"ROJO","ÁMBAR"))</f>
      </c>
    </row>
    <row r="346" ht="22" customHeight="1">
      <c r="B346" s="30">
        <f>IF(334&gt;$E$8,"",INDEX('CONTROLES'!$AB$13:$AB$1012,MATCH(334,'CONTROLES'!$AH$13:$AH$1012,0)))</f>
      </c>
      <c r="C346" s="30">
        <f>IF(334&gt;$E$8,"",INDEX('CONTROLES'!$AC$13:$AC$1012,MATCH(334,'CONTROLES'!$AH$13:$AH$1012,0)))</f>
      </c>
      <c r="D346" s="30">
        <f>IF(334&gt;$E$8,"",INDEX('CONTROLES'!$AD$13:$AD$1012,MATCH(334,'CONTROLES'!$AH$13:$AH$1012,0)))</f>
      </c>
      <c r="E346" s="30">
        <f>IF(334&gt;$E$8,"",INDEX('CONTROLES'!$AE$13:$AE$1012,MATCH(334,'CONTROLES'!$AH$13:$AH$1012,0)))</f>
      </c>
      <c r="F346" s="30">
        <f>IF(334&gt;$E$8,"",INDEX('CONTROLES'!$AF$13:$AF$1012,MATCH(334,'CONTROLES'!$AH$13:$AH$1012,0)))</f>
      </c>
      <c r="G346" s="30">
        <f>IF(334&gt;$E$8,"",IF(INDEX('CONTROLES'!$AG$13:$AG$1012,MATCH(334,'CONTROLES'!$AH$13:$AH$1012,0))=2,"ROJO","ÁMBAR"))</f>
      </c>
    </row>
    <row r="347" ht="22" customHeight="1">
      <c r="B347" s="30">
        <f>IF(335&gt;$E$8,"",INDEX('CONTROLES'!$AB$13:$AB$1012,MATCH(335,'CONTROLES'!$AH$13:$AH$1012,0)))</f>
      </c>
      <c r="C347" s="30">
        <f>IF(335&gt;$E$8,"",INDEX('CONTROLES'!$AC$13:$AC$1012,MATCH(335,'CONTROLES'!$AH$13:$AH$1012,0)))</f>
      </c>
      <c r="D347" s="30">
        <f>IF(335&gt;$E$8,"",INDEX('CONTROLES'!$AD$13:$AD$1012,MATCH(335,'CONTROLES'!$AH$13:$AH$1012,0)))</f>
      </c>
      <c r="E347" s="30">
        <f>IF(335&gt;$E$8,"",INDEX('CONTROLES'!$AE$13:$AE$1012,MATCH(335,'CONTROLES'!$AH$13:$AH$1012,0)))</f>
      </c>
      <c r="F347" s="30">
        <f>IF(335&gt;$E$8,"",INDEX('CONTROLES'!$AF$13:$AF$1012,MATCH(335,'CONTROLES'!$AH$13:$AH$1012,0)))</f>
      </c>
      <c r="G347" s="30">
        <f>IF(335&gt;$E$8,"",IF(INDEX('CONTROLES'!$AG$13:$AG$1012,MATCH(335,'CONTROLES'!$AH$13:$AH$1012,0))=2,"ROJO","ÁMBAR"))</f>
      </c>
    </row>
    <row r="348" ht="22" customHeight="1">
      <c r="B348" s="30">
        <f>IF(336&gt;$E$8,"",INDEX('CONTROLES'!$AB$13:$AB$1012,MATCH(336,'CONTROLES'!$AH$13:$AH$1012,0)))</f>
      </c>
      <c r="C348" s="30">
        <f>IF(336&gt;$E$8,"",INDEX('CONTROLES'!$AC$13:$AC$1012,MATCH(336,'CONTROLES'!$AH$13:$AH$1012,0)))</f>
      </c>
      <c r="D348" s="30">
        <f>IF(336&gt;$E$8,"",INDEX('CONTROLES'!$AD$13:$AD$1012,MATCH(336,'CONTROLES'!$AH$13:$AH$1012,0)))</f>
      </c>
      <c r="E348" s="30">
        <f>IF(336&gt;$E$8,"",INDEX('CONTROLES'!$AE$13:$AE$1012,MATCH(336,'CONTROLES'!$AH$13:$AH$1012,0)))</f>
      </c>
      <c r="F348" s="30">
        <f>IF(336&gt;$E$8,"",INDEX('CONTROLES'!$AF$13:$AF$1012,MATCH(336,'CONTROLES'!$AH$13:$AH$1012,0)))</f>
      </c>
      <c r="G348" s="30">
        <f>IF(336&gt;$E$8,"",IF(INDEX('CONTROLES'!$AG$13:$AG$1012,MATCH(336,'CONTROLES'!$AH$13:$AH$1012,0))=2,"ROJO","ÁMBAR"))</f>
      </c>
    </row>
    <row r="349" ht="22" customHeight="1">
      <c r="B349" s="30">
        <f>IF(337&gt;$E$8,"",INDEX('CONTROLES'!$AB$13:$AB$1012,MATCH(337,'CONTROLES'!$AH$13:$AH$1012,0)))</f>
      </c>
      <c r="C349" s="30">
        <f>IF(337&gt;$E$8,"",INDEX('CONTROLES'!$AC$13:$AC$1012,MATCH(337,'CONTROLES'!$AH$13:$AH$1012,0)))</f>
      </c>
      <c r="D349" s="30">
        <f>IF(337&gt;$E$8,"",INDEX('CONTROLES'!$AD$13:$AD$1012,MATCH(337,'CONTROLES'!$AH$13:$AH$1012,0)))</f>
      </c>
      <c r="E349" s="30">
        <f>IF(337&gt;$E$8,"",INDEX('CONTROLES'!$AE$13:$AE$1012,MATCH(337,'CONTROLES'!$AH$13:$AH$1012,0)))</f>
      </c>
      <c r="F349" s="30">
        <f>IF(337&gt;$E$8,"",INDEX('CONTROLES'!$AF$13:$AF$1012,MATCH(337,'CONTROLES'!$AH$13:$AH$1012,0)))</f>
      </c>
      <c r="G349" s="30">
        <f>IF(337&gt;$E$8,"",IF(INDEX('CONTROLES'!$AG$13:$AG$1012,MATCH(337,'CONTROLES'!$AH$13:$AH$1012,0))=2,"ROJO","ÁMBAR"))</f>
      </c>
    </row>
    <row r="350" ht="22" customHeight="1">
      <c r="B350" s="30">
        <f>IF(338&gt;$E$8,"",INDEX('CONTROLES'!$AB$13:$AB$1012,MATCH(338,'CONTROLES'!$AH$13:$AH$1012,0)))</f>
      </c>
      <c r="C350" s="30">
        <f>IF(338&gt;$E$8,"",INDEX('CONTROLES'!$AC$13:$AC$1012,MATCH(338,'CONTROLES'!$AH$13:$AH$1012,0)))</f>
      </c>
      <c r="D350" s="30">
        <f>IF(338&gt;$E$8,"",INDEX('CONTROLES'!$AD$13:$AD$1012,MATCH(338,'CONTROLES'!$AH$13:$AH$1012,0)))</f>
      </c>
      <c r="E350" s="30">
        <f>IF(338&gt;$E$8,"",INDEX('CONTROLES'!$AE$13:$AE$1012,MATCH(338,'CONTROLES'!$AH$13:$AH$1012,0)))</f>
      </c>
      <c r="F350" s="30">
        <f>IF(338&gt;$E$8,"",INDEX('CONTROLES'!$AF$13:$AF$1012,MATCH(338,'CONTROLES'!$AH$13:$AH$1012,0)))</f>
      </c>
      <c r="G350" s="30">
        <f>IF(338&gt;$E$8,"",IF(INDEX('CONTROLES'!$AG$13:$AG$1012,MATCH(338,'CONTROLES'!$AH$13:$AH$1012,0))=2,"ROJO","ÁMBAR"))</f>
      </c>
    </row>
    <row r="351" ht="22" customHeight="1">
      <c r="B351" s="30">
        <f>IF(339&gt;$E$8,"",INDEX('CONTROLES'!$AB$13:$AB$1012,MATCH(339,'CONTROLES'!$AH$13:$AH$1012,0)))</f>
      </c>
      <c r="C351" s="30">
        <f>IF(339&gt;$E$8,"",INDEX('CONTROLES'!$AC$13:$AC$1012,MATCH(339,'CONTROLES'!$AH$13:$AH$1012,0)))</f>
      </c>
      <c r="D351" s="30">
        <f>IF(339&gt;$E$8,"",INDEX('CONTROLES'!$AD$13:$AD$1012,MATCH(339,'CONTROLES'!$AH$13:$AH$1012,0)))</f>
      </c>
      <c r="E351" s="30">
        <f>IF(339&gt;$E$8,"",INDEX('CONTROLES'!$AE$13:$AE$1012,MATCH(339,'CONTROLES'!$AH$13:$AH$1012,0)))</f>
      </c>
      <c r="F351" s="30">
        <f>IF(339&gt;$E$8,"",INDEX('CONTROLES'!$AF$13:$AF$1012,MATCH(339,'CONTROLES'!$AH$13:$AH$1012,0)))</f>
      </c>
      <c r="G351" s="30">
        <f>IF(339&gt;$E$8,"",IF(INDEX('CONTROLES'!$AG$13:$AG$1012,MATCH(339,'CONTROLES'!$AH$13:$AH$1012,0))=2,"ROJO","ÁMBAR"))</f>
      </c>
    </row>
    <row r="352" ht="22" customHeight="1">
      <c r="B352" s="30">
        <f>IF(340&gt;$E$8,"",INDEX('CONTROLES'!$AB$13:$AB$1012,MATCH(340,'CONTROLES'!$AH$13:$AH$1012,0)))</f>
      </c>
      <c r="C352" s="30">
        <f>IF(340&gt;$E$8,"",INDEX('CONTROLES'!$AC$13:$AC$1012,MATCH(340,'CONTROLES'!$AH$13:$AH$1012,0)))</f>
      </c>
      <c r="D352" s="30">
        <f>IF(340&gt;$E$8,"",INDEX('CONTROLES'!$AD$13:$AD$1012,MATCH(340,'CONTROLES'!$AH$13:$AH$1012,0)))</f>
      </c>
      <c r="E352" s="30">
        <f>IF(340&gt;$E$8,"",INDEX('CONTROLES'!$AE$13:$AE$1012,MATCH(340,'CONTROLES'!$AH$13:$AH$1012,0)))</f>
      </c>
      <c r="F352" s="30">
        <f>IF(340&gt;$E$8,"",INDEX('CONTROLES'!$AF$13:$AF$1012,MATCH(340,'CONTROLES'!$AH$13:$AH$1012,0)))</f>
      </c>
      <c r="G352" s="30">
        <f>IF(340&gt;$E$8,"",IF(INDEX('CONTROLES'!$AG$13:$AG$1012,MATCH(340,'CONTROLES'!$AH$13:$AH$1012,0))=2,"ROJO","ÁMBAR"))</f>
      </c>
    </row>
    <row r="353" ht="22" customHeight="1">
      <c r="B353" s="30">
        <f>IF(341&gt;$E$8,"",INDEX('CONTROLES'!$AB$13:$AB$1012,MATCH(341,'CONTROLES'!$AH$13:$AH$1012,0)))</f>
      </c>
      <c r="C353" s="30">
        <f>IF(341&gt;$E$8,"",INDEX('CONTROLES'!$AC$13:$AC$1012,MATCH(341,'CONTROLES'!$AH$13:$AH$1012,0)))</f>
      </c>
      <c r="D353" s="30">
        <f>IF(341&gt;$E$8,"",INDEX('CONTROLES'!$AD$13:$AD$1012,MATCH(341,'CONTROLES'!$AH$13:$AH$1012,0)))</f>
      </c>
      <c r="E353" s="30">
        <f>IF(341&gt;$E$8,"",INDEX('CONTROLES'!$AE$13:$AE$1012,MATCH(341,'CONTROLES'!$AH$13:$AH$1012,0)))</f>
      </c>
      <c r="F353" s="30">
        <f>IF(341&gt;$E$8,"",INDEX('CONTROLES'!$AF$13:$AF$1012,MATCH(341,'CONTROLES'!$AH$13:$AH$1012,0)))</f>
      </c>
      <c r="G353" s="30">
        <f>IF(341&gt;$E$8,"",IF(INDEX('CONTROLES'!$AG$13:$AG$1012,MATCH(341,'CONTROLES'!$AH$13:$AH$1012,0))=2,"ROJO","ÁMBAR"))</f>
      </c>
    </row>
    <row r="354" ht="22" customHeight="1">
      <c r="B354" s="30">
        <f>IF(342&gt;$E$8,"",INDEX('CONTROLES'!$AB$13:$AB$1012,MATCH(342,'CONTROLES'!$AH$13:$AH$1012,0)))</f>
      </c>
      <c r="C354" s="30">
        <f>IF(342&gt;$E$8,"",INDEX('CONTROLES'!$AC$13:$AC$1012,MATCH(342,'CONTROLES'!$AH$13:$AH$1012,0)))</f>
      </c>
      <c r="D354" s="30">
        <f>IF(342&gt;$E$8,"",INDEX('CONTROLES'!$AD$13:$AD$1012,MATCH(342,'CONTROLES'!$AH$13:$AH$1012,0)))</f>
      </c>
      <c r="E354" s="30">
        <f>IF(342&gt;$E$8,"",INDEX('CONTROLES'!$AE$13:$AE$1012,MATCH(342,'CONTROLES'!$AH$13:$AH$1012,0)))</f>
      </c>
      <c r="F354" s="30">
        <f>IF(342&gt;$E$8,"",INDEX('CONTROLES'!$AF$13:$AF$1012,MATCH(342,'CONTROLES'!$AH$13:$AH$1012,0)))</f>
      </c>
      <c r="G354" s="30">
        <f>IF(342&gt;$E$8,"",IF(INDEX('CONTROLES'!$AG$13:$AG$1012,MATCH(342,'CONTROLES'!$AH$13:$AH$1012,0))=2,"ROJO","ÁMBAR"))</f>
      </c>
    </row>
    <row r="355" ht="22" customHeight="1">
      <c r="B355" s="30">
        <f>IF(343&gt;$E$8,"",INDEX('CONTROLES'!$AB$13:$AB$1012,MATCH(343,'CONTROLES'!$AH$13:$AH$1012,0)))</f>
      </c>
      <c r="C355" s="30">
        <f>IF(343&gt;$E$8,"",INDEX('CONTROLES'!$AC$13:$AC$1012,MATCH(343,'CONTROLES'!$AH$13:$AH$1012,0)))</f>
      </c>
      <c r="D355" s="30">
        <f>IF(343&gt;$E$8,"",INDEX('CONTROLES'!$AD$13:$AD$1012,MATCH(343,'CONTROLES'!$AH$13:$AH$1012,0)))</f>
      </c>
      <c r="E355" s="30">
        <f>IF(343&gt;$E$8,"",INDEX('CONTROLES'!$AE$13:$AE$1012,MATCH(343,'CONTROLES'!$AH$13:$AH$1012,0)))</f>
      </c>
      <c r="F355" s="30">
        <f>IF(343&gt;$E$8,"",INDEX('CONTROLES'!$AF$13:$AF$1012,MATCH(343,'CONTROLES'!$AH$13:$AH$1012,0)))</f>
      </c>
      <c r="G355" s="30">
        <f>IF(343&gt;$E$8,"",IF(INDEX('CONTROLES'!$AG$13:$AG$1012,MATCH(343,'CONTROLES'!$AH$13:$AH$1012,0))=2,"ROJO","ÁMBAR"))</f>
      </c>
    </row>
    <row r="356" ht="22" customHeight="1">
      <c r="B356" s="30">
        <f>IF(344&gt;$E$8,"",INDEX('CONTROLES'!$AB$13:$AB$1012,MATCH(344,'CONTROLES'!$AH$13:$AH$1012,0)))</f>
      </c>
      <c r="C356" s="30">
        <f>IF(344&gt;$E$8,"",INDEX('CONTROLES'!$AC$13:$AC$1012,MATCH(344,'CONTROLES'!$AH$13:$AH$1012,0)))</f>
      </c>
      <c r="D356" s="30">
        <f>IF(344&gt;$E$8,"",INDEX('CONTROLES'!$AD$13:$AD$1012,MATCH(344,'CONTROLES'!$AH$13:$AH$1012,0)))</f>
      </c>
      <c r="E356" s="30">
        <f>IF(344&gt;$E$8,"",INDEX('CONTROLES'!$AE$13:$AE$1012,MATCH(344,'CONTROLES'!$AH$13:$AH$1012,0)))</f>
      </c>
      <c r="F356" s="30">
        <f>IF(344&gt;$E$8,"",INDEX('CONTROLES'!$AF$13:$AF$1012,MATCH(344,'CONTROLES'!$AH$13:$AH$1012,0)))</f>
      </c>
      <c r="G356" s="30">
        <f>IF(344&gt;$E$8,"",IF(INDEX('CONTROLES'!$AG$13:$AG$1012,MATCH(344,'CONTROLES'!$AH$13:$AH$1012,0))=2,"ROJO","ÁMBAR"))</f>
      </c>
    </row>
    <row r="357" ht="22" customHeight="1">
      <c r="B357" s="30">
        <f>IF(345&gt;$E$8,"",INDEX('CONTROLES'!$AB$13:$AB$1012,MATCH(345,'CONTROLES'!$AH$13:$AH$1012,0)))</f>
      </c>
      <c r="C357" s="30">
        <f>IF(345&gt;$E$8,"",INDEX('CONTROLES'!$AC$13:$AC$1012,MATCH(345,'CONTROLES'!$AH$13:$AH$1012,0)))</f>
      </c>
      <c r="D357" s="30">
        <f>IF(345&gt;$E$8,"",INDEX('CONTROLES'!$AD$13:$AD$1012,MATCH(345,'CONTROLES'!$AH$13:$AH$1012,0)))</f>
      </c>
      <c r="E357" s="30">
        <f>IF(345&gt;$E$8,"",INDEX('CONTROLES'!$AE$13:$AE$1012,MATCH(345,'CONTROLES'!$AH$13:$AH$1012,0)))</f>
      </c>
      <c r="F357" s="30">
        <f>IF(345&gt;$E$8,"",INDEX('CONTROLES'!$AF$13:$AF$1012,MATCH(345,'CONTROLES'!$AH$13:$AH$1012,0)))</f>
      </c>
      <c r="G357" s="30">
        <f>IF(345&gt;$E$8,"",IF(INDEX('CONTROLES'!$AG$13:$AG$1012,MATCH(345,'CONTROLES'!$AH$13:$AH$1012,0))=2,"ROJO","ÁMBAR"))</f>
      </c>
    </row>
    <row r="358" ht="22" customHeight="1">
      <c r="B358" s="30">
        <f>IF(346&gt;$E$8,"",INDEX('CONTROLES'!$AB$13:$AB$1012,MATCH(346,'CONTROLES'!$AH$13:$AH$1012,0)))</f>
      </c>
      <c r="C358" s="30">
        <f>IF(346&gt;$E$8,"",INDEX('CONTROLES'!$AC$13:$AC$1012,MATCH(346,'CONTROLES'!$AH$13:$AH$1012,0)))</f>
      </c>
      <c r="D358" s="30">
        <f>IF(346&gt;$E$8,"",INDEX('CONTROLES'!$AD$13:$AD$1012,MATCH(346,'CONTROLES'!$AH$13:$AH$1012,0)))</f>
      </c>
      <c r="E358" s="30">
        <f>IF(346&gt;$E$8,"",INDEX('CONTROLES'!$AE$13:$AE$1012,MATCH(346,'CONTROLES'!$AH$13:$AH$1012,0)))</f>
      </c>
      <c r="F358" s="30">
        <f>IF(346&gt;$E$8,"",INDEX('CONTROLES'!$AF$13:$AF$1012,MATCH(346,'CONTROLES'!$AH$13:$AH$1012,0)))</f>
      </c>
      <c r="G358" s="30">
        <f>IF(346&gt;$E$8,"",IF(INDEX('CONTROLES'!$AG$13:$AG$1012,MATCH(346,'CONTROLES'!$AH$13:$AH$1012,0))=2,"ROJO","ÁMBAR"))</f>
      </c>
    </row>
    <row r="359" ht="22" customHeight="1">
      <c r="B359" s="30">
        <f>IF(347&gt;$E$8,"",INDEX('CONTROLES'!$AB$13:$AB$1012,MATCH(347,'CONTROLES'!$AH$13:$AH$1012,0)))</f>
      </c>
      <c r="C359" s="30">
        <f>IF(347&gt;$E$8,"",INDEX('CONTROLES'!$AC$13:$AC$1012,MATCH(347,'CONTROLES'!$AH$13:$AH$1012,0)))</f>
      </c>
      <c r="D359" s="30">
        <f>IF(347&gt;$E$8,"",INDEX('CONTROLES'!$AD$13:$AD$1012,MATCH(347,'CONTROLES'!$AH$13:$AH$1012,0)))</f>
      </c>
      <c r="E359" s="30">
        <f>IF(347&gt;$E$8,"",INDEX('CONTROLES'!$AE$13:$AE$1012,MATCH(347,'CONTROLES'!$AH$13:$AH$1012,0)))</f>
      </c>
      <c r="F359" s="30">
        <f>IF(347&gt;$E$8,"",INDEX('CONTROLES'!$AF$13:$AF$1012,MATCH(347,'CONTROLES'!$AH$13:$AH$1012,0)))</f>
      </c>
      <c r="G359" s="30">
        <f>IF(347&gt;$E$8,"",IF(INDEX('CONTROLES'!$AG$13:$AG$1012,MATCH(347,'CONTROLES'!$AH$13:$AH$1012,0))=2,"ROJO","ÁMBAR"))</f>
      </c>
    </row>
    <row r="360" ht="22" customHeight="1">
      <c r="B360" s="30">
        <f>IF(348&gt;$E$8,"",INDEX('CONTROLES'!$AB$13:$AB$1012,MATCH(348,'CONTROLES'!$AH$13:$AH$1012,0)))</f>
      </c>
      <c r="C360" s="30">
        <f>IF(348&gt;$E$8,"",INDEX('CONTROLES'!$AC$13:$AC$1012,MATCH(348,'CONTROLES'!$AH$13:$AH$1012,0)))</f>
      </c>
      <c r="D360" s="30">
        <f>IF(348&gt;$E$8,"",INDEX('CONTROLES'!$AD$13:$AD$1012,MATCH(348,'CONTROLES'!$AH$13:$AH$1012,0)))</f>
      </c>
      <c r="E360" s="30">
        <f>IF(348&gt;$E$8,"",INDEX('CONTROLES'!$AE$13:$AE$1012,MATCH(348,'CONTROLES'!$AH$13:$AH$1012,0)))</f>
      </c>
      <c r="F360" s="30">
        <f>IF(348&gt;$E$8,"",INDEX('CONTROLES'!$AF$13:$AF$1012,MATCH(348,'CONTROLES'!$AH$13:$AH$1012,0)))</f>
      </c>
      <c r="G360" s="30">
        <f>IF(348&gt;$E$8,"",IF(INDEX('CONTROLES'!$AG$13:$AG$1012,MATCH(348,'CONTROLES'!$AH$13:$AH$1012,0))=2,"ROJO","ÁMBAR"))</f>
      </c>
    </row>
    <row r="361" ht="22" customHeight="1">
      <c r="B361" s="30">
        <f>IF(349&gt;$E$8,"",INDEX('CONTROLES'!$AB$13:$AB$1012,MATCH(349,'CONTROLES'!$AH$13:$AH$1012,0)))</f>
      </c>
      <c r="C361" s="30">
        <f>IF(349&gt;$E$8,"",INDEX('CONTROLES'!$AC$13:$AC$1012,MATCH(349,'CONTROLES'!$AH$13:$AH$1012,0)))</f>
      </c>
      <c r="D361" s="30">
        <f>IF(349&gt;$E$8,"",INDEX('CONTROLES'!$AD$13:$AD$1012,MATCH(349,'CONTROLES'!$AH$13:$AH$1012,0)))</f>
      </c>
      <c r="E361" s="30">
        <f>IF(349&gt;$E$8,"",INDEX('CONTROLES'!$AE$13:$AE$1012,MATCH(349,'CONTROLES'!$AH$13:$AH$1012,0)))</f>
      </c>
      <c r="F361" s="30">
        <f>IF(349&gt;$E$8,"",INDEX('CONTROLES'!$AF$13:$AF$1012,MATCH(349,'CONTROLES'!$AH$13:$AH$1012,0)))</f>
      </c>
      <c r="G361" s="30">
        <f>IF(349&gt;$E$8,"",IF(INDEX('CONTROLES'!$AG$13:$AG$1012,MATCH(349,'CONTROLES'!$AH$13:$AH$1012,0))=2,"ROJO","ÁMBAR"))</f>
      </c>
    </row>
    <row r="362" ht="22" customHeight="1">
      <c r="B362" s="30">
        <f>IF(350&gt;$E$8,"",INDEX('CONTROLES'!$AB$13:$AB$1012,MATCH(350,'CONTROLES'!$AH$13:$AH$1012,0)))</f>
      </c>
      <c r="C362" s="30">
        <f>IF(350&gt;$E$8,"",INDEX('CONTROLES'!$AC$13:$AC$1012,MATCH(350,'CONTROLES'!$AH$13:$AH$1012,0)))</f>
      </c>
      <c r="D362" s="30">
        <f>IF(350&gt;$E$8,"",INDEX('CONTROLES'!$AD$13:$AD$1012,MATCH(350,'CONTROLES'!$AH$13:$AH$1012,0)))</f>
      </c>
      <c r="E362" s="30">
        <f>IF(350&gt;$E$8,"",INDEX('CONTROLES'!$AE$13:$AE$1012,MATCH(350,'CONTROLES'!$AH$13:$AH$1012,0)))</f>
      </c>
      <c r="F362" s="30">
        <f>IF(350&gt;$E$8,"",INDEX('CONTROLES'!$AF$13:$AF$1012,MATCH(350,'CONTROLES'!$AH$13:$AH$1012,0)))</f>
      </c>
      <c r="G362" s="30">
        <f>IF(350&gt;$E$8,"",IF(INDEX('CONTROLES'!$AG$13:$AG$1012,MATCH(350,'CONTROLES'!$AH$13:$AH$1012,0))=2,"ROJO","ÁMBAR"))</f>
      </c>
    </row>
    <row r="363" ht="22" customHeight="1">
      <c r="B363" s="30">
        <f>IF(351&gt;$E$8,"",INDEX('CONTROLES'!$AB$13:$AB$1012,MATCH(351,'CONTROLES'!$AH$13:$AH$1012,0)))</f>
      </c>
      <c r="C363" s="30">
        <f>IF(351&gt;$E$8,"",INDEX('CONTROLES'!$AC$13:$AC$1012,MATCH(351,'CONTROLES'!$AH$13:$AH$1012,0)))</f>
      </c>
      <c r="D363" s="30">
        <f>IF(351&gt;$E$8,"",INDEX('CONTROLES'!$AD$13:$AD$1012,MATCH(351,'CONTROLES'!$AH$13:$AH$1012,0)))</f>
      </c>
      <c r="E363" s="30">
        <f>IF(351&gt;$E$8,"",INDEX('CONTROLES'!$AE$13:$AE$1012,MATCH(351,'CONTROLES'!$AH$13:$AH$1012,0)))</f>
      </c>
      <c r="F363" s="30">
        <f>IF(351&gt;$E$8,"",INDEX('CONTROLES'!$AF$13:$AF$1012,MATCH(351,'CONTROLES'!$AH$13:$AH$1012,0)))</f>
      </c>
      <c r="G363" s="30">
        <f>IF(351&gt;$E$8,"",IF(INDEX('CONTROLES'!$AG$13:$AG$1012,MATCH(351,'CONTROLES'!$AH$13:$AH$1012,0))=2,"ROJO","ÁMBAR"))</f>
      </c>
    </row>
    <row r="364" ht="22" customHeight="1">
      <c r="B364" s="30">
        <f>IF(352&gt;$E$8,"",INDEX('CONTROLES'!$AB$13:$AB$1012,MATCH(352,'CONTROLES'!$AH$13:$AH$1012,0)))</f>
      </c>
      <c r="C364" s="30">
        <f>IF(352&gt;$E$8,"",INDEX('CONTROLES'!$AC$13:$AC$1012,MATCH(352,'CONTROLES'!$AH$13:$AH$1012,0)))</f>
      </c>
      <c r="D364" s="30">
        <f>IF(352&gt;$E$8,"",INDEX('CONTROLES'!$AD$13:$AD$1012,MATCH(352,'CONTROLES'!$AH$13:$AH$1012,0)))</f>
      </c>
      <c r="E364" s="30">
        <f>IF(352&gt;$E$8,"",INDEX('CONTROLES'!$AE$13:$AE$1012,MATCH(352,'CONTROLES'!$AH$13:$AH$1012,0)))</f>
      </c>
      <c r="F364" s="30">
        <f>IF(352&gt;$E$8,"",INDEX('CONTROLES'!$AF$13:$AF$1012,MATCH(352,'CONTROLES'!$AH$13:$AH$1012,0)))</f>
      </c>
      <c r="G364" s="30">
        <f>IF(352&gt;$E$8,"",IF(INDEX('CONTROLES'!$AG$13:$AG$1012,MATCH(352,'CONTROLES'!$AH$13:$AH$1012,0))=2,"ROJO","ÁMBAR"))</f>
      </c>
    </row>
    <row r="365" ht="22" customHeight="1">
      <c r="B365" s="30">
        <f>IF(353&gt;$E$8,"",INDEX('CONTROLES'!$AB$13:$AB$1012,MATCH(353,'CONTROLES'!$AH$13:$AH$1012,0)))</f>
      </c>
      <c r="C365" s="30">
        <f>IF(353&gt;$E$8,"",INDEX('CONTROLES'!$AC$13:$AC$1012,MATCH(353,'CONTROLES'!$AH$13:$AH$1012,0)))</f>
      </c>
      <c r="D365" s="30">
        <f>IF(353&gt;$E$8,"",INDEX('CONTROLES'!$AD$13:$AD$1012,MATCH(353,'CONTROLES'!$AH$13:$AH$1012,0)))</f>
      </c>
      <c r="E365" s="30">
        <f>IF(353&gt;$E$8,"",INDEX('CONTROLES'!$AE$13:$AE$1012,MATCH(353,'CONTROLES'!$AH$13:$AH$1012,0)))</f>
      </c>
      <c r="F365" s="30">
        <f>IF(353&gt;$E$8,"",INDEX('CONTROLES'!$AF$13:$AF$1012,MATCH(353,'CONTROLES'!$AH$13:$AH$1012,0)))</f>
      </c>
      <c r="G365" s="30">
        <f>IF(353&gt;$E$8,"",IF(INDEX('CONTROLES'!$AG$13:$AG$1012,MATCH(353,'CONTROLES'!$AH$13:$AH$1012,0))=2,"ROJO","ÁMBAR"))</f>
      </c>
    </row>
    <row r="366" ht="22" customHeight="1">
      <c r="B366" s="30">
        <f>IF(354&gt;$E$8,"",INDEX('CONTROLES'!$AB$13:$AB$1012,MATCH(354,'CONTROLES'!$AH$13:$AH$1012,0)))</f>
      </c>
      <c r="C366" s="30">
        <f>IF(354&gt;$E$8,"",INDEX('CONTROLES'!$AC$13:$AC$1012,MATCH(354,'CONTROLES'!$AH$13:$AH$1012,0)))</f>
      </c>
      <c r="D366" s="30">
        <f>IF(354&gt;$E$8,"",INDEX('CONTROLES'!$AD$13:$AD$1012,MATCH(354,'CONTROLES'!$AH$13:$AH$1012,0)))</f>
      </c>
      <c r="E366" s="30">
        <f>IF(354&gt;$E$8,"",INDEX('CONTROLES'!$AE$13:$AE$1012,MATCH(354,'CONTROLES'!$AH$13:$AH$1012,0)))</f>
      </c>
      <c r="F366" s="30">
        <f>IF(354&gt;$E$8,"",INDEX('CONTROLES'!$AF$13:$AF$1012,MATCH(354,'CONTROLES'!$AH$13:$AH$1012,0)))</f>
      </c>
      <c r="G366" s="30">
        <f>IF(354&gt;$E$8,"",IF(INDEX('CONTROLES'!$AG$13:$AG$1012,MATCH(354,'CONTROLES'!$AH$13:$AH$1012,0))=2,"ROJO","ÁMBAR"))</f>
      </c>
    </row>
    <row r="367" ht="22" customHeight="1">
      <c r="B367" s="30">
        <f>IF(355&gt;$E$8,"",INDEX('CONTROLES'!$AB$13:$AB$1012,MATCH(355,'CONTROLES'!$AH$13:$AH$1012,0)))</f>
      </c>
      <c r="C367" s="30">
        <f>IF(355&gt;$E$8,"",INDEX('CONTROLES'!$AC$13:$AC$1012,MATCH(355,'CONTROLES'!$AH$13:$AH$1012,0)))</f>
      </c>
      <c r="D367" s="30">
        <f>IF(355&gt;$E$8,"",INDEX('CONTROLES'!$AD$13:$AD$1012,MATCH(355,'CONTROLES'!$AH$13:$AH$1012,0)))</f>
      </c>
      <c r="E367" s="30">
        <f>IF(355&gt;$E$8,"",INDEX('CONTROLES'!$AE$13:$AE$1012,MATCH(355,'CONTROLES'!$AH$13:$AH$1012,0)))</f>
      </c>
      <c r="F367" s="30">
        <f>IF(355&gt;$E$8,"",INDEX('CONTROLES'!$AF$13:$AF$1012,MATCH(355,'CONTROLES'!$AH$13:$AH$1012,0)))</f>
      </c>
      <c r="G367" s="30">
        <f>IF(355&gt;$E$8,"",IF(INDEX('CONTROLES'!$AG$13:$AG$1012,MATCH(355,'CONTROLES'!$AH$13:$AH$1012,0))=2,"ROJO","ÁMBAR"))</f>
      </c>
    </row>
    <row r="368" ht="22" customHeight="1">
      <c r="B368" s="30">
        <f>IF(356&gt;$E$8,"",INDEX('CONTROLES'!$AB$13:$AB$1012,MATCH(356,'CONTROLES'!$AH$13:$AH$1012,0)))</f>
      </c>
      <c r="C368" s="30">
        <f>IF(356&gt;$E$8,"",INDEX('CONTROLES'!$AC$13:$AC$1012,MATCH(356,'CONTROLES'!$AH$13:$AH$1012,0)))</f>
      </c>
      <c r="D368" s="30">
        <f>IF(356&gt;$E$8,"",INDEX('CONTROLES'!$AD$13:$AD$1012,MATCH(356,'CONTROLES'!$AH$13:$AH$1012,0)))</f>
      </c>
      <c r="E368" s="30">
        <f>IF(356&gt;$E$8,"",INDEX('CONTROLES'!$AE$13:$AE$1012,MATCH(356,'CONTROLES'!$AH$13:$AH$1012,0)))</f>
      </c>
      <c r="F368" s="30">
        <f>IF(356&gt;$E$8,"",INDEX('CONTROLES'!$AF$13:$AF$1012,MATCH(356,'CONTROLES'!$AH$13:$AH$1012,0)))</f>
      </c>
      <c r="G368" s="30">
        <f>IF(356&gt;$E$8,"",IF(INDEX('CONTROLES'!$AG$13:$AG$1012,MATCH(356,'CONTROLES'!$AH$13:$AH$1012,0))=2,"ROJO","ÁMBAR"))</f>
      </c>
    </row>
    <row r="369" ht="22" customHeight="1">
      <c r="B369" s="30">
        <f>IF(357&gt;$E$8,"",INDEX('CONTROLES'!$AB$13:$AB$1012,MATCH(357,'CONTROLES'!$AH$13:$AH$1012,0)))</f>
      </c>
      <c r="C369" s="30">
        <f>IF(357&gt;$E$8,"",INDEX('CONTROLES'!$AC$13:$AC$1012,MATCH(357,'CONTROLES'!$AH$13:$AH$1012,0)))</f>
      </c>
      <c r="D369" s="30">
        <f>IF(357&gt;$E$8,"",INDEX('CONTROLES'!$AD$13:$AD$1012,MATCH(357,'CONTROLES'!$AH$13:$AH$1012,0)))</f>
      </c>
      <c r="E369" s="30">
        <f>IF(357&gt;$E$8,"",INDEX('CONTROLES'!$AE$13:$AE$1012,MATCH(357,'CONTROLES'!$AH$13:$AH$1012,0)))</f>
      </c>
      <c r="F369" s="30">
        <f>IF(357&gt;$E$8,"",INDEX('CONTROLES'!$AF$13:$AF$1012,MATCH(357,'CONTROLES'!$AH$13:$AH$1012,0)))</f>
      </c>
      <c r="G369" s="30">
        <f>IF(357&gt;$E$8,"",IF(INDEX('CONTROLES'!$AG$13:$AG$1012,MATCH(357,'CONTROLES'!$AH$13:$AH$1012,0))=2,"ROJO","ÁMBAR"))</f>
      </c>
    </row>
    <row r="370" ht="22" customHeight="1">
      <c r="B370" s="30">
        <f>IF(358&gt;$E$8,"",INDEX('CONTROLES'!$AB$13:$AB$1012,MATCH(358,'CONTROLES'!$AH$13:$AH$1012,0)))</f>
      </c>
      <c r="C370" s="30">
        <f>IF(358&gt;$E$8,"",INDEX('CONTROLES'!$AC$13:$AC$1012,MATCH(358,'CONTROLES'!$AH$13:$AH$1012,0)))</f>
      </c>
      <c r="D370" s="30">
        <f>IF(358&gt;$E$8,"",INDEX('CONTROLES'!$AD$13:$AD$1012,MATCH(358,'CONTROLES'!$AH$13:$AH$1012,0)))</f>
      </c>
      <c r="E370" s="30">
        <f>IF(358&gt;$E$8,"",INDEX('CONTROLES'!$AE$13:$AE$1012,MATCH(358,'CONTROLES'!$AH$13:$AH$1012,0)))</f>
      </c>
      <c r="F370" s="30">
        <f>IF(358&gt;$E$8,"",INDEX('CONTROLES'!$AF$13:$AF$1012,MATCH(358,'CONTROLES'!$AH$13:$AH$1012,0)))</f>
      </c>
      <c r="G370" s="30">
        <f>IF(358&gt;$E$8,"",IF(INDEX('CONTROLES'!$AG$13:$AG$1012,MATCH(358,'CONTROLES'!$AH$13:$AH$1012,0))=2,"ROJO","ÁMBAR"))</f>
      </c>
    </row>
    <row r="371" ht="22" customHeight="1">
      <c r="B371" s="30">
        <f>IF(359&gt;$E$8,"",INDEX('CONTROLES'!$AB$13:$AB$1012,MATCH(359,'CONTROLES'!$AH$13:$AH$1012,0)))</f>
      </c>
      <c r="C371" s="30">
        <f>IF(359&gt;$E$8,"",INDEX('CONTROLES'!$AC$13:$AC$1012,MATCH(359,'CONTROLES'!$AH$13:$AH$1012,0)))</f>
      </c>
      <c r="D371" s="30">
        <f>IF(359&gt;$E$8,"",INDEX('CONTROLES'!$AD$13:$AD$1012,MATCH(359,'CONTROLES'!$AH$13:$AH$1012,0)))</f>
      </c>
      <c r="E371" s="30">
        <f>IF(359&gt;$E$8,"",INDEX('CONTROLES'!$AE$13:$AE$1012,MATCH(359,'CONTROLES'!$AH$13:$AH$1012,0)))</f>
      </c>
      <c r="F371" s="30">
        <f>IF(359&gt;$E$8,"",INDEX('CONTROLES'!$AF$13:$AF$1012,MATCH(359,'CONTROLES'!$AH$13:$AH$1012,0)))</f>
      </c>
      <c r="G371" s="30">
        <f>IF(359&gt;$E$8,"",IF(INDEX('CONTROLES'!$AG$13:$AG$1012,MATCH(359,'CONTROLES'!$AH$13:$AH$1012,0))=2,"ROJO","ÁMBAR"))</f>
      </c>
    </row>
    <row r="372" ht="22" customHeight="1">
      <c r="B372" s="30">
        <f>IF(360&gt;$E$8,"",INDEX('CONTROLES'!$AB$13:$AB$1012,MATCH(360,'CONTROLES'!$AH$13:$AH$1012,0)))</f>
      </c>
      <c r="C372" s="30">
        <f>IF(360&gt;$E$8,"",INDEX('CONTROLES'!$AC$13:$AC$1012,MATCH(360,'CONTROLES'!$AH$13:$AH$1012,0)))</f>
      </c>
      <c r="D372" s="30">
        <f>IF(360&gt;$E$8,"",INDEX('CONTROLES'!$AD$13:$AD$1012,MATCH(360,'CONTROLES'!$AH$13:$AH$1012,0)))</f>
      </c>
      <c r="E372" s="30">
        <f>IF(360&gt;$E$8,"",INDEX('CONTROLES'!$AE$13:$AE$1012,MATCH(360,'CONTROLES'!$AH$13:$AH$1012,0)))</f>
      </c>
      <c r="F372" s="30">
        <f>IF(360&gt;$E$8,"",INDEX('CONTROLES'!$AF$13:$AF$1012,MATCH(360,'CONTROLES'!$AH$13:$AH$1012,0)))</f>
      </c>
      <c r="G372" s="30">
        <f>IF(360&gt;$E$8,"",IF(INDEX('CONTROLES'!$AG$13:$AG$1012,MATCH(360,'CONTROLES'!$AH$13:$AH$1012,0))=2,"ROJO","ÁMBAR"))</f>
      </c>
    </row>
    <row r="373" ht="22" customHeight="1">
      <c r="B373" s="30">
        <f>IF(361&gt;$E$8,"",INDEX('CONTROLES'!$AB$13:$AB$1012,MATCH(361,'CONTROLES'!$AH$13:$AH$1012,0)))</f>
      </c>
      <c r="C373" s="30">
        <f>IF(361&gt;$E$8,"",INDEX('CONTROLES'!$AC$13:$AC$1012,MATCH(361,'CONTROLES'!$AH$13:$AH$1012,0)))</f>
      </c>
      <c r="D373" s="30">
        <f>IF(361&gt;$E$8,"",INDEX('CONTROLES'!$AD$13:$AD$1012,MATCH(361,'CONTROLES'!$AH$13:$AH$1012,0)))</f>
      </c>
      <c r="E373" s="30">
        <f>IF(361&gt;$E$8,"",INDEX('CONTROLES'!$AE$13:$AE$1012,MATCH(361,'CONTROLES'!$AH$13:$AH$1012,0)))</f>
      </c>
      <c r="F373" s="30">
        <f>IF(361&gt;$E$8,"",INDEX('CONTROLES'!$AF$13:$AF$1012,MATCH(361,'CONTROLES'!$AH$13:$AH$1012,0)))</f>
      </c>
      <c r="G373" s="30">
        <f>IF(361&gt;$E$8,"",IF(INDEX('CONTROLES'!$AG$13:$AG$1012,MATCH(361,'CONTROLES'!$AH$13:$AH$1012,0))=2,"ROJO","ÁMBAR"))</f>
      </c>
    </row>
    <row r="374" ht="22" customHeight="1">
      <c r="B374" s="30">
        <f>IF(362&gt;$E$8,"",INDEX('CONTROLES'!$AB$13:$AB$1012,MATCH(362,'CONTROLES'!$AH$13:$AH$1012,0)))</f>
      </c>
      <c r="C374" s="30">
        <f>IF(362&gt;$E$8,"",INDEX('CONTROLES'!$AC$13:$AC$1012,MATCH(362,'CONTROLES'!$AH$13:$AH$1012,0)))</f>
      </c>
      <c r="D374" s="30">
        <f>IF(362&gt;$E$8,"",INDEX('CONTROLES'!$AD$13:$AD$1012,MATCH(362,'CONTROLES'!$AH$13:$AH$1012,0)))</f>
      </c>
      <c r="E374" s="30">
        <f>IF(362&gt;$E$8,"",INDEX('CONTROLES'!$AE$13:$AE$1012,MATCH(362,'CONTROLES'!$AH$13:$AH$1012,0)))</f>
      </c>
      <c r="F374" s="30">
        <f>IF(362&gt;$E$8,"",INDEX('CONTROLES'!$AF$13:$AF$1012,MATCH(362,'CONTROLES'!$AH$13:$AH$1012,0)))</f>
      </c>
      <c r="G374" s="30">
        <f>IF(362&gt;$E$8,"",IF(INDEX('CONTROLES'!$AG$13:$AG$1012,MATCH(362,'CONTROLES'!$AH$13:$AH$1012,0))=2,"ROJO","ÁMBAR"))</f>
      </c>
    </row>
    <row r="375" ht="22" customHeight="1">
      <c r="B375" s="30">
        <f>IF(363&gt;$E$8,"",INDEX('CONTROLES'!$AB$13:$AB$1012,MATCH(363,'CONTROLES'!$AH$13:$AH$1012,0)))</f>
      </c>
      <c r="C375" s="30">
        <f>IF(363&gt;$E$8,"",INDEX('CONTROLES'!$AC$13:$AC$1012,MATCH(363,'CONTROLES'!$AH$13:$AH$1012,0)))</f>
      </c>
      <c r="D375" s="30">
        <f>IF(363&gt;$E$8,"",INDEX('CONTROLES'!$AD$13:$AD$1012,MATCH(363,'CONTROLES'!$AH$13:$AH$1012,0)))</f>
      </c>
      <c r="E375" s="30">
        <f>IF(363&gt;$E$8,"",INDEX('CONTROLES'!$AE$13:$AE$1012,MATCH(363,'CONTROLES'!$AH$13:$AH$1012,0)))</f>
      </c>
      <c r="F375" s="30">
        <f>IF(363&gt;$E$8,"",INDEX('CONTROLES'!$AF$13:$AF$1012,MATCH(363,'CONTROLES'!$AH$13:$AH$1012,0)))</f>
      </c>
      <c r="G375" s="30">
        <f>IF(363&gt;$E$8,"",IF(INDEX('CONTROLES'!$AG$13:$AG$1012,MATCH(363,'CONTROLES'!$AH$13:$AH$1012,0))=2,"ROJO","ÁMBAR"))</f>
      </c>
    </row>
    <row r="376" ht="22" customHeight="1">
      <c r="B376" s="30">
        <f>IF(364&gt;$E$8,"",INDEX('CONTROLES'!$AB$13:$AB$1012,MATCH(364,'CONTROLES'!$AH$13:$AH$1012,0)))</f>
      </c>
      <c r="C376" s="30">
        <f>IF(364&gt;$E$8,"",INDEX('CONTROLES'!$AC$13:$AC$1012,MATCH(364,'CONTROLES'!$AH$13:$AH$1012,0)))</f>
      </c>
      <c r="D376" s="30">
        <f>IF(364&gt;$E$8,"",INDEX('CONTROLES'!$AD$13:$AD$1012,MATCH(364,'CONTROLES'!$AH$13:$AH$1012,0)))</f>
      </c>
      <c r="E376" s="30">
        <f>IF(364&gt;$E$8,"",INDEX('CONTROLES'!$AE$13:$AE$1012,MATCH(364,'CONTROLES'!$AH$13:$AH$1012,0)))</f>
      </c>
      <c r="F376" s="30">
        <f>IF(364&gt;$E$8,"",INDEX('CONTROLES'!$AF$13:$AF$1012,MATCH(364,'CONTROLES'!$AH$13:$AH$1012,0)))</f>
      </c>
      <c r="G376" s="30">
        <f>IF(364&gt;$E$8,"",IF(INDEX('CONTROLES'!$AG$13:$AG$1012,MATCH(364,'CONTROLES'!$AH$13:$AH$1012,0))=2,"ROJO","ÁMBAR"))</f>
      </c>
    </row>
    <row r="377" ht="22" customHeight="1">
      <c r="B377" s="30">
        <f>IF(365&gt;$E$8,"",INDEX('CONTROLES'!$AB$13:$AB$1012,MATCH(365,'CONTROLES'!$AH$13:$AH$1012,0)))</f>
      </c>
      <c r="C377" s="30">
        <f>IF(365&gt;$E$8,"",INDEX('CONTROLES'!$AC$13:$AC$1012,MATCH(365,'CONTROLES'!$AH$13:$AH$1012,0)))</f>
      </c>
      <c r="D377" s="30">
        <f>IF(365&gt;$E$8,"",INDEX('CONTROLES'!$AD$13:$AD$1012,MATCH(365,'CONTROLES'!$AH$13:$AH$1012,0)))</f>
      </c>
      <c r="E377" s="30">
        <f>IF(365&gt;$E$8,"",INDEX('CONTROLES'!$AE$13:$AE$1012,MATCH(365,'CONTROLES'!$AH$13:$AH$1012,0)))</f>
      </c>
      <c r="F377" s="30">
        <f>IF(365&gt;$E$8,"",INDEX('CONTROLES'!$AF$13:$AF$1012,MATCH(365,'CONTROLES'!$AH$13:$AH$1012,0)))</f>
      </c>
      <c r="G377" s="30">
        <f>IF(365&gt;$E$8,"",IF(INDEX('CONTROLES'!$AG$13:$AG$1012,MATCH(365,'CONTROLES'!$AH$13:$AH$1012,0))=2,"ROJO","ÁMBAR"))</f>
      </c>
    </row>
    <row r="378" ht="22" customHeight="1">
      <c r="B378" s="30">
        <f>IF(366&gt;$E$8,"",INDEX('CONTROLES'!$AB$13:$AB$1012,MATCH(366,'CONTROLES'!$AH$13:$AH$1012,0)))</f>
      </c>
      <c r="C378" s="30">
        <f>IF(366&gt;$E$8,"",INDEX('CONTROLES'!$AC$13:$AC$1012,MATCH(366,'CONTROLES'!$AH$13:$AH$1012,0)))</f>
      </c>
      <c r="D378" s="30">
        <f>IF(366&gt;$E$8,"",INDEX('CONTROLES'!$AD$13:$AD$1012,MATCH(366,'CONTROLES'!$AH$13:$AH$1012,0)))</f>
      </c>
      <c r="E378" s="30">
        <f>IF(366&gt;$E$8,"",INDEX('CONTROLES'!$AE$13:$AE$1012,MATCH(366,'CONTROLES'!$AH$13:$AH$1012,0)))</f>
      </c>
      <c r="F378" s="30">
        <f>IF(366&gt;$E$8,"",INDEX('CONTROLES'!$AF$13:$AF$1012,MATCH(366,'CONTROLES'!$AH$13:$AH$1012,0)))</f>
      </c>
      <c r="G378" s="30">
        <f>IF(366&gt;$E$8,"",IF(INDEX('CONTROLES'!$AG$13:$AG$1012,MATCH(366,'CONTROLES'!$AH$13:$AH$1012,0))=2,"ROJO","ÁMBAR"))</f>
      </c>
    </row>
    <row r="379" ht="22" customHeight="1">
      <c r="B379" s="30">
        <f>IF(367&gt;$E$8,"",INDEX('CONTROLES'!$AB$13:$AB$1012,MATCH(367,'CONTROLES'!$AH$13:$AH$1012,0)))</f>
      </c>
      <c r="C379" s="30">
        <f>IF(367&gt;$E$8,"",INDEX('CONTROLES'!$AC$13:$AC$1012,MATCH(367,'CONTROLES'!$AH$13:$AH$1012,0)))</f>
      </c>
      <c r="D379" s="30">
        <f>IF(367&gt;$E$8,"",INDEX('CONTROLES'!$AD$13:$AD$1012,MATCH(367,'CONTROLES'!$AH$13:$AH$1012,0)))</f>
      </c>
      <c r="E379" s="30">
        <f>IF(367&gt;$E$8,"",INDEX('CONTROLES'!$AE$13:$AE$1012,MATCH(367,'CONTROLES'!$AH$13:$AH$1012,0)))</f>
      </c>
      <c r="F379" s="30">
        <f>IF(367&gt;$E$8,"",INDEX('CONTROLES'!$AF$13:$AF$1012,MATCH(367,'CONTROLES'!$AH$13:$AH$1012,0)))</f>
      </c>
      <c r="G379" s="30">
        <f>IF(367&gt;$E$8,"",IF(INDEX('CONTROLES'!$AG$13:$AG$1012,MATCH(367,'CONTROLES'!$AH$13:$AH$1012,0))=2,"ROJO","ÁMBAR"))</f>
      </c>
    </row>
    <row r="380" ht="22" customHeight="1">
      <c r="B380" s="30">
        <f>IF(368&gt;$E$8,"",INDEX('CONTROLES'!$AB$13:$AB$1012,MATCH(368,'CONTROLES'!$AH$13:$AH$1012,0)))</f>
      </c>
      <c r="C380" s="30">
        <f>IF(368&gt;$E$8,"",INDEX('CONTROLES'!$AC$13:$AC$1012,MATCH(368,'CONTROLES'!$AH$13:$AH$1012,0)))</f>
      </c>
      <c r="D380" s="30">
        <f>IF(368&gt;$E$8,"",INDEX('CONTROLES'!$AD$13:$AD$1012,MATCH(368,'CONTROLES'!$AH$13:$AH$1012,0)))</f>
      </c>
      <c r="E380" s="30">
        <f>IF(368&gt;$E$8,"",INDEX('CONTROLES'!$AE$13:$AE$1012,MATCH(368,'CONTROLES'!$AH$13:$AH$1012,0)))</f>
      </c>
      <c r="F380" s="30">
        <f>IF(368&gt;$E$8,"",INDEX('CONTROLES'!$AF$13:$AF$1012,MATCH(368,'CONTROLES'!$AH$13:$AH$1012,0)))</f>
      </c>
      <c r="G380" s="30">
        <f>IF(368&gt;$E$8,"",IF(INDEX('CONTROLES'!$AG$13:$AG$1012,MATCH(368,'CONTROLES'!$AH$13:$AH$1012,0))=2,"ROJO","ÁMBAR"))</f>
      </c>
    </row>
    <row r="381" ht="22" customHeight="1">
      <c r="B381" s="30">
        <f>IF(369&gt;$E$8,"",INDEX('CONTROLES'!$AB$13:$AB$1012,MATCH(369,'CONTROLES'!$AH$13:$AH$1012,0)))</f>
      </c>
      <c r="C381" s="30">
        <f>IF(369&gt;$E$8,"",INDEX('CONTROLES'!$AC$13:$AC$1012,MATCH(369,'CONTROLES'!$AH$13:$AH$1012,0)))</f>
      </c>
      <c r="D381" s="30">
        <f>IF(369&gt;$E$8,"",INDEX('CONTROLES'!$AD$13:$AD$1012,MATCH(369,'CONTROLES'!$AH$13:$AH$1012,0)))</f>
      </c>
      <c r="E381" s="30">
        <f>IF(369&gt;$E$8,"",INDEX('CONTROLES'!$AE$13:$AE$1012,MATCH(369,'CONTROLES'!$AH$13:$AH$1012,0)))</f>
      </c>
      <c r="F381" s="30">
        <f>IF(369&gt;$E$8,"",INDEX('CONTROLES'!$AF$13:$AF$1012,MATCH(369,'CONTROLES'!$AH$13:$AH$1012,0)))</f>
      </c>
      <c r="G381" s="30">
        <f>IF(369&gt;$E$8,"",IF(INDEX('CONTROLES'!$AG$13:$AG$1012,MATCH(369,'CONTROLES'!$AH$13:$AH$1012,0))=2,"ROJO","ÁMBAR"))</f>
      </c>
    </row>
    <row r="382" ht="22" customHeight="1">
      <c r="B382" s="30">
        <f>IF(370&gt;$E$8,"",INDEX('CONTROLES'!$AB$13:$AB$1012,MATCH(370,'CONTROLES'!$AH$13:$AH$1012,0)))</f>
      </c>
      <c r="C382" s="30">
        <f>IF(370&gt;$E$8,"",INDEX('CONTROLES'!$AC$13:$AC$1012,MATCH(370,'CONTROLES'!$AH$13:$AH$1012,0)))</f>
      </c>
      <c r="D382" s="30">
        <f>IF(370&gt;$E$8,"",INDEX('CONTROLES'!$AD$13:$AD$1012,MATCH(370,'CONTROLES'!$AH$13:$AH$1012,0)))</f>
      </c>
      <c r="E382" s="30">
        <f>IF(370&gt;$E$8,"",INDEX('CONTROLES'!$AE$13:$AE$1012,MATCH(370,'CONTROLES'!$AH$13:$AH$1012,0)))</f>
      </c>
      <c r="F382" s="30">
        <f>IF(370&gt;$E$8,"",INDEX('CONTROLES'!$AF$13:$AF$1012,MATCH(370,'CONTROLES'!$AH$13:$AH$1012,0)))</f>
      </c>
      <c r="G382" s="30">
        <f>IF(370&gt;$E$8,"",IF(INDEX('CONTROLES'!$AG$13:$AG$1012,MATCH(370,'CONTROLES'!$AH$13:$AH$1012,0))=2,"ROJO","ÁMBAR"))</f>
      </c>
    </row>
    <row r="383" ht="22" customHeight="1">
      <c r="B383" s="30">
        <f>IF(371&gt;$E$8,"",INDEX('CONTROLES'!$AB$13:$AB$1012,MATCH(371,'CONTROLES'!$AH$13:$AH$1012,0)))</f>
      </c>
      <c r="C383" s="30">
        <f>IF(371&gt;$E$8,"",INDEX('CONTROLES'!$AC$13:$AC$1012,MATCH(371,'CONTROLES'!$AH$13:$AH$1012,0)))</f>
      </c>
      <c r="D383" s="30">
        <f>IF(371&gt;$E$8,"",INDEX('CONTROLES'!$AD$13:$AD$1012,MATCH(371,'CONTROLES'!$AH$13:$AH$1012,0)))</f>
      </c>
      <c r="E383" s="30">
        <f>IF(371&gt;$E$8,"",INDEX('CONTROLES'!$AE$13:$AE$1012,MATCH(371,'CONTROLES'!$AH$13:$AH$1012,0)))</f>
      </c>
      <c r="F383" s="30">
        <f>IF(371&gt;$E$8,"",INDEX('CONTROLES'!$AF$13:$AF$1012,MATCH(371,'CONTROLES'!$AH$13:$AH$1012,0)))</f>
      </c>
      <c r="G383" s="30">
        <f>IF(371&gt;$E$8,"",IF(INDEX('CONTROLES'!$AG$13:$AG$1012,MATCH(371,'CONTROLES'!$AH$13:$AH$1012,0))=2,"ROJO","ÁMBAR"))</f>
      </c>
    </row>
    <row r="384" ht="22" customHeight="1">
      <c r="B384" s="30">
        <f>IF(372&gt;$E$8,"",INDEX('CONTROLES'!$AB$13:$AB$1012,MATCH(372,'CONTROLES'!$AH$13:$AH$1012,0)))</f>
      </c>
      <c r="C384" s="30">
        <f>IF(372&gt;$E$8,"",INDEX('CONTROLES'!$AC$13:$AC$1012,MATCH(372,'CONTROLES'!$AH$13:$AH$1012,0)))</f>
      </c>
      <c r="D384" s="30">
        <f>IF(372&gt;$E$8,"",INDEX('CONTROLES'!$AD$13:$AD$1012,MATCH(372,'CONTROLES'!$AH$13:$AH$1012,0)))</f>
      </c>
      <c r="E384" s="30">
        <f>IF(372&gt;$E$8,"",INDEX('CONTROLES'!$AE$13:$AE$1012,MATCH(372,'CONTROLES'!$AH$13:$AH$1012,0)))</f>
      </c>
      <c r="F384" s="30">
        <f>IF(372&gt;$E$8,"",INDEX('CONTROLES'!$AF$13:$AF$1012,MATCH(372,'CONTROLES'!$AH$13:$AH$1012,0)))</f>
      </c>
      <c r="G384" s="30">
        <f>IF(372&gt;$E$8,"",IF(INDEX('CONTROLES'!$AG$13:$AG$1012,MATCH(372,'CONTROLES'!$AH$13:$AH$1012,0))=2,"ROJO","ÁMBAR"))</f>
      </c>
    </row>
    <row r="385" ht="22" customHeight="1">
      <c r="B385" s="30">
        <f>IF(373&gt;$E$8,"",INDEX('CONTROLES'!$AB$13:$AB$1012,MATCH(373,'CONTROLES'!$AH$13:$AH$1012,0)))</f>
      </c>
      <c r="C385" s="30">
        <f>IF(373&gt;$E$8,"",INDEX('CONTROLES'!$AC$13:$AC$1012,MATCH(373,'CONTROLES'!$AH$13:$AH$1012,0)))</f>
      </c>
      <c r="D385" s="30">
        <f>IF(373&gt;$E$8,"",INDEX('CONTROLES'!$AD$13:$AD$1012,MATCH(373,'CONTROLES'!$AH$13:$AH$1012,0)))</f>
      </c>
      <c r="E385" s="30">
        <f>IF(373&gt;$E$8,"",INDEX('CONTROLES'!$AE$13:$AE$1012,MATCH(373,'CONTROLES'!$AH$13:$AH$1012,0)))</f>
      </c>
      <c r="F385" s="30">
        <f>IF(373&gt;$E$8,"",INDEX('CONTROLES'!$AF$13:$AF$1012,MATCH(373,'CONTROLES'!$AH$13:$AH$1012,0)))</f>
      </c>
      <c r="G385" s="30">
        <f>IF(373&gt;$E$8,"",IF(INDEX('CONTROLES'!$AG$13:$AG$1012,MATCH(373,'CONTROLES'!$AH$13:$AH$1012,0))=2,"ROJO","ÁMBAR"))</f>
      </c>
    </row>
    <row r="386" ht="22" customHeight="1">
      <c r="B386" s="30">
        <f>IF(374&gt;$E$8,"",INDEX('CONTROLES'!$AB$13:$AB$1012,MATCH(374,'CONTROLES'!$AH$13:$AH$1012,0)))</f>
      </c>
      <c r="C386" s="30">
        <f>IF(374&gt;$E$8,"",INDEX('CONTROLES'!$AC$13:$AC$1012,MATCH(374,'CONTROLES'!$AH$13:$AH$1012,0)))</f>
      </c>
      <c r="D386" s="30">
        <f>IF(374&gt;$E$8,"",INDEX('CONTROLES'!$AD$13:$AD$1012,MATCH(374,'CONTROLES'!$AH$13:$AH$1012,0)))</f>
      </c>
      <c r="E386" s="30">
        <f>IF(374&gt;$E$8,"",INDEX('CONTROLES'!$AE$13:$AE$1012,MATCH(374,'CONTROLES'!$AH$13:$AH$1012,0)))</f>
      </c>
      <c r="F386" s="30">
        <f>IF(374&gt;$E$8,"",INDEX('CONTROLES'!$AF$13:$AF$1012,MATCH(374,'CONTROLES'!$AH$13:$AH$1012,0)))</f>
      </c>
      <c r="G386" s="30">
        <f>IF(374&gt;$E$8,"",IF(INDEX('CONTROLES'!$AG$13:$AG$1012,MATCH(374,'CONTROLES'!$AH$13:$AH$1012,0))=2,"ROJO","ÁMBAR"))</f>
      </c>
    </row>
    <row r="387" ht="22" customHeight="1">
      <c r="B387" s="30">
        <f>IF(375&gt;$E$8,"",INDEX('CONTROLES'!$AB$13:$AB$1012,MATCH(375,'CONTROLES'!$AH$13:$AH$1012,0)))</f>
      </c>
      <c r="C387" s="30">
        <f>IF(375&gt;$E$8,"",INDEX('CONTROLES'!$AC$13:$AC$1012,MATCH(375,'CONTROLES'!$AH$13:$AH$1012,0)))</f>
      </c>
      <c r="D387" s="30">
        <f>IF(375&gt;$E$8,"",INDEX('CONTROLES'!$AD$13:$AD$1012,MATCH(375,'CONTROLES'!$AH$13:$AH$1012,0)))</f>
      </c>
      <c r="E387" s="30">
        <f>IF(375&gt;$E$8,"",INDEX('CONTROLES'!$AE$13:$AE$1012,MATCH(375,'CONTROLES'!$AH$13:$AH$1012,0)))</f>
      </c>
      <c r="F387" s="30">
        <f>IF(375&gt;$E$8,"",INDEX('CONTROLES'!$AF$13:$AF$1012,MATCH(375,'CONTROLES'!$AH$13:$AH$1012,0)))</f>
      </c>
      <c r="G387" s="30">
        <f>IF(375&gt;$E$8,"",IF(INDEX('CONTROLES'!$AG$13:$AG$1012,MATCH(375,'CONTROLES'!$AH$13:$AH$1012,0))=2,"ROJO","ÁMBAR"))</f>
      </c>
    </row>
    <row r="388" ht="22" customHeight="1">
      <c r="B388" s="30">
        <f>IF(376&gt;$E$8,"",INDEX('CONTROLES'!$AB$13:$AB$1012,MATCH(376,'CONTROLES'!$AH$13:$AH$1012,0)))</f>
      </c>
      <c r="C388" s="30">
        <f>IF(376&gt;$E$8,"",INDEX('CONTROLES'!$AC$13:$AC$1012,MATCH(376,'CONTROLES'!$AH$13:$AH$1012,0)))</f>
      </c>
      <c r="D388" s="30">
        <f>IF(376&gt;$E$8,"",INDEX('CONTROLES'!$AD$13:$AD$1012,MATCH(376,'CONTROLES'!$AH$13:$AH$1012,0)))</f>
      </c>
      <c r="E388" s="30">
        <f>IF(376&gt;$E$8,"",INDEX('CONTROLES'!$AE$13:$AE$1012,MATCH(376,'CONTROLES'!$AH$13:$AH$1012,0)))</f>
      </c>
      <c r="F388" s="30">
        <f>IF(376&gt;$E$8,"",INDEX('CONTROLES'!$AF$13:$AF$1012,MATCH(376,'CONTROLES'!$AH$13:$AH$1012,0)))</f>
      </c>
      <c r="G388" s="30">
        <f>IF(376&gt;$E$8,"",IF(INDEX('CONTROLES'!$AG$13:$AG$1012,MATCH(376,'CONTROLES'!$AH$13:$AH$1012,0))=2,"ROJO","ÁMBAR"))</f>
      </c>
    </row>
    <row r="389" ht="22" customHeight="1">
      <c r="B389" s="30">
        <f>IF(377&gt;$E$8,"",INDEX('CONTROLES'!$AB$13:$AB$1012,MATCH(377,'CONTROLES'!$AH$13:$AH$1012,0)))</f>
      </c>
      <c r="C389" s="30">
        <f>IF(377&gt;$E$8,"",INDEX('CONTROLES'!$AC$13:$AC$1012,MATCH(377,'CONTROLES'!$AH$13:$AH$1012,0)))</f>
      </c>
      <c r="D389" s="30">
        <f>IF(377&gt;$E$8,"",INDEX('CONTROLES'!$AD$13:$AD$1012,MATCH(377,'CONTROLES'!$AH$13:$AH$1012,0)))</f>
      </c>
      <c r="E389" s="30">
        <f>IF(377&gt;$E$8,"",INDEX('CONTROLES'!$AE$13:$AE$1012,MATCH(377,'CONTROLES'!$AH$13:$AH$1012,0)))</f>
      </c>
      <c r="F389" s="30">
        <f>IF(377&gt;$E$8,"",INDEX('CONTROLES'!$AF$13:$AF$1012,MATCH(377,'CONTROLES'!$AH$13:$AH$1012,0)))</f>
      </c>
      <c r="G389" s="30">
        <f>IF(377&gt;$E$8,"",IF(INDEX('CONTROLES'!$AG$13:$AG$1012,MATCH(377,'CONTROLES'!$AH$13:$AH$1012,0))=2,"ROJO","ÁMBAR"))</f>
      </c>
    </row>
    <row r="390" ht="22" customHeight="1">
      <c r="B390" s="30">
        <f>IF(378&gt;$E$8,"",INDEX('CONTROLES'!$AB$13:$AB$1012,MATCH(378,'CONTROLES'!$AH$13:$AH$1012,0)))</f>
      </c>
      <c r="C390" s="30">
        <f>IF(378&gt;$E$8,"",INDEX('CONTROLES'!$AC$13:$AC$1012,MATCH(378,'CONTROLES'!$AH$13:$AH$1012,0)))</f>
      </c>
      <c r="D390" s="30">
        <f>IF(378&gt;$E$8,"",INDEX('CONTROLES'!$AD$13:$AD$1012,MATCH(378,'CONTROLES'!$AH$13:$AH$1012,0)))</f>
      </c>
      <c r="E390" s="30">
        <f>IF(378&gt;$E$8,"",INDEX('CONTROLES'!$AE$13:$AE$1012,MATCH(378,'CONTROLES'!$AH$13:$AH$1012,0)))</f>
      </c>
      <c r="F390" s="30">
        <f>IF(378&gt;$E$8,"",INDEX('CONTROLES'!$AF$13:$AF$1012,MATCH(378,'CONTROLES'!$AH$13:$AH$1012,0)))</f>
      </c>
      <c r="G390" s="30">
        <f>IF(378&gt;$E$8,"",IF(INDEX('CONTROLES'!$AG$13:$AG$1012,MATCH(378,'CONTROLES'!$AH$13:$AH$1012,0))=2,"ROJO","ÁMBAR"))</f>
      </c>
    </row>
    <row r="391" ht="22" customHeight="1">
      <c r="B391" s="30">
        <f>IF(379&gt;$E$8,"",INDEX('CONTROLES'!$AB$13:$AB$1012,MATCH(379,'CONTROLES'!$AH$13:$AH$1012,0)))</f>
      </c>
      <c r="C391" s="30">
        <f>IF(379&gt;$E$8,"",INDEX('CONTROLES'!$AC$13:$AC$1012,MATCH(379,'CONTROLES'!$AH$13:$AH$1012,0)))</f>
      </c>
      <c r="D391" s="30">
        <f>IF(379&gt;$E$8,"",INDEX('CONTROLES'!$AD$13:$AD$1012,MATCH(379,'CONTROLES'!$AH$13:$AH$1012,0)))</f>
      </c>
      <c r="E391" s="30">
        <f>IF(379&gt;$E$8,"",INDEX('CONTROLES'!$AE$13:$AE$1012,MATCH(379,'CONTROLES'!$AH$13:$AH$1012,0)))</f>
      </c>
      <c r="F391" s="30">
        <f>IF(379&gt;$E$8,"",INDEX('CONTROLES'!$AF$13:$AF$1012,MATCH(379,'CONTROLES'!$AH$13:$AH$1012,0)))</f>
      </c>
      <c r="G391" s="30">
        <f>IF(379&gt;$E$8,"",IF(INDEX('CONTROLES'!$AG$13:$AG$1012,MATCH(379,'CONTROLES'!$AH$13:$AH$1012,0))=2,"ROJO","ÁMBAR"))</f>
      </c>
    </row>
    <row r="392" ht="22" customHeight="1">
      <c r="B392" s="30">
        <f>IF(380&gt;$E$8,"",INDEX('CONTROLES'!$AB$13:$AB$1012,MATCH(380,'CONTROLES'!$AH$13:$AH$1012,0)))</f>
      </c>
      <c r="C392" s="30">
        <f>IF(380&gt;$E$8,"",INDEX('CONTROLES'!$AC$13:$AC$1012,MATCH(380,'CONTROLES'!$AH$13:$AH$1012,0)))</f>
      </c>
      <c r="D392" s="30">
        <f>IF(380&gt;$E$8,"",INDEX('CONTROLES'!$AD$13:$AD$1012,MATCH(380,'CONTROLES'!$AH$13:$AH$1012,0)))</f>
      </c>
      <c r="E392" s="30">
        <f>IF(380&gt;$E$8,"",INDEX('CONTROLES'!$AE$13:$AE$1012,MATCH(380,'CONTROLES'!$AH$13:$AH$1012,0)))</f>
      </c>
      <c r="F392" s="30">
        <f>IF(380&gt;$E$8,"",INDEX('CONTROLES'!$AF$13:$AF$1012,MATCH(380,'CONTROLES'!$AH$13:$AH$1012,0)))</f>
      </c>
      <c r="G392" s="30">
        <f>IF(380&gt;$E$8,"",IF(INDEX('CONTROLES'!$AG$13:$AG$1012,MATCH(380,'CONTROLES'!$AH$13:$AH$1012,0))=2,"ROJO","ÁMBAR"))</f>
      </c>
    </row>
    <row r="393" ht="22" customHeight="1">
      <c r="B393" s="30">
        <f>IF(381&gt;$E$8,"",INDEX('CONTROLES'!$AB$13:$AB$1012,MATCH(381,'CONTROLES'!$AH$13:$AH$1012,0)))</f>
      </c>
      <c r="C393" s="30">
        <f>IF(381&gt;$E$8,"",INDEX('CONTROLES'!$AC$13:$AC$1012,MATCH(381,'CONTROLES'!$AH$13:$AH$1012,0)))</f>
      </c>
      <c r="D393" s="30">
        <f>IF(381&gt;$E$8,"",INDEX('CONTROLES'!$AD$13:$AD$1012,MATCH(381,'CONTROLES'!$AH$13:$AH$1012,0)))</f>
      </c>
      <c r="E393" s="30">
        <f>IF(381&gt;$E$8,"",INDEX('CONTROLES'!$AE$13:$AE$1012,MATCH(381,'CONTROLES'!$AH$13:$AH$1012,0)))</f>
      </c>
      <c r="F393" s="30">
        <f>IF(381&gt;$E$8,"",INDEX('CONTROLES'!$AF$13:$AF$1012,MATCH(381,'CONTROLES'!$AH$13:$AH$1012,0)))</f>
      </c>
      <c r="G393" s="30">
        <f>IF(381&gt;$E$8,"",IF(INDEX('CONTROLES'!$AG$13:$AG$1012,MATCH(381,'CONTROLES'!$AH$13:$AH$1012,0))=2,"ROJO","ÁMBAR"))</f>
      </c>
    </row>
    <row r="394" ht="22" customHeight="1">
      <c r="B394" s="30">
        <f>IF(382&gt;$E$8,"",INDEX('CONTROLES'!$AB$13:$AB$1012,MATCH(382,'CONTROLES'!$AH$13:$AH$1012,0)))</f>
      </c>
      <c r="C394" s="30">
        <f>IF(382&gt;$E$8,"",INDEX('CONTROLES'!$AC$13:$AC$1012,MATCH(382,'CONTROLES'!$AH$13:$AH$1012,0)))</f>
      </c>
      <c r="D394" s="30">
        <f>IF(382&gt;$E$8,"",INDEX('CONTROLES'!$AD$13:$AD$1012,MATCH(382,'CONTROLES'!$AH$13:$AH$1012,0)))</f>
      </c>
      <c r="E394" s="30">
        <f>IF(382&gt;$E$8,"",INDEX('CONTROLES'!$AE$13:$AE$1012,MATCH(382,'CONTROLES'!$AH$13:$AH$1012,0)))</f>
      </c>
      <c r="F394" s="30">
        <f>IF(382&gt;$E$8,"",INDEX('CONTROLES'!$AF$13:$AF$1012,MATCH(382,'CONTROLES'!$AH$13:$AH$1012,0)))</f>
      </c>
      <c r="G394" s="30">
        <f>IF(382&gt;$E$8,"",IF(INDEX('CONTROLES'!$AG$13:$AG$1012,MATCH(382,'CONTROLES'!$AH$13:$AH$1012,0))=2,"ROJO","ÁMBAR"))</f>
      </c>
    </row>
    <row r="395" ht="22" customHeight="1">
      <c r="B395" s="30">
        <f>IF(383&gt;$E$8,"",INDEX('CONTROLES'!$AB$13:$AB$1012,MATCH(383,'CONTROLES'!$AH$13:$AH$1012,0)))</f>
      </c>
      <c r="C395" s="30">
        <f>IF(383&gt;$E$8,"",INDEX('CONTROLES'!$AC$13:$AC$1012,MATCH(383,'CONTROLES'!$AH$13:$AH$1012,0)))</f>
      </c>
      <c r="D395" s="30">
        <f>IF(383&gt;$E$8,"",INDEX('CONTROLES'!$AD$13:$AD$1012,MATCH(383,'CONTROLES'!$AH$13:$AH$1012,0)))</f>
      </c>
      <c r="E395" s="30">
        <f>IF(383&gt;$E$8,"",INDEX('CONTROLES'!$AE$13:$AE$1012,MATCH(383,'CONTROLES'!$AH$13:$AH$1012,0)))</f>
      </c>
      <c r="F395" s="30">
        <f>IF(383&gt;$E$8,"",INDEX('CONTROLES'!$AF$13:$AF$1012,MATCH(383,'CONTROLES'!$AH$13:$AH$1012,0)))</f>
      </c>
      <c r="G395" s="30">
        <f>IF(383&gt;$E$8,"",IF(INDEX('CONTROLES'!$AG$13:$AG$1012,MATCH(383,'CONTROLES'!$AH$13:$AH$1012,0))=2,"ROJO","ÁMBAR"))</f>
      </c>
    </row>
    <row r="396" ht="22" customHeight="1">
      <c r="B396" s="30">
        <f>IF(384&gt;$E$8,"",INDEX('CONTROLES'!$AB$13:$AB$1012,MATCH(384,'CONTROLES'!$AH$13:$AH$1012,0)))</f>
      </c>
      <c r="C396" s="30">
        <f>IF(384&gt;$E$8,"",INDEX('CONTROLES'!$AC$13:$AC$1012,MATCH(384,'CONTROLES'!$AH$13:$AH$1012,0)))</f>
      </c>
      <c r="D396" s="30">
        <f>IF(384&gt;$E$8,"",INDEX('CONTROLES'!$AD$13:$AD$1012,MATCH(384,'CONTROLES'!$AH$13:$AH$1012,0)))</f>
      </c>
      <c r="E396" s="30">
        <f>IF(384&gt;$E$8,"",INDEX('CONTROLES'!$AE$13:$AE$1012,MATCH(384,'CONTROLES'!$AH$13:$AH$1012,0)))</f>
      </c>
      <c r="F396" s="30">
        <f>IF(384&gt;$E$8,"",INDEX('CONTROLES'!$AF$13:$AF$1012,MATCH(384,'CONTROLES'!$AH$13:$AH$1012,0)))</f>
      </c>
      <c r="G396" s="30">
        <f>IF(384&gt;$E$8,"",IF(INDEX('CONTROLES'!$AG$13:$AG$1012,MATCH(384,'CONTROLES'!$AH$13:$AH$1012,0))=2,"ROJO","ÁMBAR"))</f>
      </c>
    </row>
    <row r="397" ht="22" customHeight="1">
      <c r="B397" s="30">
        <f>IF(385&gt;$E$8,"",INDEX('CONTROLES'!$AB$13:$AB$1012,MATCH(385,'CONTROLES'!$AH$13:$AH$1012,0)))</f>
      </c>
      <c r="C397" s="30">
        <f>IF(385&gt;$E$8,"",INDEX('CONTROLES'!$AC$13:$AC$1012,MATCH(385,'CONTROLES'!$AH$13:$AH$1012,0)))</f>
      </c>
      <c r="D397" s="30">
        <f>IF(385&gt;$E$8,"",INDEX('CONTROLES'!$AD$13:$AD$1012,MATCH(385,'CONTROLES'!$AH$13:$AH$1012,0)))</f>
      </c>
      <c r="E397" s="30">
        <f>IF(385&gt;$E$8,"",INDEX('CONTROLES'!$AE$13:$AE$1012,MATCH(385,'CONTROLES'!$AH$13:$AH$1012,0)))</f>
      </c>
      <c r="F397" s="30">
        <f>IF(385&gt;$E$8,"",INDEX('CONTROLES'!$AF$13:$AF$1012,MATCH(385,'CONTROLES'!$AH$13:$AH$1012,0)))</f>
      </c>
      <c r="G397" s="30">
        <f>IF(385&gt;$E$8,"",IF(INDEX('CONTROLES'!$AG$13:$AG$1012,MATCH(385,'CONTROLES'!$AH$13:$AH$1012,0))=2,"ROJO","ÁMBAR"))</f>
      </c>
    </row>
    <row r="398" ht="22" customHeight="1">
      <c r="B398" s="30">
        <f>IF(386&gt;$E$8,"",INDEX('CONTROLES'!$AB$13:$AB$1012,MATCH(386,'CONTROLES'!$AH$13:$AH$1012,0)))</f>
      </c>
      <c r="C398" s="30">
        <f>IF(386&gt;$E$8,"",INDEX('CONTROLES'!$AC$13:$AC$1012,MATCH(386,'CONTROLES'!$AH$13:$AH$1012,0)))</f>
      </c>
      <c r="D398" s="30">
        <f>IF(386&gt;$E$8,"",INDEX('CONTROLES'!$AD$13:$AD$1012,MATCH(386,'CONTROLES'!$AH$13:$AH$1012,0)))</f>
      </c>
      <c r="E398" s="30">
        <f>IF(386&gt;$E$8,"",INDEX('CONTROLES'!$AE$13:$AE$1012,MATCH(386,'CONTROLES'!$AH$13:$AH$1012,0)))</f>
      </c>
      <c r="F398" s="30">
        <f>IF(386&gt;$E$8,"",INDEX('CONTROLES'!$AF$13:$AF$1012,MATCH(386,'CONTROLES'!$AH$13:$AH$1012,0)))</f>
      </c>
      <c r="G398" s="30">
        <f>IF(386&gt;$E$8,"",IF(INDEX('CONTROLES'!$AG$13:$AG$1012,MATCH(386,'CONTROLES'!$AH$13:$AH$1012,0))=2,"ROJO","ÁMBAR"))</f>
      </c>
    </row>
    <row r="399" ht="22" customHeight="1">
      <c r="B399" s="30">
        <f>IF(387&gt;$E$8,"",INDEX('CONTROLES'!$AB$13:$AB$1012,MATCH(387,'CONTROLES'!$AH$13:$AH$1012,0)))</f>
      </c>
      <c r="C399" s="30">
        <f>IF(387&gt;$E$8,"",INDEX('CONTROLES'!$AC$13:$AC$1012,MATCH(387,'CONTROLES'!$AH$13:$AH$1012,0)))</f>
      </c>
      <c r="D399" s="30">
        <f>IF(387&gt;$E$8,"",INDEX('CONTROLES'!$AD$13:$AD$1012,MATCH(387,'CONTROLES'!$AH$13:$AH$1012,0)))</f>
      </c>
      <c r="E399" s="30">
        <f>IF(387&gt;$E$8,"",INDEX('CONTROLES'!$AE$13:$AE$1012,MATCH(387,'CONTROLES'!$AH$13:$AH$1012,0)))</f>
      </c>
      <c r="F399" s="30">
        <f>IF(387&gt;$E$8,"",INDEX('CONTROLES'!$AF$13:$AF$1012,MATCH(387,'CONTROLES'!$AH$13:$AH$1012,0)))</f>
      </c>
      <c r="G399" s="30">
        <f>IF(387&gt;$E$8,"",IF(INDEX('CONTROLES'!$AG$13:$AG$1012,MATCH(387,'CONTROLES'!$AH$13:$AH$1012,0))=2,"ROJO","ÁMBAR"))</f>
      </c>
    </row>
    <row r="400" ht="22" customHeight="1">
      <c r="B400" s="30">
        <f>IF(388&gt;$E$8,"",INDEX('CONTROLES'!$AB$13:$AB$1012,MATCH(388,'CONTROLES'!$AH$13:$AH$1012,0)))</f>
      </c>
      <c r="C400" s="30">
        <f>IF(388&gt;$E$8,"",INDEX('CONTROLES'!$AC$13:$AC$1012,MATCH(388,'CONTROLES'!$AH$13:$AH$1012,0)))</f>
      </c>
      <c r="D400" s="30">
        <f>IF(388&gt;$E$8,"",INDEX('CONTROLES'!$AD$13:$AD$1012,MATCH(388,'CONTROLES'!$AH$13:$AH$1012,0)))</f>
      </c>
      <c r="E400" s="30">
        <f>IF(388&gt;$E$8,"",INDEX('CONTROLES'!$AE$13:$AE$1012,MATCH(388,'CONTROLES'!$AH$13:$AH$1012,0)))</f>
      </c>
      <c r="F400" s="30">
        <f>IF(388&gt;$E$8,"",INDEX('CONTROLES'!$AF$13:$AF$1012,MATCH(388,'CONTROLES'!$AH$13:$AH$1012,0)))</f>
      </c>
      <c r="G400" s="30">
        <f>IF(388&gt;$E$8,"",IF(INDEX('CONTROLES'!$AG$13:$AG$1012,MATCH(388,'CONTROLES'!$AH$13:$AH$1012,0))=2,"ROJO","ÁMBAR"))</f>
      </c>
    </row>
    <row r="401" ht="22" customHeight="1">
      <c r="B401" s="30">
        <f>IF(389&gt;$E$8,"",INDEX('CONTROLES'!$AB$13:$AB$1012,MATCH(389,'CONTROLES'!$AH$13:$AH$1012,0)))</f>
      </c>
      <c r="C401" s="30">
        <f>IF(389&gt;$E$8,"",INDEX('CONTROLES'!$AC$13:$AC$1012,MATCH(389,'CONTROLES'!$AH$13:$AH$1012,0)))</f>
      </c>
      <c r="D401" s="30">
        <f>IF(389&gt;$E$8,"",INDEX('CONTROLES'!$AD$13:$AD$1012,MATCH(389,'CONTROLES'!$AH$13:$AH$1012,0)))</f>
      </c>
      <c r="E401" s="30">
        <f>IF(389&gt;$E$8,"",INDEX('CONTROLES'!$AE$13:$AE$1012,MATCH(389,'CONTROLES'!$AH$13:$AH$1012,0)))</f>
      </c>
      <c r="F401" s="30">
        <f>IF(389&gt;$E$8,"",INDEX('CONTROLES'!$AF$13:$AF$1012,MATCH(389,'CONTROLES'!$AH$13:$AH$1012,0)))</f>
      </c>
      <c r="G401" s="30">
        <f>IF(389&gt;$E$8,"",IF(INDEX('CONTROLES'!$AG$13:$AG$1012,MATCH(389,'CONTROLES'!$AH$13:$AH$1012,0))=2,"ROJO","ÁMBAR"))</f>
      </c>
    </row>
    <row r="402" ht="22" customHeight="1">
      <c r="B402" s="30">
        <f>IF(390&gt;$E$8,"",INDEX('CONTROLES'!$AB$13:$AB$1012,MATCH(390,'CONTROLES'!$AH$13:$AH$1012,0)))</f>
      </c>
      <c r="C402" s="30">
        <f>IF(390&gt;$E$8,"",INDEX('CONTROLES'!$AC$13:$AC$1012,MATCH(390,'CONTROLES'!$AH$13:$AH$1012,0)))</f>
      </c>
      <c r="D402" s="30">
        <f>IF(390&gt;$E$8,"",INDEX('CONTROLES'!$AD$13:$AD$1012,MATCH(390,'CONTROLES'!$AH$13:$AH$1012,0)))</f>
      </c>
      <c r="E402" s="30">
        <f>IF(390&gt;$E$8,"",INDEX('CONTROLES'!$AE$13:$AE$1012,MATCH(390,'CONTROLES'!$AH$13:$AH$1012,0)))</f>
      </c>
      <c r="F402" s="30">
        <f>IF(390&gt;$E$8,"",INDEX('CONTROLES'!$AF$13:$AF$1012,MATCH(390,'CONTROLES'!$AH$13:$AH$1012,0)))</f>
      </c>
      <c r="G402" s="30">
        <f>IF(390&gt;$E$8,"",IF(INDEX('CONTROLES'!$AG$13:$AG$1012,MATCH(390,'CONTROLES'!$AH$13:$AH$1012,0))=2,"ROJO","ÁMBAR"))</f>
      </c>
    </row>
    <row r="403" ht="22" customHeight="1">
      <c r="B403" s="30">
        <f>IF(391&gt;$E$8,"",INDEX('CONTROLES'!$AB$13:$AB$1012,MATCH(391,'CONTROLES'!$AH$13:$AH$1012,0)))</f>
      </c>
      <c r="C403" s="30">
        <f>IF(391&gt;$E$8,"",INDEX('CONTROLES'!$AC$13:$AC$1012,MATCH(391,'CONTROLES'!$AH$13:$AH$1012,0)))</f>
      </c>
      <c r="D403" s="30">
        <f>IF(391&gt;$E$8,"",INDEX('CONTROLES'!$AD$13:$AD$1012,MATCH(391,'CONTROLES'!$AH$13:$AH$1012,0)))</f>
      </c>
      <c r="E403" s="30">
        <f>IF(391&gt;$E$8,"",INDEX('CONTROLES'!$AE$13:$AE$1012,MATCH(391,'CONTROLES'!$AH$13:$AH$1012,0)))</f>
      </c>
      <c r="F403" s="30">
        <f>IF(391&gt;$E$8,"",INDEX('CONTROLES'!$AF$13:$AF$1012,MATCH(391,'CONTROLES'!$AH$13:$AH$1012,0)))</f>
      </c>
      <c r="G403" s="30">
        <f>IF(391&gt;$E$8,"",IF(INDEX('CONTROLES'!$AG$13:$AG$1012,MATCH(391,'CONTROLES'!$AH$13:$AH$1012,0))=2,"ROJO","ÁMBAR"))</f>
      </c>
    </row>
    <row r="404" ht="22" customHeight="1">
      <c r="B404" s="30">
        <f>IF(392&gt;$E$8,"",INDEX('CONTROLES'!$AB$13:$AB$1012,MATCH(392,'CONTROLES'!$AH$13:$AH$1012,0)))</f>
      </c>
      <c r="C404" s="30">
        <f>IF(392&gt;$E$8,"",INDEX('CONTROLES'!$AC$13:$AC$1012,MATCH(392,'CONTROLES'!$AH$13:$AH$1012,0)))</f>
      </c>
      <c r="D404" s="30">
        <f>IF(392&gt;$E$8,"",INDEX('CONTROLES'!$AD$13:$AD$1012,MATCH(392,'CONTROLES'!$AH$13:$AH$1012,0)))</f>
      </c>
      <c r="E404" s="30">
        <f>IF(392&gt;$E$8,"",INDEX('CONTROLES'!$AE$13:$AE$1012,MATCH(392,'CONTROLES'!$AH$13:$AH$1012,0)))</f>
      </c>
      <c r="F404" s="30">
        <f>IF(392&gt;$E$8,"",INDEX('CONTROLES'!$AF$13:$AF$1012,MATCH(392,'CONTROLES'!$AH$13:$AH$1012,0)))</f>
      </c>
      <c r="G404" s="30">
        <f>IF(392&gt;$E$8,"",IF(INDEX('CONTROLES'!$AG$13:$AG$1012,MATCH(392,'CONTROLES'!$AH$13:$AH$1012,0))=2,"ROJO","ÁMBAR"))</f>
      </c>
    </row>
    <row r="405" ht="22" customHeight="1">
      <c r="B405" s="30">
        <f>IF(393&gt;$E$8,"",INDEX('CONTROLES'!$AB$13:$AB$1012,MATCH(393,'CONTROLES'!$AH$13:$AH$1012,0)))</f>
      </c>
      <c r="C405" s="30">
        <f>IF(393&gt;$E$8,"",INDEX('CONTROLES'!$AC$13:$AC$1012,MATCH(393,'CONTROLES'!$AH$13:$AH$1012,0)))</f>
      </c>
      <c r="D405" s="30">
        <f>IF(393&gt;$E$8,"",INDEX('CONTROLES'!$AD$13:$AD$1012,MATCH(393,'CONTROLES'!$AH$13:$AH$1012,0)))</f>
      </c>
      <c r="E405" s="30">
        <f>IF(393&gt;$E$8,"",INDEX('CONTROLES'!$AE$13:$AE$1012,MATCH(393,'CONTROLES'!$AH$13:$AH$1012,0)))</f>
      </c>
      <c r="F405" s="30">
        <f>IF(393&gt;$E$8,"",INDEX('CONTROLES'!$AF$13:$AF$1012,MATCH(393,'CONTROLES'!$AH$13:$AH$1012,0)))</f>
      </c>
      <c r="G405" s="30">
        <f>IF(393&gt;$E$8,"",IF(INDEX('CONTROLES'!$AG$13:$AG$1012,MATCH(393,'CONTROLES'!$AH$13:$AH$1012,0))=2,"ROJO","ÁMBAR"))</f>
      </c>
    </row>
    <row r="406" ht="22" customHeight="1">
      <c r="B406" s="30">
        <f>IF(394&gt;$E$8,"",INDEX('CONTROLES'!$AB$13:$AB$1012,MATCH(394,'CONTROLES'!$AH$13:$AH$1012,0)))</f>
      </c>
      <c r="C406" s="30">
        <f>IF(394&gt;$E$8,"",INDEX('CONTROLES'!$AC$13:$AC$1012,MATCH(394,'CONTROLES'!$AH$13:$AH$1012,0)))</f>
      </c>
      <c r="D406" s="30">
        <f>IF(394&gt;$E$8,"",INDEX('CONTROLES'!$AD$13:$AD$1012,MATCH(394,'CONTROLES'!$AH$13:$AH$1012,0)))</f>
      </c>
      <c r="E406" s="30">
        <f>IF(394&gt;$E$8,"",INDEX('CONTROLES'!$AE$13:$AE$1012,MATCH(394,'CONTROLES'!$AH$13:$AH$1012,0)))</f>
      </c>
      <c r="F406" s="30">
        <f>IF(394&gt;$E$8,"",INDEX('CONTROLES'!$AF$13:$AF$1012,MATCH(394,'CONTROLES'!$AH$13:$AH$1012,0)))</f>
      </c>
      <c r="G406" s="30">
        <f>IF(394&gt;$E$8,"",IF(INDEX('CONTROLES'!$AG$13:$AG$1012,MATCH(394,'CONTROLES'!$AH$13:$AH$1012,0))=2,"ROJO","ÁMBAR"))</f>
      </c>
    </row>
    <row r="407" ht="22" customHeight="1">
      <c r="B407" s="30">
        <f>IF(395&gt;$E$8,"",INDEX('CONTROLES'!$AB$13:$AB$1012,MATCH(395,'CONTROLES'!$AH$13:$AH$1012,0)))</f>
      </c>
      <c r="C407" s="30">
        <f>IF(395&gt;$E$8,"",INDEX('CONTROLES'!$AC$13:$AC$1012,MATCH(395,'CONTROLES'!$AH$13:$AH$1012,0)))</f>
      </c>
      <c r="D407" s="30">
        <f>IF(395&gt;$E$8,"",INDEX('CONTROLES'!$AD$13:$AD$1012,MATCH(395,'CONTROLES'!$AH$13:$AH$1012,0)))</f>
      </c>
      <c r="E407" s="30">
        <f>IF(395&gt;$E$8,"",INDEX('CONTROLES'!$AE$13:$AE$1012,MATCH(395,'CONTROLES'!$AH$13:$AH$1012,0)))</f>
      </c>
      <c r="F407" s="30">
        <f>IF(395&gt;$E$8,"",INDEX('CONTROLES'!$AF$13:$AF$1012,MATCH(395,'CONTROLES'!$AH$13:$AH$1012,0)))</f>
      </c>
      <c r="G407" s="30">
        <f>IF(395&gt;$E$8,"",IF(INDEX('CONTROLES'!$AG$13:$AG$1012,MATCH(395,'CONTROLES'!$AH$13:$AH$1012,0))=2,"ROJO","ÁMBAR"))</f>
      </c>
    </row>
    <row r="408" ht="22" customHeight="1">
      <c r="B408" s="30">
        <f>IF(396&gt;$E$8,"",INDEX('CONTROLES'!$AB$13:$AB$1012,MATCH(396,'CONTROLES'!$AH$13:$AH$1012,0)))</f>
      </c>
      <c r="C408" s="30">
        <f>IF(396&gt;$E$8,"",INDEX('CONTROLES'!$AC$13:$AC$1012,MATCH(396,'CONTROLES'!$AH$13:$AH$1012,0)))</f>
      </c>
      <c r="D408" s="30">
        <f>IF(396&gt;$E$8,"",INDEX('CONTROLES'!$AD$13:$AD$1012,MATCH(396,'CONTROLES'!$AH$13:$AH$1012,0)))</f>
      </c>
      <c r="E408" s="30">
        <f>IF(396&gt;$E$8,"",INDEX('CONTROLES'!$AE$13:$AE$1012,MATCH(396,'CONTROLES'!$AH$13:$AH$1012,0)))</f>
      </c>
      <c r="F408" s="30">
        <f>IF(396&gt;$E$8,"",INDEX('CONTROLES'!$AF$13:$AF$1012,MATCH(396,'CONTROLES'!$AH$13:$AH$1012,0)))</f>
      </c>
      <c r="G408" s="30">
        <f>IF(396&gt;$E$8,"",IF(INDEX('CONTROLES'!$AG$13:$AG$1012,MATCH(396,'CONTROLES'!$AH$13:$AH$1012,0))=2,"ROJO","ÁMBAR"))</f>
      </c>
    </row>
    <row r="409" ht="22" customHeight="1">
      <c r="B409" s="30">
        <f>IF(397&gt;$E$8,"",INDEX('CONTROLES'!$AB$13:$AB$1012,MATCH(397,'CONTROLES'!$AH$13:$AH$1012,0)))</f>
      </c>
      <c r="C409" s="30">
        <f>IF(397&gt;$E$8,"",INDEX('CONTROLES'!$AC$13:$AC$1012,MATCH(397,'CONTROLES'!$AH$13:$AH$1012,0)))</f>
      </c>
      <c r="D409" s="30">
        <f>IF(397&gt;$E$8,"",INDEX('CONTROLES'!$AD$13:$AD$1012,MATCH(397,'CONTROLES'!$AH$13:$AH$1012,0)))</f>
      </c>
      <c r="E409" s="30">
        <f>IF(397&gt;$E$8,"",INDEX('CONTROLES'!$AE$13:$AE$1012,MATCH(397,'CONTROLES'!$AH$13:$AH$1012,0)))</f>
      </c>
      <c r="F409" s="30">
        <f>IF(397&gt;$E$8,"",INDEX('CONTROLES'!$AF$13:$AF$1012,MATCH(397,'CONTROLES'!$AH$13:$AH$1012,0)))</f>
      </c>
      <c r="G409" s="30">
        <f>IF(397&gt;$E$8,"",IF(INDEX('CONTROLES'!$AG$13:$AG$1012,MATCH(397,'CONTROLES'!$AH$13:$AH$1012,0))=2,"ROJO","ÁMBAR"))</f>
      </c>
    </row>
    <row r="410" ht="22" customHeight="1">
      <c r="B410" s="30">
        <f>IF(398&gt;$E$8,"",INDEX('CONTROLES'!$AB$13:$AB$1012,MATCH(398,'CONTROLES'!$AH$13:$AH$1012,0)))</f>
      </c>
      <c r="C410" s="30">
        <f>IF(398&gt;$E$8,"",INDEX('CONTROLES'!$AC$13:$AC$1012,MATCH(398,'CONTROLES'!$AH$13:$AH$1012,0)))</f>
      </c>
      <c r="D410" s="30">
        <f>IF(398&gt;$E$8,"",INDEX('CONTROLES'!$AD$13:$AD$1012,MATCH(398,'CONTROLES'!$AH$13:$AH$1012,0)))</f>
      </c>
      <c r="E410" s="30">
        <f>IF(398&gt;$E$8,"",INDEX('CONTROLES'!$AE$13:$AE$1012,MATCH(398,'CONTROLES'!$AH$13:$AH$1012,0)))</f>
      </c>
      <c r="F410" s="30">
        <f>IF(398&gt;$E$8,"",INDEX('CONTROLES'!$AF$13:$AF$1012,MATCH(398,'CONTROLES'!$AH$13:$AH$1012,0)))</f>
      </c>
      <c r="G410" s="30">
        <f>IF(398&gt;$E$8,"",IF(INDEX('CONTROLES'!$AG$13:$AG$1012,MATCH(398,'CONTROLES'!$AH$13:$AH$1012,0))=2,"ROJO","ÁMBAR"))</f>
      </c>
    </row>
    <row r="411" ht="22" customHeight="1">
      <c r="B411" s="30">
        <f>IF(399&gt;$E$8,"",INDEX('CONTROLES'!$AB$13:$AB$1012,MATCH(399,'CONTROLES'!$AH$13:$AH$1012,0)))</f>
      </c>
      <c r="C411" s="30">
        <f>IF(399&gt;$E$8,"",INDEX('CONTROLES'!$AC$13:$AC$1012,MATCH(399,'CONTROLES'!$AH$13:$AH$1012,0)))</f>
      </c>
      <c r="D411" s="30">
        <f>IF(399&gt;$E$8,"",INDEX('CONTROLES'!$AD$13:$AD$1012,MATCH(399,'CONTROLES'!$AH$13:$AH$1012,0)))</f>
      </c>
      <c r="E411" s="30">
        <f>IF(399&gt;$E$8,"",INDEX('CONTROLES'!$AE$13:$AE$1012,MATCH(399,'CONTROLES'!$AH$13:$AH$1012,0)))</f>
      </c>
      <c r="F411" s="30">
        <f>IF(399&gt;$E$8,"",INDEX('CONTROLES'!$AF$13:$AF$1012,MATCH(399,'CONTROLES'!$AH$13:$AH$1012,0)))</f>
      </c>
      <c r="G411" s="30">
        <f>IF(399&gt;$E$8,"",IF(INDEX('CONTROLES'!$AG$13:$AG$1012,MATCH(399,'CONTROLES'!$AH$13:$AH$1012,0))=2,"ROJO","ÁMBAR"))</f>
      </c>
    </row>
    <row r="412" ht="22" customHeight="1">
      <c r="B412" s="30">
        <f>IF(400&gt;$E$8,"",INDEX('CONTROLES'!$AB$13:$AB$1012,MATCH(400,'CONTROLES'!$AH$13:$AH$1012,0)))</f>
      </c>
      <c r="C412" s="30">
        <f>IF(400&gt;$E$8,"",INDEX('CONTROLES'!$AC$13:$AC$1012,MATCH(400,'CONTROLES'!$AH$13:$AH$1012,0)))</f>
      </c>
      <c r="D412" s="30">
        <f>IF(400&gt;$E$8,"",INDEX('CONTROLES'!$AD$13:$AD$1012,MATCH(400,'CONTROLES'!$AH$13:$AH$1012,0)))</f>
      </c>
      <c r="E412" s="30">
        <f>IF(400&gt;$E$8,"",INDEX('CONTROLES'!$AE$13:$AE$1012,MATCH(400,'CONTROLES'!$AH$13:$AH$1012,0)))</f>
      </c>
      <c r="F412" s="30">
        <f>IF(400&gt;$E$8,"",INDEX('CONTROLES'!$AF$13:$AF$1012,MATCH(400,'CONTROLES'!$AH$13:$AH$1012,0)))</f>
      </c>
      <c r="G412" s="30">
        <f>IF(400&gt;$E$8,"",IF(INDEX('CONTROLES'!$AG$13:$AG$1012,MATCH(400,'CONTROLES'!$AH$13:$AH$1012,0))=2,"ROJO","ÁMBAR"))</f>
      </c>
    </row>
    <row r="413" ht="22" customHeight="1">
      <c r="B413" s="30">
        <f>IF(401&gt;$E$8,"",INDEX('CONTROLES'!$AB$13:$AB$1012,MATCH(401,'CONTROLES'!$AH$13:$AH$1012,0)))</f>
      </c>
      <c r="C413" s="30">
        <f>IF(401&gt;$E$8,"",INDEX('CONTROLES'!$AC$13:$AC$1012,MATCH(401,'CONTROLES'!$AH$13:$AH$1012,0)))</f>
      </c>
      <c r="D413" s="30">
        <f>IF(401&gt;$E$8,"",INDEX('CONTROLES'!$AD$13:$AD$1012,MATCH(401,'CONTROLES'!$AH$13:$AH$1012,0)))</f>
      </c>
      <c r="E413" s="30">
        <f>IF(401&gt;$E$8,"",INDEX('CONTROLES'!$AE$13:$AE$1012,MATCH(401,'CONTROLES'!$AH$13:$AH$1012,0)))</f>
      </c>
      <c r="F413" s="30">
        <f>IF(401&gt;$E$8,"",INDEX('CONTROLES'!$AF$13:$AF$1012,MATCH(401,'CONTROLES'!$AH$13:$AH$1012,0)))</f>
      </c>
      <c r="G413" s="30">
        <f>IF(401&gt;$E$8,"",IF(INDEX('CONTROLES'!$AG$13:$AG$1012,MATCH(401,'CONTROLES'!$AH$13:$AH$1012,0))=2,"ROJO","ÁMBAR"))</f>
      </c>
    </row>
    <row r="414" ht="22" customHeight="1">
      <c r="B414" s="30">
        <f>IF(402&gt;$E$8,"",INDEX('CONTROLES'!$AB$13:$AB$1012,MATCH(402,'CONTROLES'!$AH$13:$AH$1012,0)))</f>
      </c>
      <c r="C414" s="30">
        <f>IF(402&gt;$E$8,"",INDEX('CONTROLES'!$AC$13:$AC$1012,MATCH(402,'CONTROLES'!$AH$13:$AH$1012,0)))</f>
      </c>
      <c r="D414" s="30">
        <f>IF(402&gt;$E$8,"",INDEX('CONTROLES'!$AD$13:$AD$1012,MATCH(402,'CONTROLES'!$AH$13:$AH$1012,0)))</f>
      </c>
      <c r="E414" s="30">
        <f>IF(402&gt;$E$8,"",INDEX('CONTROLES'!$AE$13:$AE$1012,MATCH(402,'CONTROLES'!$AH$13:$AH$1012,0)))</f>
      </c>
      <c r="F414" s="30">
        <f>IF(402&gt;$E$8,"",INDEX('CONTROLES'!$AF$13:$AF$1012,MATCH(402,'CONTROLES'!$AH$13:$AH$1012,0)))</f>
      </c>
      <c r="G414" s="30">
        <f>IF(402&gt;$E$8,"",IF(INDEX('CONTROLES'!$AG$13:$AG$1012,MATCH(402,'CONTROLES'!$AH$13:$AH$1012,0))=2,"ROJO","ÁMBAR"))</f>
      </c>
    </row>
    <row r="415" ht="22" customHeight="1">
      <c r="B415" s="30">
        <f>IF(403&gt;$E$8,"",INDEX('CONTROLES'!$AB$13:$AB$1012,MATCH(403,'CONTROLES'!$AH$13:$AH$1012,0)))</f>
      </c>
      <c r="C415" s="30">
        <f>IF(403&gt;$E$8,"",INDEX('CONTROLES'!$AC$13:$AC$1012,MATCH(403,'CONTROLES'!$AH$13:$AH$1012,0)))</f>
      </c>
      <c r="D415" s="30">
        <f>IF(403&gt;$E$8,"",INDEX('CONTROLES'!$AD$13:$AD$1012,MATCH(403,'CONTROLES'!$AH$13:$AH$1012,0)))</f>
      </c>
      <c r="E415" s="30">
        <f>IF(403&gt;$E$8,"",INDEX('CONTROLES'!$AE$13:$AE$1012,MATCH(403,'CONTROLES'!$AH$13:$AH$1012,0)))</f>
      </c>
      <c r="F415" s="30">
        <f>IF(403&gt;$E$8,"",INDEX('CONTROLES'!$AF$13:$AF$1012,MATCH(403,'CONTROLES'!$AH$13:$AH$1012,0)))</f>
      </c>
      <c r="G415" s="30">
        <f>IF(403&gt;$E$8,"",IF(INDEX('CONTROLES'!$AG$13:$AG$1012,MATCH(403,'CONTROLES'!$AH$13:$AH$1012,0))=2,"ROJO","ÁMBAR"))</f>
      </c>
    </row>
    <row r="416" ht="22" customHeight="1">
      <c r="B416" s="30">
        <f>IF(404&gt;$E$8,"",INDEX('CONTROLES'!$AB$13:$AB$1012,MATCH(404,'CONTROLES'!$AH$13:$AH$1012,0)))</f>
      </c>
      <c r="C416" s="30">
        <f>IF(404&gt;$E$8,"",INDEX('CONTROLES'!$AC$13:$AC$1012,MATCH(404,'CONTROLES'!$AH$13:$AH$1012,0)))</f>
      </c>
      <c r="D416" s="30">
        <f>IF(404&gt;$E$8,"",INDEX('CONTROLES'!$AD$13:$AD$1012,MATCH(404,'CONTROLES'!$AH$13:$AH$1012,0)))</f>
      </c>
      <c r="E416" s="30">
        <f>IF(404&gt;$E$8,"",INDEX('CONTROLES'!$AE$13:$AE$1012,MATCH(404,'CONTROLES'!$AH$13:$AH$1012,0)))</f>
      </c>
      <c r="F416" s="30">
        <f>IF(404&gt;$E$8,"",INDEX('CONTROLES'!$AF$13:$AF$1012,MATCH(404,'CONTROLES'!$AH$13:$AH$1012,0)))</f>
      </c>
      <c r="G416" s="30">
        <f>IF(404&gt;$E$8,"",IF(INDEX('CONTROLES'!$AG$13:$AG$1012,MATCH(404,'CONTROLES'!$AH$13:$AH$1012,0))=2,"ROJO","ÁMBAR"))</f>
      </c>
    </row>
    <row r="417" ht="22" customHeight="1">
      <c r="B417" s="30">
        <f>IF(405&gt;$E$8,"",INDEX('CONTROLES'!$AB$13:$AB$1012,MATCH(405,'CONTROLES'!$AH$13:$AH$1012,0)))</f>
      </c>
      <c r="C417" s="30">
        <f>IF(405&gt;$E$8,"",INDEX('CONTROLES'!$AC$13:$AC$1012,MATCH(405,'CONTROLES'!$AH$13:$AH$1012,0)))</f>
      </c>
      <c r="D417" s="30">
        <f>IF(405&gt;$E$8,"",INDEX('CONTROLES'!$AD$13:$AD$1012,MATCH(405,'CONTROLES'!$AH$13:$AH$1012,0)))</f>
      </c>
      <c r="E417" s="30">
        <f>IF(405&gt;$E$8,"",INDEX('CONTROLES'!$AE$13:$AE$1012,MATCH(405,'CONTROLES'!$AH$13:$AH$1012,0)))</f>
      </c>
      <c r="F417" s="30">
        <f>IF(405&gt;$E$8,"",INDEX('CONTROLES'!$AF$13:$AF$1012,MATCH(405,'CONTROLES'!$AH$13:$AH$1012,0)))</f>
      </c>
      <c r="G417" s="30">
        <f>IF(405&gt;$E$8,"",IF(INDEX('CONTROLES'!$AG$13:$AG$1012,MATCH(405,'CONTROLES'!$AH$13:$AH$1012,0))=2,"ROJO","ÁMBAR"))</f>
      </c>
    </row>
    <row r="418" ht="22" customHeight="1">
      <c r="B418" s="30">
        <f>IF(406&gt;$E$8,"",INDEX('CONTROLES'!$AB$13:$AB$1012,MATCH(406,'CONTROLES'!$AH$13:$AH$1012,0)))</f>
      </c>
      <c r="C418" s="30">
        <f>IF(406&gt;$E$8,"",INDEX('CONTROLES'!$AC$13:$AC$1012,MATCH(406,'CONTROLES'!$AH$13:$AH$1012,0)))</f>
      </c>
      <c r="D418" s="30">
        <f>IF(406&gt;$E$8,"",INDEX('CONTROLES'!$AD$13:$AD$1012,MATCH(406,'CONTROLES'!$AH$13:$AH$1012,0)))</f>
      </c>
      <c r="E418" s="30">
        <f>IF(406&gt;$E$8,"",INDEX('CONTROLES'!$AE$13:$AE$1012,MATCH(406,'CONTROLES'!$AH$13:$AH$1012,0)))</f>
      </c>
      <c r="F418" s="30">
        <f>IF(406&gt;$E$8,"",INDEX('CONTROLES'!$AF$13:$AF$1012,MATCH(406,'CONTROLES'!$AH$13:$AH$1012,0)))</f>
      </c>
      <c r="G418" s="30">
        <f>IF(406&gt;$E$8,"",IF(INDEX('CONTROLES'!$AG$13:$AG$1012,MATCH(406,'CONTROLES'!$AH$13:$AH$1012,0))=2,"ROJO","ÁMBAR"))</f>
      </c>
    </row>
    <row r="419" ht="22" customHeight="1">
      <c r="B419" s="30">
        <f>IF(407&gt;$E$8,"",INDEX('CONTROLES'!$AB$13:$AB$1012,MATCH(407,'CONTROLES'!$AH$13:$AH$1012,0)))</f>
      </c>
      <c r="C419" s="30">
        <f>IF(407&gt;$E$8,"",INDEX('CONTROLES'!$AC$13:$AC$1012,MATCH(407,'CONTROLES'!$AH$13:$AH$1012,0)))</f>
      </c>
      <c r="D419" s="30">
        <f>IF(407&gt;$E$8,"",INDEX('CONTROLES'!$AD$13:$AD$1012,MATCH(407,'CONTROLES'!$AH$13:$AH$1012,0)))</f>
      </c>
      <c r="E419" s="30">
        <f>IF(407&gt;$E$8,"",INDEX('CONTROLES'!$AE$13:$AE$1012,MATCH(407,'CONTROLES'!$AH$13:$AH$1012,0)))</f>
      </c>
      <c r="F419" s="30">
        <f>IF(407&gt;$E$8,"",INDEX('CONTROLES'!$AF$13:$AF$1012,MATCH(407,'CONTROLES'!$AH$13:$AH$1012,0)))</f>
      </c>
      <c r="G419" s="30">
        <f>IF(407&gt;$E$8,"",IF(INDEX('CONTROLES'!$AG$13:$AG$1012,MATCH(407,'CONTROLES'!$AH$13:$AH$1012,0))=2,"ROJO","ÁMBAR"))</f>
      </c>
    </row>
    <row r="420" ht="22" customHeight="1">
      <c r="B420" s="30">
        <f>IF(408&gt;$E$8,"",INDEX('CONTROLES'!$AB$13:$AB$1012,MATCH(408,'CONTROLES'!$AH$13:$AH$1012,0)))</f>
      </c>
      <c r="C420" s="30">
        <f>IF(408&gt;$E$8,"",INDEX('CONTROLES'!$AC$13:$AC$1012,MATCH(408,'CONTROLES'!$AH$13:$AH$1012,0)))</f>
      </c>
      <c r="D420" s="30">
        <f>IF(408&gt;$E$8,"",INDEX('CONTROLES'!$AD$13:$AD$1012,MATCH(408,'CONTROLES'!$AH$13:$AH$1012,0)))</f>
      </c>
      <c r="E420" s="30">
        <f>IF(408&gt;$E$8,"",INDEX('CONTROLES'!$AE$13:$AE$1012,MATCH(408,'CONTROLES'!$AH$13:$AH$1012,0)))</f>
      </c>
      <c r="F420" s="30">
        <f>IF(408&gt;$E$8,"",INDEX('CONTROLES'!$AF$13:$AF$1012,MATCH(408,'CONTROLES'!$AH$13:$AH$1012,0)))</f>
      </c>
      <c r="G420" s="30">
        <f>IF(408&gt;$E$8,"",IF(INDEX('CONTROLES'!$AG$13:$AG$1012,MATCH(408,'CONTROLES'!$AH$13:$AH$1012,0))=2,"ROJO","ÁMBAR"))</f>
      </c>
    </row>
    <row r="421" ht="22" customHeight="1">
      <c r="B421" s="30">
        <f>IF(409&gt;$E$8,"",INDEX('CONTROLES'!$AB$13:$AB$1012,MATCH(409,'CONTROLES'!$AH$13:$AH$1012,0)))</f>
      </c>
      <c r="C421" s="30">
        <f>IF(409&gt;$E$8,"",INDEX('CONTROLES'!$AC$13:$AC$1012,MATCH(409,'CONTROLES'!$AH$13:$AH$1012,0)))</f>
      </c>
      <c r="D421" s="30">
        <f>IF(409&gt;$E$8,"",INDEX('CONTROLES'!$AD$13:$AD$1012,MATCH(409,'CONTROLES'!$AH$13:$AH$1012,0)))</f>
      </c>
      <c r="E421" s="30">
        <f>IF(409&gt;$E$8,"",INDEX('CONTROLES'!$AE$13:$AE$1012,MATCH(409,'CONTROLES'!$AH$13:$AH$1012,0)))</f>
      </c>
      <c r="F421" s="30">
        <f>IF(409&gt;$E$8,"",INDEX('CONTROLES'!$AF$13:$AF$1012,MATCH(409,'CONTROLES'!$AH$13:$AH$1012,0)))</f>
      </c>
      <c r="G421" s="30">
        <f>IF(409&gt;$E$8,"",IF(INDEX('CONTROLES'!$AG$13:$AG$1012,MATCH(409,'CONTROLES'!$AH$13:$AH$1012,0))=2,"ROJO","ÁMBAR"))</f>
      </c>
    </row>
    <row r="422" ht="22" customHeight="1">
      <c r="B422" s="30">
        <f>IF(410&gt;$E$8,"",INDEX('CONTROLES'!$AB$13:$AB$1012,MATCH(410,'CONTROLES'!$AH$13:$AH$1012,0)))</f>
      </c>
      <c r="C422" s="30">
        <f>IF(410&gt;$E$8,"",INDEX('CONTROLES'!$AC$13:$AC$1012,MATCH(410,'CONTROLES'!$AH$13:$AH$1012,0)))</f>
      </c>
      <c r="D422" s="30">
        <f>IF(410&gt;$E$8,"",INDEX('CONTROLES'!$AD$13:$AD$1012,MATCH(410,'CONTROLES'!$AH$13:$AH$1012,0)))</f>
      </c>
      <c r="E422" s="30">
        <f>IF(410&gt;$E$8,"",INDEX('CONTROLES'!$AE$13:$AE$1012,MATCH(410,'CONTROLES'!$AH$13:$AH$1012,0)))</f>
      </c>
      <c r="F422" s="30">
        <f>IF(410&gt;$E$8,"",INDEX('CONTROLES'!$AF$13:$AF$1012,MATCH(410,'CONTROLES'!$AH$13:$AH$1012,0)))</f>
      </c>
      <c r="G422" s="30">
        <f>IF(410&gt;$E$8,"",IF(INDEX('CONTROLES'!$AG$13:$AG$1012,MATCH(410,'CONTROLES'!$AH$13:$AH$1012,0))=2,"ROJO","ÁMBAR"))</f>
      </c>
    </row>
    <row r="423" ht="22" customHeight="1">
      <c r="B423" s="30">
        <f>IF(411&gt;$E$8,"",INDEX('CONTROLES'!$AB$13:$AB$1012,MATCH(411,'CONTROLES'!$AH$13:$AH$1012,0)))</f>
      </c>
      <c r="C423" s="30">
        <f>IF(411&gt;$E$8,"",INDEX('CONTROLES'!$AC$13:$AC$1012,MATCH(411,'CONTROLES'!$AH$13:$AH$1012,0)))</f>
      </c>
      <c r="D423" s="30">
        <f>IF(411&gt;$E$8,"",INDEX('CONTROLES'!$AD$13:$AD$1012,MATCH(411,'CONTROLES'!$AH$13:$AH$1012,0)))</f>
      </c>
      <c r="E423" s="30">
        <f>IF(411&gt;$E$8,"",INDEX('CONTROLES'!$AE$13:$AE$1012,MATCH(411,'CONTROLES'!$AH$13:$AH$1012,0)))</f>
      </c>
      <c r="F423" s="30">
        <f>IF(411&gt;$E$8,"",INDEX('CONTROLES'!$AF$13:$AF$1012,MATCH(411,'CONTROLES'!$AH$13:$AH$1012,0)))</f>
      </c>
      <c r="G423" s="30">
        <f>IF(411&gt;$E$8,"",IF(INDEX('CONTROLES'!$AG$13:$AG$1012,MATCH(411,'CONTROLES'!$AH$13:$AH$1012,0))=2,"ROJO","ÁMBAR"))</f>
      </c>
    </row>
    <row r="424" ht="22" customHeight="1">
      <c r="B424" s="30">
        <f>IF(412&gt;$E$8,"",INDEX('CONTROLES'!$AB$13:$AB$1012,MATCH(412,'CONTROLES'!$AH$13:$AH$1012,0)))</f>
      </c>
      <c r="C424" s="30">
        <f>IF(412&gt;$E$8,"",INDEX('CONTROLES'!$AC$13:$AC$1012,MATCH(412,'CONTROLES'!$AH$13:$AH$1012,0)))</f>
      </c>
      <c r="D424" s="30">
        <f>IF(412&gt;$E$8,"",INDEX('CONTROLES'!$AD$13:$AD$1012,MATCH(412,'CONTROLES'!$AH$13:$AH$1012,0)))</f>
      </c>
      <c r="E424" s="30">
        <f>IF(412&gt;$E$8,"",INDEX('CONTROLES'!$AE$13:$AE$1012,MATCH(412,'CONTROLES'!$AH$13:$AH$1012,0)))</f>
      </c>
      <c r="F424" s="30">
        <f>IF(412&gt;$E$8,"",INDEX('CONTROLES'!$AF$13:$AF$1012,MATCH(412,'CONTROLES'!$AH$13:$AH$1012,0)))</f>
      </c>
      <c r="G424" s="30">
        <f>IF(412&gt;$E$8,"",IF(INDEX('CONTROLES'!$AG$13:$AG$1012,MATCH(412,'CONTROLES'!$AH$13:$AH$1012,0))=2,"ROJO","ÁMBAR"))</f>
      </c>
    </row>
    <row r="425" ht="22" customHeight="1">
      <c r="B425" s="30">
        <f>IF(413&gt;$E$8,"",INDEX('CONTROLES'!$AB$13:$AB$1012,MATCH(413,'CONTROLES'!$AH$13:$AH$1012,0)))</f>
      </c>
      <c r="C425" s="30">
        <f>IF(413&gt;$E$8,"",INDEX('CONTROLES'!$AC$13:$AC$1012,MATCH(413,'CONTROLES'!$AH$13:$AH$1012,0)))</f>
      </c>
      <c r="D425" s="30">
        <f>IF(413&gt;$E$8,"",INDEX('CONTROLES'!$AD$13:$AD$1012,MATCH(413,'CONTROLES'!$AH$13:$AH$1012,0)))</f>
      </c>
      <c r="E425" s="30">
        <f>IF(413&gt;$E$8,"",INDEX('CONTROLES'!$AE$13:$AE$1012,MATCH(413,'CONTROLES'!$AH$13:$AH$1012,0)))</f>
      </c>
      <c r="F425" s="30">
        <f>IF(413&gt;$E$8,"",INDEX('CONTROLES'!$AF$13:$AF$1012,MATCH(413,'CONTROLES'!$AH$13:$AH$1012,0)))</f>
      </c>
      <c r="G425" s="30">
        <f>IF(413&gt;$E$8,"",IF(INDEX('CONTROLES'!$AG$13:$AG$1012,MATCH(413,'CONTROLES'!$AH$13:$AH$1012,0))=2,"ROJO","ÁMBAR"))</f>
      </c>
    </row>
    <row r="426" ht="22" customHeight="1">
      <c r="B426" s="30">
        <f>IF(414&gt;$E$8,"",INDEX('CONTROLES'!$AB$13:$AB$1012,MATCH(414,'CONTROLES'!$AH$13:$AH$1012,0)))</f>
      </c>
      <c r="C426" s="30">
        <f>IF(414&gt;$E$8,"",INDEX('CONTROLES'!$AC$13:$AC$1012,MATCH(414,'CONTROLES'!$AH$13:$AH$1012,0)))</f>
      </c>
      <c r="D426" s="30">
        <f>IF(414&gt;$E$8,"",INDEX('CONTROLES'!$AD$13:$AD$1012,MATCH(414,'CONTROLES'!$AH$13:$AH$1012,0)))</f>
      </c>
      <c r="E426" s="30">
        <f>IF(414&gt;$E$8,"",INDEX('CONTROLES'!$AE$13:$AE$1012,MATCH(414,'CONTROLES'!$AH$13:$AH$1012,0)))</f>
      </c>
      <c r="F426" s="30">
        <f>IF(414&gt;$E$8,"",INDEX('CONTROLES'!$AF$13:$AF$1012,MATCH(414,'CONTROLES'!$AH$13:$AH$1012,0)))</f>
      </c>
      <c r="G426" s="30">
        <f>IF(414&gt;$E$8,"",IF(INDEX('CONTROLES'!$AG$13:$AG$1012,MATCH(414,'CONTROLES'!$AH$13:$AH$1012,0))=2,"ROJO","ÁMBAR"))</f>
      </c>
    </row>
    <row r="427" ht="22" customHeight="1">
      <c r="B427" s="30">
        <f>IF(415&gt;$E$8,"",INDEX('CONTROLES'!$AB$13:$AB$1012,MATCH(415,'CONTROLES'!$AH$13:$AH$1012,0)))</f>
      </c>
      <c r="C427" s="30">
        <f>IF(415&gt;$E$8,"",INDEX('CONTROLES'!$AC$13:$AC$1012,MATCH(415,'CONTROLES'!$AH$13:$AH$1012,0)))</f>
      </c>
      <c r="D427" s="30">
        <f>IF(415&gt;$E$8,"",INDEX('CONTROLES'!$AD$13:$AD$1012,MATCH(415,'CONTROLES'!$AH$13:$AH$1012,0)))</f>
      </c>
      <c r="E427" s="30">
        <f>IF(415&gt;$E$8,"",INDEX('CONTROLES'!$AE$13:$AE$1012,MATCH(415,'CONTROLES'!$AH$13:$AH$1012,0)))</f>
      </c>
      <c r="F427" s="30">
        <f>IF(415&gt;$E$8,"",INDEX('CONTROLES'!$AF$13:$AF$1012,MATCH(415,'CONTROLES'!$AH$13:$AH$1012,0)))</f>
      </c>
      <c r="G427" s="30">
        <f>IF(415&gt;$E$8,"",IF(INDEX('CONTROLES'!$AG$13:$AG$1012,MATCH(415,'CONTROLES'!$AH$13:$AH$1012,0))=2,"ROJO","ÁMBAR"))</f>
      </c>
    </row>
    <row r="428" ht="22" customHeight="1">
      <c r="B428" s="30">
        <f>IF(416&gt;$E$8,"",INDEX('CONTROLES'!$AB$13:$AB$1012,MATCH(416,'CONTROLES'!$AH$13:$AH$1012,0)))</f>
      </c>
      <c r="C428" s="30">
        <f>IF(416&gt;$E$8,"",INDEX('CONTROLES'!$AC$13:$AC$1012,MATCH(416,'CONTROLES'!$AH$13:$AH$1012,0)))</f>
      </c>
      <c r="D428" s="30">
        <f>IF(416&gt;$E$8,"",INDEX('CONTROLES'!$AD$13:$AD$1012,MATCH(416,'CONTROLES'!$AH$13:$AH$1012,0)))</f>
      </c>
      <c r="E428" s="30">
        <f>IF(416&gt;$E$8,"",INDEX('CONTROLES'!$AE$13:$AE$1012,MATCH(416,'CONTROLES'!$AH$13:$AH$1012,0)))</f>
      </c>
      <c r="F428" s="30">
        <f>IF(416&gt;$E$8,"",INDEX('CONTROLES'!$AF$13:$AF$1012,MATCH(416,'CONTROLES'!$AH$13:$AH$1012,0)))</f>
      </c>
      <c r="G428" s="30">
        <f>IF(416&gt;$E$8,"",IF(INDEX('CONTROLES'!$AG$13:$AG$1012,MATCH(416,'CONTROLES'!$AH$13:$AH$1012,0))=2,"ROJO","ÁMBAR"))</f>
      </c>
    </row>
    <row r="429" ht="22" customHeight="1">
      <c r="B429" s="30">
        <f>IF(417&gt;$E$8,"",INDEX('CONTROLES'!$AB$13:$AB$1012,MATCH(417,'CONTROLES'!$AH$13:$AH$1012,0)))</f>
      </c>
      <c r="C429" s="30">
        <f>IF(417&gt;$E$8,"",INDEX('CONTROLES'!$AC$13:$AC$1012,MATCH(417,'CONTROLES'!$AH$13:$AH$1012,0)))</f>
      </c>
      <c r="D429" s="30">
        <f>IF(417&gt;$E$8,"",INDEX('CONTROLES'!$AD$13:$AD$1012,MATCH(417,'CONTROLES'!$AH$13:$AH$1012,0)))</f>
      </c>
      <c r="E429" s="30">
        <f>IF(417&gt;$E$8,"",INDEX('CONTROLES'!$AE$13:$AE$1012,MATCH(417,'CONTROLES'!$AH$13:$AH$1012,0)))</f>
      </c>
      <c r="F429" s="30">
        <f>IF(417&gt;$E$8,"",INDEX('CONTROLES'!$AF$13:$AF$1012,MATCH(417,'CONTROLES'!$AH$13:$AH$1012,0)))</f>
      </c>
      <c r="G429" s="30">
        <f>IF(417&gt;$E$8,"",IF(INDEX('CONTROLES'!$AG$13:$AG$1012,MATCH(417,'CONTROLES'!$AH$13:$AH$1012,0))=2,"ROJO","ÁMBAR"))</f>
      </c>
    </row>
    <row r="430" ht="22" customHeight="1">
      <c r="B430" s="30">
        <f>IF(418&gt;$E$8,"",INDEX('CONTROLES'!$AB$13:$AB$1012,MATCH(418,'CONTROLES'!$AH$13:$AH$1012,0)))</f>
      </c>
      <c r="C430" s="30">
        <f>IF(418&gt;$E$8,"",INDEX('CONTROLES'!$AC$13:$AC$1012,MATCH(418,'CONTROLES'!$AH$13:$AH$1012,0)))</f>
      </c>
      <c r="D430" s="30">
        <f>IF(418&gt;$E$8,"",INDEX('CONTROLES'!$AD$13:$AD$1012,MATCH(418,'CONTROLES'!$AH$13:$AH$1012,0)))</f>
      </c>
      <c r="E430" s="30">
        <f>IF(418&gt;$E$8,"",INDEX('CONTROLES'!$AE$13:$AE$1012,MATCH(418,'CONTROLES'!$AH$13:$AH$1012,0)))</f>
      </c>
      <c r="F430" s="30">
        <f>IF(418&gt;$E$8,"",INDEX('CONTROLES'!$AF$13:$AF$1012,MATCH(418,'CONTROLES'!$AH$13:$AH$1012,0)))</f>
      </c>
      <c r="G430" s="30">
        <f>IF(418&gt;$E$8,"",IF(INDEX('CONTROLES'!$AG$13:$AG$1012,MATCH(418,'CONTROLES'!$AH$13:$AH$1012,0))=2,"ROJO","ÁMBAR"))</f>
      </c>
    </row>
    <row r="431" ht="22" customHeight="1">
      <c r="B431" s="30">
        <f>IF(419&gt;$E$8,"",INDEX('CONTROLES'!$AB$13:$AB$1012,MATCH(419,'CONTROLES'!$AH$13:$AH$1012,0)))</f>
      </c>
      <c r="C431" s="30">
        <f>IF(419&gt;$E$8,"",INDEX('CONTROLES'!$AC$13:$AC$1012,MATCH(419,'CONTROLES'!$AH$13:$AH$1012,0)))</f>
      </c>
      <c r="D431" s="30">
        <f>IF(419&gt;$E$8,"",INDEX('CONTROLES'!$AD$13:$AD$1012,MATCH(419,'CONTROLES'!$AH$13:$AH$1012,0)))</f>
      </c>
      <c r="E431" s="30">
        <f>IF(419&gt;$E$8,"",INDEX('CONTROLES'!$AE$13:$AE$1012,MATCH(419,'CONTROLES'!$AH$13:$AH$1012,0)))</f>
      </c>
      <c r="F431" s="30">
        <f>IF(419&gt;$E$8,"",INDEX('CONTROLES'!$AF$13:$AF$1012,MATCH(419,'CONTROLES'!$AH$13:$AH$1012,0)))</f>
      </c>
      <c r="G431" s="30">
        <f>IF(419&gt;$E$8,"",IF(INDEX('CONTROLES'!$AG$13:$AG$1012,MATCH(419,'CONTROLES'!$AH$13:$AH$1012,0))=2,"ROJO","ÁMBAR"))</f>
      </c>
    </row>
    <row r="432" ht="22" customHeight="1">
      <c r="B432" s="30">
        <f>IF(420&gt;$E$8,"",INDEX('CONTROLES'!$AB$13:$AB$1012,MATCH(420,'CONTROLES'!$AH$13:$AH$1012,0)))</f>
      </c>
      <c r="C432" s="30">
        <f>IF(420&gt;$E$8,"",INDEX('CONTROLES'!$AC$13:$AC$1012,MATCH(420,'CONTROLES'!$AH$13:$AH$1012,0)))</f>
      </c>
      <c r="D432" s="30">
        <f>IF(420&gt;$E$8,"",INDEX('CONTROLES'!$AD$13:$AD$1012,MATCH(420,'CONTROLES'!$AH$13:$AH$1012,0)))</f>
      </c>
      <c r="E432" s="30">
        <f>IF(420&gt;$E$8,"",INDEX('CONTROLES'!$AE$13:$AE$1012,MATCH(420,'CONTROLES'!$AH$13:$AH$1012,0)))</f>
      </c>
      <c r="F432" s="30">
        <f>IF(420&gt;$E$8,"",INDEX('CONTROLES'!$AF$13:$AF$1012,MATCH(420,'CONTROLES'!$AH$13:$AH$1012,0)))</f>
      </c>
      <c r="G432" s="30">
        <f>IF(420&gt;$E$8,"",IF(INDEX('CONTROLES'!$AG$13:$AG$1012,MATCH(420,'CONTROLES'!$AH$13:$AH$1012,0))=2,"ROJO","ÁMBAR"))</f>
      </c>
    </row>
    <row r="433" ht="22" customHeight="1">
      <c r="B433" s="30">
        <f>IF(421&gt;$E$8,"",INDEX('CONTROLES'!$AB$13:$AB$1012,MATCH(421,'CONTROLES'!$AH$13:$AH$1012,0)))</f>
      </c>
      <c r="C433" s="30">
        <f>IF(421&gt;$E$8,"",INDEX('CONTROLES'!$AC$13:$AC$1012,MATCH(421,'CONTROLES'!$AH$13:$AH$1012,0)))</f>
      </c>
      <c r="D433" s="30">
        <f>IF(421&gt;$E$8,"",INDEX('CONTROLES'!$AD$13:$AD$1012,MATCH(421,'CONTROLES'!$AH$13:$AH$1012,0)))</f>
      </c>
      <c r="E433" s="30">
        <f>IF(421&gt;$E$8,"",INDEX('CONTROLES'!$AE$13:$AE$1012,MATCH(421,'CONTROLES'!$AH$13:$AH$1012,0)))</f>
      </c>
      <c r="F433" s="30">
        <f>IF(421&gt;$E$8,"",INDEX('CONTROLES'!$AF$13:$AF$1012,MATCH(421,'CONTROLES'!$AH$13:$AH$1012,0)))</f>
      </c>
      <c r="G433" s="30">
        <f>IF(421&gt;$E$8,"",IF(INDEX('CONTROLES'!$AG$13:$AG$1012,MATCH(421,'CONTROLES'!$AH$13:$AH$1012,0))=2,"ROJO","ÁMBAR"))</f>
      </c>
    </row>
    <row r="434" ht="22" customHeight="1">
      <c r="B434" s="30">
        <f>IF(422&gt;$E$8,"",INDEX('CONTROLES'!$AB$13:$AB$1012,MATCH(422,'CONTROLES'!$AH$13:$AH$1012,0)))</f>
      </c>
      <c r="C434" s="30">
        <f>IF(422&gt;$E$8,"",INDEX('CONTROLES'!$AC$13:$AC$1012,MATCH(422,'CONTROLES'!$AH$13:$AH$1012,0)))</f>
      </c>
      <c r="D434" s="30">
        <f>IF(422&gt;$E$8,"",INDEX('CONTROLES'!$AD$13:$AD$1012,MATCH(422,'CONTROLES'!$AH$13:$AH$1012,0)))</f>
      </c>
      <c r="E434" s="30">
        <f>IF(422&gt;$E$8,"",INDEX('CONTROLES'!$AE$13:$AE$1012,MATCH(422,'CONTROLES'!$AH$13:$AH$1012,0)))</f>
      </c>
      <c r="F434" s="30">
        <f>IF(422&gt;$E$8,"",INDEX('CONTROLES'!$AF$13:$AF$1012,MATCH(422,'CONTROLES'!$AH$13:$AH$1012,0)))</f>
      </c>
      <c r="G434" s="30">
        <f>IF(422&gt;$E$8,"",IF(INDEX('CONTROLES'!$AG$13:$AG$1012,MATCH(422,'CONTROLES'!$AH$13:$AH$1012,0))=2,"ROJO","ÁMBAR"))</f>
      </c>
    </row>
    <row r="435" ht="22" customHeight="1">
      <c r="B435" s="30">
        <f>IF(423&gt;$E$8,"",INDEX('CONTROLES'!$AB$13:$AB$1012,MATCH(423,'CONTROLES'!$AH$13:$AH$1012,0)))</f>
      </c>
      <c r="C435" s="30">
        <f>IF(423&gt;$E$8,"",INDEX('CONTROLES'!$AC$13:$AC$1012,MATCH(423,'CONTROLES'!$AH$13:$AH$1012,0)))</f>
      </c>
      <c r="D435" s="30">
        <f>IF(423&gt;$E$8,"",INDEX('CONTROLES'!$AD$13:$AD$1012,MATCH(423,'CONTROLES'!$AH$13:$AH$1012,0)))</f>
      </c>
      <c r="E435" s="30">
        <f>IF(423&gt;$E$8,"",INDEX('CONTROLES'!$AE$13:$AE$1012,MATCH(423,'CONTROLES'!$AH$13:$AH$1012,0)))</f>
      </c>
      <c r="F435" s="30">
        <f>IF(423&gt;$E$8,"",INDEX('CONTROLES'!$AF$13:$AF$1012,MATCH(423,'CONTROLES'!$AH$13:$AH$1012,0)))</f>
      </c>
      <c r="G435" s="30">
        <f>IF(423&gt;$E$8,"",IF(INDEX('CONTROLES'!$AG$13:$AG$1012,MATCH(423,'CONTROLES'!$AH$13:$AH$1012,0))=2,"ROJO","ÁMBAR"))</f>
      </c>
    </row>
    <row r="436" ht="22" customHeight="1">
      <c r="B436" s="30">
        <f>IF(424&gt;$E$8,"",INDEX('CONTROLES'!$AB$13:$AB$1012,MATCH(424,'CONTROLES'!$AH$13:$AH$1012,0)))</f>
      </c>
      <c r="C436" s="30">
        <f>IF(424&gt;$E$8,"",INDEX('CONTROLES'!$AC$13:$AC$1012,MATCH(424,'CONTROLES'!$AH$13:$AH$1012,0)))</f>
      </c>
      <c r="D436" s="30">
        <f>IF(424&gt;$E$8,"",INDEX('CONTROLES'!$AD$13:$AD$1012,MATCH(424,'CONTROLES'!$AH$13:$AH$1012,0)))</f>
      </c>
      <c r="E436" s="30">
        <f>IF(424&gt;$E$8,"",INDEX('CONTROLES'!$AE$13:$AE$1012,MATCH(424,'CONTROLES'!$AH$13:$AH$1012,0)))</f>
      </c>
      <c r="F436" s="30">
        <f>IF(424&gt;$E$8,"",INDEX('CONTROLES'!$AF$13:$AF$1012,MATCH(424,'CONTROLES'!$AH$13:$AH$1012,0)))</f>
      </c>
      <c r="G436" s="30">
        <f>IF(424&gt;$E$8,"",IF(INDEX('CONTROLES'!$AG$13:$AG$1012,MATCH(424,'CONTROLES'!$AH$13:$AH$1012,0))=2,"ROJO","ÁMBAR"))</f>
      </c>
    </row>
    <row r="437" ht="22" customHeight="1">
      <c r="B437" s="30">
        <f>IF(425&gt;$E$8,"",INDEX('CONTROLES'!$AB$13:$AB$1012,MATCH(425,'CONTROLES'!$AH$13:$AH$1012,0)))</f>
      </c>
      <c r="C437" s="30">
        <f>IF(425&gt;$E$8,"",INDEX('CONTROLES'!$AC$13:$AC$1012,MATCH(425,'CONTROLES'!$AH$13:$AH$1012,0)))</f>
      </c>
      <c r="D437" s="30">
        <f>IF(425&gt;$E$8,"",INDEX('CONTROLES'!$AD$13:$AD$1012,MATCH(425,'CONTROLES'!$AH$13:$AH$1012,0)))</f>
      </c>
      <c r="E437" s="30">
        <f>IF(425&gt;$E$8,"",INDEX('CONTROLES'!$AE$13:$AE$1012,MATCH(425,'CONTROLES'!$AH$13:$AH$1012,0)))</f>
      </c>
      <c r="F437" s="30">
        <f>IF(425&gt;$E$8,"",INDEX('CONTROLES'!$AF$13:$AF$1012,MATCH(425,'CONTROLES'!$AH$13:$AH$1012,0)))</f>
      </c>
      <c r="G437" s="30">
        <f>IF(425&gt;$E$8,"",IF(INDEX('CONTROLES'!$AG$13:$AG$1012,MATCH(425,'CONTROLES'!$AH$13:$AH$1012,0))=2,"ROJO","ÁMBAR"))</f>
      </c>
    </row>
    <row r="438" ht="22" customHeight="1">
      <c r="B438" s="30">
        <f>IF(426&gt;$E$8,"",INDEX('CONTROLES'!$AB$13:$AB$1012,MATCH(426,'CONTROLES'!$AH$13:$AH$1012,0)))</f>
      </c>
      <c r="C438" s="30">
        <f>IF(426&gt;$E$8,"",INDEX('CONTROLES'!$AC$13:$AC$1012,MATCH(426,'CONTROLES'!$AH$13:$AH$1012,0)))</f>
      </c>
      <c r="D438" s="30">
        <f>IF(426&gt;$E$8,"",INDEX('CONTROLES'!$AD$13:$AD$1012,MATCH(426,'CONTROLES'!$AH$13:$AH$1012,0)))</f>
      </c>
      <c r="E438" s="30">
        <f>IF(426&gt;$E$8,"",INDEX('CONTROLES'!$AE$13:$AE$1012,MATCH(426,'CONTROLES'!$AH$13:$AH$1012,0)))</f>
      </c>
      <c r="F438" s="30">
        <f>IF(426&gt;$E$8,"",INDEX('CONTROLES'!$AF$13:$AF$1012,MATCH(426,'CONTROLES'!$AH$13:$AH$1012,0)))</f>
      </c>
      <c r="G438" s="30">
        <f>IF(426&gt;$E$8,"",IF(INDEX('CONTROLES'!$AG$13:$AG$1012,MATCH(426,'CONTROLES'!$AH$13:$AH$1012,0))=2,"ROJO","ÁMBAR"))</f>
      </c>
    </row>
    <row r="439" ht="22" customHeight="1">
      <c r="B439" s="30">
        <f>IF(427&gt;$E$8,"",INDEX('CONTROLES'!$AB$13:$AB$1012,MATCH(427,'CONTROLES'!$AH$13:$AH$1012,0)))</f>
      </c>
      <c r="C439" s="30">
        <f>IF(427&gt;$E$8,"",INDEX('CONTROLES'!$AC$13:$AC$1012,MATCH(427,'CONTROLES'!$AH$13:$AH$1012,0)))</f>
      </c>
      <c r="D439" s="30">
        <f>IF(427&gt;$E$8,"",INDEX('CONTROLES'!$AD$13:$AD$1012,MATCH(427,'CONTROLES'!$AH$13:$AH$1012,0)))</f>
      </c>
      <c r="E439" s="30">
        <f>IF(427&gt;$E$8,"",INDEX('CONTROLES'!$AE$13:$AE$1012,MATCH(427,'CONTROLES'!$AH$13:$AH$1012,0)))</f>
      </c>
      <c r="F439" s="30">
        <f>IF(427&gt;$E$8,"",INDEX('CONTROLES'!$AF$13:$AF$1012,MATCH(427,'CONTROLES'!$AH$13:$AH$1012,0)))</f>
      </c>
      <c r="G439" s="30">
        <f>IF(427&gt;$E$8,"",IF(INDEX('CONTROLES'!$AG$13:$AG$1012,MATCH(427,'CONTROLES'!$AH$13:$AH$1012,0))=2,"ROJO","ÁMBAR"))</f>
      </c>
    </row>
    <row r="440" ht="22" customHeight="1">
      <c r="B440" s="30">
        <f>IF(428&gt;$E$8,"",INDEX('CONTROLES'!$AB$13:$AB$1012,MATCH(428,'CONTROLES'!$AH$13:$AH$1012,0)))</f>
      </c>
      <c r="C440" s="30">
        <f>IF(428&gt;$E$8,"",INDEX('CONTROLES'!$AC$13:$AC$1012,MATCH(428,'CONTROLES'!$AH$13:$AH$1012,0)))</f>
      </c>
      <c r="D440" s="30">
        <f>IF(428&gt;$E$8,"",INDEX('CONTROLES'!$AD$13:$AD$1012,MATCH(428,'CONTROLES'!$AH$13:$AH$1012,0)))</f>
      </c>
      <c r="E440" s="30">
        <f>IF(428&gt;$E$8,"",INDEX('CONTROLES'!$AE$13:$AE$1012,MATCH(428,'CONTROLES'!$AH$13:$AH$1012,0)))</f>
      </c>
      <c r="F440" s="30">
        <f>IF(428&gt;$E$8,"",INDEX('CONTROLES'!$AF$13:$AF$1012,MATCH(428,'CONTROLES'!$AH$13:$AH$1012,0)))</f>
      </c>
      <c r="G440" s="30">
        <f>IF(428&gt;$E$8,"",IF(INDEX('CONTROLES'!$AG$13:$AG$1012,MATCH(428,'CONTROLES'!$AH$13:$AH$1012,0))=2,"ROJO","ÁMBAR"))</f>
      </c>
    </row>
    <row r="441" ht="22" customHeight="1">
      <c r="B441" s="30">
        <f>IF(429&gt;$E$8,"",INDEX('CONTROLES'!$AB$13:$AB$1012,MATCH(429,'CONTROLES'!$AH$13:$AH$1012,0)))</f>
      </c>
      <c r="C441" s="30">
        <f>IF(429&gt;$E$8,"",INDEX('CONTROLES'!$AC$13:$AC$1012,MATCH(429,'CONTROLES'!$AH$13:$AH$1012,0)))</f>
      </c>
      <c r="D441" s="30">
        <f>IF(429&gt;$E$8,"",INDEX('CONTROLES'!$AD$13:$AD$1012,MATCH(429,'CONTROLES'!$AH$13:$AH$1012,0)))</f>
      </c>
      <c r="E441" s="30">
        <f>IF(429&gt;$E$8,"",INDEX('CONTROLES'!$AE$13:$AE$1012,MATCH(429,'CONTROLES'!$AH$13:$AH$1012,0)))</f>
      </c>
      <c r="F441" s="30">
        <f>IF(429&gt;$E$8,"",INDEX('CONTROLES'!$AF$13:$AF$1012,MATCH(429,'CONTROLES'!$AH$13:$AH$1012,0)))</f>
      </c>
      <c r="G441" s="30">
        <f>IF(429&gt;$E$8,"",IF(INDEX('CONTROLES'!$AG$13:$AG$1012,MATCH(429,'CONTROLES'!$AH$13:$AH$1012,0))=2,"ROJO","ÁMBAR"))</f>
      </c>
    </row>
    <row r="442" ht="22" customHeight="1">
      <c r="B442" s="30">
        <f>IF(430&gt;$E$8,"",INDEX('CONTROLES'!$AB$13:$AB$1012,MATCH(430,'CONTROLES'!$AH$13:$AH$1012,0)))</f>
      </c>
      <c r="C442" s="30">
        <f>IF(430&gt;$E$8,"",INDEX('CONTROLES'!$AC$13:$AC$1012,MATCH(430,'CONTROLES'!$AH$13:$AH$1012,0)))</f>
      </c>
      <c r="D442" s="30">
        <f>IF(430&gt;$E$8,"",INDEX('CONTROLES'!$AD$13:$AD$1012,MATCH(430,'CONTROLES'!$AH$13:$AH$1012,0)))</f>
      </c>
      <c r="E442" s="30">
        <f>IF(430&gt;$E$8,"",INDEX('CONTROLES'!$AE$13:$AE$1012,MATCH(430,'CONTROLES'!$AH$13:$AH$1012,0)))</f>
      </c>
      <c r="F442" s="30">
        <f>IF(430&gt;$E$8,"",INDEX('CONTROLES'!$AF$13:$AF$1012,MATCH(430,'CONTROLES'!$AH$13:$AH$1012,0)))</f>
      </c>
      <c r="G442" s="30">
        <f>IF(430&gt;$E$8,"",IF(INDEX('CONTROLES'!$AG$13:$AG$1012,MATCH(430,'CONTROLES'!$AH$13:$AH$1012,0))=2,"ROJO","ÁMBAR"))</f>
      </c>
    </row>
    <row r="443" ht="22" customHeight="1">
      <c r="B443" s="30">
        <f>IF(431&gt;$E$8,"",INDEX('CONTROLES'!$AB$13:$AB$1012,MATCH(431,'CONTROLES'!$AH$13:$AH$1012,0)))</f>
      </c>
      <c r="C443" s="30">
        <f>IF(431&gt;$E$8,"",INDEX('CONTROLES'!$AC$13:$AC$1012,MATCH(431,'CONTROLES'!$AH$13:$AH$1012,0)))</f>
      </c>
      <c r="D443" s="30">
        <f>IF(431&gt;$E$8,"",INDEX('CONTROLES'!$AD$13:$AD$1012,MATCH(431,'CONTROLES'!$AH$13:$AH$1012,0)))</f>
      </c>
      <c r="E443" s="30">
        <f>IF(431&gt;$E$8,"",INDEX('CONTROLES'!$AE$13:$AE$1012,MATCH(431,'CONTROLES'!$AH$13:$AH$1012,0)))</f>
      </c>
      <c r="F443" s="30">
        <f>IF(431&gt;$E$8,"",INDEX('CONTROLES'!$AF$13:$AF$1012,MATCH(431,'CONTROLES'!$AH$13:$AH$1012,0)))</f>
      </c>
      <c r="G443" s="30">
        <f>IF(431&gt;$E$8,"",IF(INDEX('CONTROLES'!$AG$13:$AG$1012,MATCH(431,'CONTROLES'!$AH$13:$AH$1012,0))=2,"ROJO","ÁMBAR"))</f>
      </c>
    </row>
    <row r="444" ht="22" customHeight="1">
      <c r="B444" s="30">
        <f>IF(432&gt;$E$8,"",INDEX('CONTROLES'!$AB$13:$AB$1012,MATCH(432,'CONTROLES'!$AH$13:$AH$1012,0)))</f>
      </c>
      <c r="C444" s="30">
        <f>IF(432&gt;$E$8,"",INDEX('CONTROLES'!$AC$13:$AC$1012,MATCH(432,'CONTROLES'!$AH$13:$AH$1012,0)))</f>
      </c>
      <c r="D444" s="30">
        <f>IF(432&gt;$E$8,"",INDEX('CONTROLES'!$AD$13:$AD$1012,MATCH(432,'CONTROLES'!$AH$13:$AH$1012,0)))</f>
      </c>
      <c r="E444" s="30">
        <f>IF(432&gt;$E$8,"",INDEX('CONTROLES'!$AE$13:$AE$1012,MATCH(432,'CONTROLES'!$AH$13:$AH$1012,0)))</f>
      </c>
      <c r="F444" s="30">
        <f>IF(432&gt;$E$8,"",INDEX('CONTROLES'!$AF$13:$AF$1012,MATCH(432,'CONTROLES'!$AH$13:$AH$1012,0)))</f>
      </c>
      <c r="G444" s="30">
        <f>IF(432&gt;$E$8,"",IF(INDEX('CONTROLES'!$AG$13:$AG$1012,MATCH(432,'CONTROLES'!$AH$13:$AH$1012,0))=2,"ROJO","ÁMBAR"))</f>
      </c>
    </row>
    <row r="445" ht="22" customHeight="1">
      <c r="B445" s="30">
        <f>IF(433&gt;$E$8,"",INDEX('CONTROLES'!$AB$13:$AB$1012,MATCH(433,'CONTROLES'!$AH$13:$AH$1012,0)))</f>
      </c>
      <c r="C445" s="30">
        <f>IF(433&gt;$E$8,"",INDEX('CONTROLES'!$AC$13:$AC$1012,MATCH(433,'CONTROLES'!$AH$13:$AH$1012,0)))</f>
      </c>
      <c r="D445" s="30">
        <f>IF(433&gt;$E$8,"",INDEX('CONTROLES'!$AD$13:$AD$1012,MATCH(433,'CONTROLES'!$AH$13:$AH$1012,0)))</f>
      </c>
      <c r="E445" s="30">
        <f>IF(433&gt;$E$8,"",INDEX('CONTROLES'!$AE$13:$AE$1012,MATCH(433,'CONTROLES'!$AH$13:$AH$1012,0)))</f>
      </c>
      <c r="F445" s="30">
        <f>IF(433&gt;$E$8,"",INDEX('CONTROLES'!$AF$13:$AF$1012,MATCH(433,'CONTROLES'!$AH$13:$AH$1012,0)))</f>
      </c>
      <c r="G445" s="30">
        <f>IF(433&gt;$E$8,"",IF(INDEX('CONTROLES'!$AG$13:$AG$1012,MATCH(433,'CONTROLES'!$AH$13:$AH$1012,0))=2,"ROJO","ÁMBAR"))</f>
      </c>
    </row>
    <row r="446" ht="22" customHeight="1">
      <c r="B446" s="30">
        <f>IF(434&gt;$E$8,"",INDEX('CONTROLES'!$AB$13:$AB$1012,MATCH(434,'CONTROLES'!$AH$13:$AH$1012,0)))</f>
      </c>
      <c r="C446" s="30">
        <f>IF(434&gt;$E$8,"",INDEX('CONTROLES'!$AC$13:$AC$1012,MATCH(434,'CONTROLES'!$AH$13:$AH$1012,0)))</f>
      </c>
      <c r="D446" s="30">
        <f>IF(434&gt;$E$8,"",INDEX('CONTROLES'!$AD$13:$AD$1012,MATCH(434,'CONTROLES'!$AH$13:$AH$1012,0)))</f>
      </c>
      <c r="E446" s="30">
        <f>IF(434&gt;$E$8,"",INDEX('CONTROLES'!$AE$13:$AE$1012,MATCH(434,'CONTROLES'!$AH$13:$AH$1012,0)))</f>
      </c>
      <c r="F446" s="30">
        <f>IF(434&gt;$E$8,"",INDEX('CONTROLES'!$AF$13:$AF$1012,MATCH(434,'CONTROLES'!$AH$13:$AH$1012,0)))</f>
      </c>
      <c r="G446" s="30">
        <f>IF(434&gt;$E$8,"",IF(INDEX('CONTROLES'!$AG$13:$AG$1012,MATCH(434,'CONTROLES'!$AH$13:$AH$1012,0))=2,"ROJO","ÁMBAR"))</f>
      </c>
    </row>
    <row r="447" ht="22" customHeight="1">
      <c r="B447" s="30">
        <f>IF(435&gt;$E$8,"",INDEX('CONTROLES'!$AB$13:$AB$1012,MATCH(435,'CONTROLES'!$AH$13:$AH$1012,0)))</f>
      </c>
      <c r="C447" s="30">
        <f>IF(435&gt;$E$8,"",INDEX('CONTROLES'!$AC$13:$AC$1012,MATCH(435,'CONTROLES'!$AH$13:$AH$1012,0)))</f>
      </c>
      <c r="D447" s="30">
        <f>IF(435&gt;$E$8,"",INDEX('CONTROLES'!$AD$13:$AD$1012,MATCH(435,'CONTROLES'!$AH$13:$AH$1012,0)))</f>
      </c>
      <c r="E447" s="30">
        <f>IF(435&gt;$E$8,"",INDEX('CONTROLES'!$AE$13:$AE$1012,MATCH(435,'CONTROLES'!$AH$13:$AH$1012,0)))</f>
      </c>
      <c r="F447" s="30">
        <f>IF(435&gt;$E$8,"",INDEX('CONTROLES'!$AF$13:$AF$1012,MATCH(435,'CONTROLES'!$AH$13:$AH$1012,0)))</f>
      </c>
      <c r="G447" s="30">
        <f>IF(435&gt;$E$8,"",IF(INDEX('CONTROLES'!$AG$13:$AG$1012,MATCH(435,'CONTROLES'!$AH$13:$AH$1012,0))=2,"ROJO","ÁMBAR"))</f>
      </c>
    </row>
    <row r="448" ht="22" customHeight="1">
      <c r="B448" s="30">
        <f>IF(436&gt;$E$8,"",INDEX('CONTROLES'!$AB$13:$AB$1012,MATCH(436,'CONTROLES'!$AH$13:$AH$1012,0)))</f>
      </c>
      <c r="C448" s="30">
        <f>IF(436&gt;$E$8,"",INDEX('CONTROLES'!$AC$13:$AC$1012,MATCH(436,'CONTROLES'!$AH$13:$AH$1012,0)))</f>
      </c>
      <c r="D448" s="30">
        <f>IF(436&gt;$E$8,"",INDEX('CONTROLES'!$AD$13:$AD$1012,MATCH(436,'CONTROLES'!$AH$13:$AH$1012,0)))</f>
      </c>
      <c r="E448" s="30">
        <f>IF(436&gt;$E$8,"",INDEX('CONTROLES'!$AE$13:$AE$1012,MATCH(436,'CONTROLES'!$AH$13:$AH$1012,0)))</f>
      </c>
      <c r="F448" s="30">
        <f>IF(436&gt;$E$8,"",INDEX('CONTROLES'!$AF$13:$AF$1012,MATCH(436,'CONTROLES'!$AH$13:$AH$1012,0)))</f>
      </c>
      <c r="G448" s="30">
        <f>IF(436&gt;$E$8,"",IF(INDEX('CONTROLES'!$AG$13:$AG$1012,MATCH(436,'CONTROLES'!$AH$13:$AH$1012,0))=2,"ROJO","ÁMBAR"))</f>
      </c>
    </row>
    <row r="449" ht="22" customHeight="1">
      <c r="B449" s="30">
        <f>IF(437&gt;$E$8,"",INDEX('CONTROLES'!$AB$13:$AB$1012,MATCH(437,'CONTROLES'!$AH$13:$AH$1012,0)))</f>
      </c>
      <c r="C449" s="30">
        <f>IF(437&gt;$E$8,"",INDEX('CONTROLES'!$AC$13:$AC$1012,MATCH(437,'CONTROLES'!$AH$13:$AH$1012,0)))</f>
      </c>
      <c r="D449" s="30">
        <f>IF(437&gt;$E$8,"",INDEX('CONTROLES'!$AD$13:$AD$1012,MATCH(437,'CONTROLES'!$AH$13:$AH$1012,0)))</f>
      </c>
      <c r="E449" s="30">
        <f>IF(437&gt;$E$8,"",INDEX('CONTROLES'!$AE$13:$AE$1012,MATCH(437,'CONTROLES'!$AH$13:$AH$1012,0)))</f>
      </c>
      <c r="F449" s="30">
        <f>IF(437&gt;$E$8,"",INDEX('CONTROLES'!$AF$13:$AF$1012,MATCH(437,'CONTROLES'!$AH$13:$AH$1012,0)))</f>
      </c>
      <c r="G449" s="30">
        <f>IF(437&gt;$E$8,"",IF(INDEX('CONTROLES'!$AG$13:$AG$1012,MATCH(437,'CONTROLES'!$AH$13:$AH$1012,0))=2,"ROJO","ÁMBAR"))</f>
      </c>
    </row>
    <row r="450" ht="22" customHeight="1">
      <c r="B450" s="30">
        <f>IF(438&gt;$E$8,"",INDEX('CONTROLES'!$AB$13:$AB$1012,MATCH(438,'CONTROLES'!$AH$13:$AH$1012,0)))</f>
      </c>
      <c r="C450" s="30">
        <f>IF(438&gt;$E$8,"",INDEX('CONTROLES'!$AC$13:$AC$1012,MATCH(438,'CONTROLES'!$AH$13:$AH$1012,0)))</f>
      </c>
      <c r="D450" s="30">
        <f>IF(438&gt;$E$8,"",INDEX('CONTROLES'!$AD$13:$AD$1012,MATCH(438,'CONTROLES'!$AH$13:$AH$1012,0)))</f>
      </c>
      <c r="E450" s="30">
        <f>IF(438&gt;$E$8,"",INDEX('CONTROLES'!$AE$13:$AE$1012,MATCH(438,'CONTROLES'!$AH$13:$AH$1012,0)))</f>
      </c>
      <c r="F450" s="30">
        <f>IF(438&gt;$E$8,"",INDEX('CONTROLES'!$AF$13:$AF$1012,MATCH(438,'CONTROLES'!$AH$13:$AH$1012,0)))</f>
      </c>
      <c r="G450" s="30">
        <f>IF(438&gt;$E$8,"",IF(INDEX('CONTROLES'!$AG$13:$AG$1012,MATCH(438,'CONTROLES'!$AH$13:$AH$1012,0))=2,"ROJO","ÁMBAR"))</f>
      </c>
    </row>
    <row r="451" ht="22" customHeight="1">
      <c r="B451" s="30">
        <f>IF(439&gt;$E$8,"",INDEX('CONTROLES'!$AB$13:$AB$1012,MATCH(439,'CONTROLES'!$AH$13:$AH$1012,0)))</f>
      </c>
      <c r="C451" s="30">
        <f>IF(439&gt;$E$8,"",INDEX('CONTROLES'!$AC$13:$AC$1012,MATCH(439,'CONTROLES'!$AH$13:$AH$1012,0)))</f>
      </c>
      <c r="D451" s="30">
        <f>IF(439&gt;$E$8,"",INDEX('CONTROLES'!$AD$13:$AD$1012,MATCH(439,'CONTROLES'!$AH$13:$AH$1012,0)))</f>
      </c>
      <c r="E451" s="30">
        <f>IF(439&gt;$E$8,"",INDEX('CONTROLES'!$AE$13:$AE$1012,MATCH(439,'CONTROLES'!$AH$13:$AH$1012,0)))</f>
      </c>
      <c r="F451" s="30">
        <f>IF(439&gt;$E$8,"",INDEX('CONTROLES'!$AF$13:$AF$1012,MATCH(439,'CONTROLES'!$AH$13:$AH$1012,0)))</f>
      </c>
      <c r="G451" s="30">
        <f>IF(439&gt;$E$8,"",IF(INDEX('CONTROLES'!$AG$13:$AG$1012,MATCH(439,'CONTROLES'!$AH$13:$AH$1012,0))=2,"ROJO","ÁMBAR"))</f>
      </c>
    </row>
    <row r="452" ht="22" customHeight="1">
      <c r="B452" s="30">
        <f>IF(440&gt;$E$8,"",INDEX('CONTROLES'!$AB$13:$AB$1012,MATCH(440,'CONTROLES'!$AH$13:$AH$1012,0)))</f>
      </c>
      <c r="C452" s="30">
        <f>IF(440&gt;$E$8,"",INDEX('CONTROLES'!$AC$13:$AC$1012,MATCH(440,'CONTROLES'!$AH$13:$AH$1012,0)))</f>
      </c>
      <c r="D452" s="30">
        <f>IF(440&gt;$E$8,"",INDEX('CONTROLES'!$AD$13:$AD$1012,MATCH(440,'CONTROLES'!$AH$13:$AH$1012,0)))</f>
      </c>
      <c r="E452" s="30">
        <f>IF(440&gt;$E$8,"",INDEX('CONTROLES'!$AE$13:$AE$1012,MATCH(440,'CONTROLES'!$AH$13:$AH$1012,0)))</f>
      </c>
      <c r="F452" s="30">
        <f>IF(440&gt;$E$8,"",INDEX('CONTROLES'!$AF$13:$AF$1012,MATCH(440,'CONTROLES'!$AH$13:$AH$1012,0)))</f>
      </c>
      <c r="G452" s="30">
        <f>IF(440&gt;$E$8,"",IF(INDEX('CONTROLES'!$AG$13:$AG$1012,MATCH(440,'CONTROLES'!$AH$13:$AH$1012,0))=2,"ROJO","ÁMBAR"))</f>
      </c>
    </row>
    <row r="453" ht="22" customHeight="1">
      <c r="B453" s="30">
        <f>IF(441&gt;$E$8,"",INDEX('CONTROLES'!$AB$13:$AB$1012,MATCH(441,'CONTROLES'!$AH$13:$AH$1012,0)))</f>
      </c>
      <c r="C453" s="30">
        <f>IF(441&gt;$E$8,"",INDEX('CONTROLES'!$AC$13:$AC$1012,MATCH(441,'CONTROLES'!$AH$13:$AH$1012,0)))</f>
      </c>
      <c r="D453" s="30">
        <f>IF(441&gt;$E$8,"",INDEX('CONTROLES'!$AD$13:$AD$1012,MATCH(441,'CONTROLES'!$AH$13:$AH$1012,0)))</f>
      </c>
      <c r="E453" s="30">
        <f>IF(441&gt;$E$8,"",INDEX('CONTROLES'!$AE$13:$AE$1012,MATCH(441,'CONTROLES'!$AH$13:$AH$1012,0)))</f>
      </c>
      <c r="F453" s="30">
        <f>IF(441&gt;$E$8,"",INDEX('CONTROLES'!$AF$13:$AF$1012,MATCH(441,'CONTROLES'!$AH$13:$AH$1012,0)))</f>
      </c>
      <c r="G453" s="30">
        <f>IF(441&gt;$E$8,"",IF(INDEX('CONTROLES'!$AG$13:$AG$1012,MATCH(441,'CONTROLES'!$AH$13:$AH$1012,0))=2,"ROJO","ÁMBAR"))</f>
      </c>
    </row>
    <row r="454" ht="22" customHeight="1">
      <c r="B454" s="30">
        <f>IF(442&gt;$E$8,"",INDEX('CONTROLES'!$AB$13:$AB$1012,MATCH(442,'CONTROLES'!$AH$13:$AH$1012,0)))</f>
      </c>
      <c r="C454" s="30">
        <f>IF(442&gt;$E$8,"",INDEX('CONTROLES'!$AC$13:$AC$1012,MATCH(442,'CONTROLES'!$AH$13:$AH$1012,0)))</f>
      </c>
      <c r="D454" s="30">
        <f>IF(442&gt;$E$8,"",INDEX('CONTROLES'!$AD$13:$AD$1012,MATCH(442,'CONTROLES'!$AH$13:$AH$1012,0)))</f>
      </c>
      <c r="E454" s="30">
        <f>IF(442&gt;$E$8,"",INDEX('CONTROLES'!$AE$13:$AE$1012,MATCH(442,'CONTROLES'!$AH$13:$AH$1012,0)))</f>
      </c>
      <c r="F454" s="30">
        <f>IF(442&gt;$E$8,"",INDEX('CONTROLES'!$AF$13:$AF$1012,MATCH(442,'CONTROLES'!$AH$13:$AH$1012,0)))</f>
      </c>
      <c r="G454" s="30">
        <f>IF(442&gt;$E$8,"",IF(INDEX('CONTROLES'!$AG$13:$AG$1012,MATCH(442,'CONTROLES'!$AH$13:$AH$1012,0))=2,"ROJO","ÁMBAR"))</f>
      </c>
    </row>
    <row r="455" ht="22" customHeight="1">
      <c r="B455" s="30">
        <f>IF(443&gt;$E$8,"",INDEX('CONTROLES'!$AB$13:$AB$1012,MATCH(443,'CONTROLES'!$AH$13:$AH$1012,0)))</f>
      </c>
      <c r="C455" s="30">
        <f>IF(443&gt;$E$8,"",INDEX('CONTROLES'!$AC$13:$AC$1012,MATCH(443,'CONTROLES'!$AH$13:$AH$1012,0)))</f>
      </c>
      <c r="D455" s="30">
        <f>IF(443&gt;$E$8,"",INDEX('CONTROLES'!$AD$13:$AD$1012,MATCH(443,'CONTROLES'!$AH$13:$AH$1012,0)))</f>
      </c>
      <c r="E455" s="30">
        <f>IF(443&gt;$E$8,"",INDEX('CONTROLES'!$AE$13:$AE$1012,MATCH(443,'CONTROLES'!$AH$13:$AH$1012,0)))</f>
      </c>
      <c r="F455" s="30">
        <f>IF(443&gt;$E$8,"",INDEX('CONTROLES'!$AF$13:$AF$1012,MATCH(443,'CONTROLES'!$AH$13:$AH$1012,0)))</f>
      </c>
      <c r="G455" s="30">
        <f>IF(443&gt;$E$8,"",IF(INDEX('CONTROLES'!$AG$13:$AG$1012,MATCH(443,'CONTROLES'!$AH$13:$AH$1012,0))=2,"ROJO","ÁMBAR"))</f>
      </c>
    </row>
    <row r="456" ht="22" customHeight="1">
      <c r="B456" s="30">
        <f>IF(444&gt;$E$8,"",INDEX('CONTROLES'!$AB$13:$AB$1012,MATCH(444,'CONTROLES'!$AH$13:$AH$1012,0)))</f>
      </c>
      <c r="C456" s="30">
        <f>IF(444&gt;$E$8,"",INDEX('CONTROLES'!$AC$13:$AC$1012,MATCH(444,'CONTROLES'!$AH$13:$AH$1012,0)))</f>
      </c>
      <c r="D456" s="30">
        <f>IF(444&gt;$E$8,"",INDEX('CONTROLES'!$AD$13:$AD$1012,MATCH(444,'CONTROLES'!$AH$13:$AH$1012,0)))</f>
      </c>
      <c r="E456" s="30">
        <f>IF(444&gt;$E$8,"",INDEX('CONTROLES'!$AE$13:$AE$1012,MATCH(444,'CONTROLES'!$AH$13:$AH$1012,0)))</f>
      </c>
      <c r="F456" s="30">
        <f>IF(444&gt;$E$8,"",INDEX('CONTROLES'!$AF$13:$AF$1012,MATCH(444,'CONTROLES'!$AH$13:$AH$1012,0)))</f>
      </c>
      <c r="G456" s="30">
        <f>IF(444&gt;$E$8,"",IF(INDEX('CONTROLES'!$AG$13:$AG$1012,MATCH(444,'CONTROLES'!$AH$13:$AH$1012,0))=2,"ROJO","ÁMBAR"))</f>
      </c>
    </row>
    <row r="457" ht="22" customHeight="1">
      <c r="B457" s="30">
        <f>IF(445&gt;$E$8,"",INDEX('CONTROLES'!$AB$13:$AB$1012,MATCH(445,'CONTROLES'!$AH$13:$AH$1012,0)))</f>
      </c>
      <c r="C457" s="30">
        <f>IF(445&gt;$E$8,"",INDEX('CONTROLES'!$AC$13:$AC$1012,MATCH(445,'CONTROLES'!$AH$13:$AH$1012,0)))</f>
      </c>
      <c r="D457" s="30">
        <f>IF(445&gt;$E$8,"",INDEX('CONTROLES'!$AD$13:$AD$1012,MATCH(445,'CONTROLES'!$AH$13:$AH$1012,0)))</f>
      </c>
      <c r="E457" s="30">
        <f>IF(445&gt;$E$8,"",INDEX('CONTROLES'!$AE$13:$AE$1012,MATCH(445,'CONTROLES'!$AH$13:$AH$1012,0)))</f>
      </c>
      <c r="F457" s="30">
        <f>IF(445&gt;$E$8,"",INDEX('CONTROLES'!$AF$13:$AF$1012,MATCH(445,'CONTROLES'!$AH$13:$AH$1012,0)))</f>
      </c>
      <c r="G457" s="30">
        <f>IF(445&gt;$E$8,"",IF(INDEX('CONTROLES'!$AG$13:$AG$1012,MATCH(445,'CONTROLES'!$AH$13:$AH$1012,0))=2,"ROJO","ÁMBAR"))</f>
      </c>
    </row>
    <row r="458" ht="22" customHeight="1">
      <c r="B458" s="30">
        <f>IF(446&gt;$E$8,"",INDEX('CONTROLES'!$AB$13:$AB$1012,MATCH(446,'CONTROLES'!$AH$13:$AH$1012,0)))</f>
      </c>
      <c r="C458" s="30">
        <f>IF(446&gt;$E$8,"",INDEX('CONTROLES'!$AC$13:$AC$1012,MATCH(446,'CONTROLES'!$AH$13:$AH$1012,0)))</f>
      </c>
      <c r="D458" s="30">
        <f>IF(446&gt;$E$8,"",INDEX('CONTROLES'!$AD$13:$AD$1012,MATCH(446,'CONTROLES'!$AH$13:$AH$1012,0)))</f>
      </c>
      <c r="E458" s="30">
        <f>IF(446&gt;$E$8,"",INDEX('CONTROLES'!$AE$13:$AE$1012,MATCH(446,'CONTROLES'!$AH$13:$AH$1012,0)))</f>
      </c>
      <c r="F458" s="30">
        <f>IF(446&gt;$E$8,"",INDEX('CONTROLES'!$AF$13:$AF$1012,MATCH(446,'CONTROLES'!$AH$13:$AH$1012,0)))</f>
      </c>
      <c r="G458" s="30">
        <f>IF(446&gt;$E$8,"",IF(INDEX('CONTROLES'!$AG$13:$AG$1012,MATCH(446,'CONTROLES'!$AH$13:$AH$1012,0))=2,"ROJO","ÁMBAR"))</f>
      </c>
    </row>
    <row r="459" ht="22" customHeight="1">
      <c r="B459" s="30">
        <f>IF(447&gt;$E$8,"",INDEX('CONTROLES'!$AB$13:$AB$1012,MATCH(447,'CONTROLES'!$AH$13:$AH$1012,0)))</f>
      </c>
      <c r="C459" s="30">
        <f>IF(447&gt;$E$8,"",INDEX('CONTROLES'!$AC$13:$AC$1012,MATCH(447,'CONTROLES'!$AH$13:$AH$1012,0)))</f>
      </c>
      <c r="D459" s="30">
        <f>IF(447&gt;$E$8,"",INDEX('CONTROLES'!$AD$13:$AD$1012,MATCH(447,'CONTROLES'!$AH$13:$AH$1012,0)))</f>
      </c>
      <c r="E459" s="30">
        <f>IF(447&gt;$E$8,"",INDEX('CONTROLES'!$AE$13:$AE$1012,MATCH(447,'CONTROLES'!$AH$13:$AH$1012,0)))</f>
      </c>
      <c r="F459" s="30">
        <f>IF(447&gt;$E$8,"",INDEX('CONTROLES'!$AF$13:$AF$1012,MATCH(447,'CONTROLES'!$AH$13:$AH$1012,0)))</f>
      </c>
      <c r="G459" s="30">
        <f>IF(447&gt;$E$8,"",IF(INDEX('CONTROLES'!$AG$13:$AG$1012,MATCH(447,'CONTROLES'!$AH$13:$AH$1012,0))=2,"ROJO","ÁMBAR"))</f>
      </c>
    </row>
    <row r="460" ht="22" customHeight="1">
      <c r="B460" s="30">
        <f>IF(448&gt;$E$8,"",INDEX('CONTROLES'!$AB$13:$AB$1012,MATCH(448,'CONTROLES'!$AH$13:$AH$1012,0)))</f>
      </c>
      <c r="C460" s="30">
        <f>IF(448&gt;$E$8,"",INDEX('CONTROLES'!$AC$13:$AC$1012,MATCH(448,'CONTROLES'!$AH$13:$AH$1012,0)))</f>
      </c>
      <c r="D460" s="30">
        <f>IF(448&gt;$E$8,"",INDEX('CONTROLES'!$AD$13:$AD$1012,MATCH(448,'CONTROLES'!$AH$13:$AH$1012,0)))</f>
      </c>
      <c r="E460" s="30">
        <f>IF(448&gt;$E$8,"",INDEX('CONTROLES'!$AE$13:$AE$1012,MATCH(448,'CONTROLES'!$AH$13:$AH$1012,0)))</f>
      </c>
      <c r="F460" s="30">
        <f>IF(448&gt;$E$8,"",INDEX('CONTROLES'!$AF$13:$AF$1012,MATCH(448,'CONTROLES'!$AH$13:$AH$1012,0)))</f>
      </c>
      <c r="G460" s="30">
        <f>IF(448&gt;$E$8,"",IF(INDEX('CONTROLES'!$AG$13:$AG$1012,MATCH(448,'CONTROLES'!$AH$13:$AH$1012,0))=2,"ROJO","ÁMBAR"))</f>
      </c>
    </row>
    <row r="461" ht="22" customHeight="1">
      <c r="B461" s="30">
        <f>IF(449&gt;$E$8,"",INDEX('CONTROLES'!$AB$13:$AB$1012,MATCH(449,'CONTROLES'!$AH$13:$AH$1012,0)))</f>
      </c>
      <c r="C461" s="30">
        <f>IF(449&gt;$E$8,"",INDEX('CONTROLES'!$AC$13:$AC$1012,MATCH(449,'CONTROLES'!$AH$13:$AH$1012,0)))</f>
      </c>
      <c r="D461" s="30">
        <f>IF(449&gt;$E$8,"",INDEX('CONTROLES'!$AD$13:$AD$1012,MATCH(449,'CONTROLES'!$AH$13:$AH$1012,0)))</f>
      </c>
      <c r="E461" s="30">
        <f>IF(449&gt;$E$8,"",INDEX('CONTROLES'!$AE$13:$AE$1012,MATCH(449,'CONTROLES'!$AH$13:$AH$1012,0)))</f>
      </c>
      <c r="F461" s="30">
        <f>IF(449&gt;$E$8,"",INDEX('CONTROLES'!$AF$13:$AF$1012,MATCH(449,'CONTROLES'!$AH$13:$AH$1012,0)))</f>
      </c>
      <c r="G461" s="30">
        <f>IF(449&gt;$E$8,"",IF(INDEX('CONTROLES'!$AG$13:$AG$1012,MATCH(449,'CONTROLES'!$AH$13:$AH$1012,0))=2,"ROJO","ÁMBAR"))</f>
      </c>
    </row>
    <row r="462" ht="22" customHeight="1">
      <c r="B462" s="30">
        <f>IF(450&gt;$E$8,"",INDEX('CONTROLES'!$AB$13:$AB$1012,MATCH(450,'CONTROLES'!$AH$13:$AH$1012,0)))</f>
      </c>
      <c r="C462" s="30">
        <f>IF(450&gt;$E$8,"",INDEX('CONTROLES'!$AC$13:$AC$1012,MATCH(450,'CONTROLES'!$AH$13:$AH$1012,0)))</f>
      </c>
      <c r="D462" s="30">
        <f>IF(450&gt;$E$8,"",INDEX('CONTROLES'!$AD$13:$AD$1012,MATCH(450,'CONTROLES'!$AH$13:$AH$1012,0)))</f>
      </c>
      <c r="E462" s="30">
        <f>IF(450&gt;$E$8,"",INDEX('CONTROLES'!$AE$13:$AE$1012,MATCH(450,'CONTROLES'!$AH$13:$AH$1012,0)))</f>
      </c>
      <c r="F462" s="30">
        <f>IF(450&gt;$E$8,"",INDEX('CONTROLES'!$AF$13:$AF$1012,MATCH(450,'CONTROLES'!$AH$13:$AH$1012,0)))</f>
      </c>
      <c r="G462" s="30">
        <f>IF(450&gt;$E$8,"",IF(INDEX('CONTROLES'!$AG$13:$AG$1012,MATCH(450,'CONTROLES'!$AH$13:$AH$1012,0))=2,"ROJO","ÁMBAR"))</f>
      </c>
    </row>
    <row r="463" ht="22" customHeight="1">
      <c r="B463" s="30">
        <f>IF(451&gt;$E$8,"",INDEX('CONTROLES'!$AB$13:$AB$1012,MATCH(451,'CONTROLES'!$AH$13:$AH$1012,0)))</f>
      </c>
      <c r="C463" s="30">
        <f>IF(451&gt;$E$8,"",INDEX('CONTROLES'!$AC$13:$AC$1012,MATCH(451,'CONTROLES'!$AH$13:$AH$1012,0)))</f>
      </c>
      <c r="D463" s="30">
        <f>IF(451&gt;$E$8,"",INDEX('CONTROLES'!$AD$13:$AD$1012,MATCH(451,'CONTROLES'!$AH$13:$AH$1012,0)))</f>
      </c>
      <c r="E463" s="30">
        <f>IF(451&gt;$E$8,"",INDEX('CONTROLES'!$AE$13:$AE$1012,MATCH(451,'CONTROLES'!$AH$13:$AH$1012,0)))</f>
      </c>
      <c r="F463" s="30">
        <f>IF(451&gt;$E$8,"",INDEX('CONTROLES'!$AF$13:$AF$1012,MATCH(451,'CONTROLES'!$AH$13:$AH$1012,0)))</f>
      </c>
      <c r="G463" s="30">
        <f>IF(451&gt;$E$8,"",IF(INDEX('CONTROLES'!$AG$13:$AG$1012,MATCH(451,'CONTROLES'!$AH$13:$AH$1012,0))=2,"ROJO","ÁMBAR"))</f>
      </c>
    </row>
    <row r="464" ht="22" customHeight="1">
      <c r="B464" s="30">
        <f>IF(452&gt;$E$8,"",INDEX('CONTROLES'!$AB$13:$AB$1012,MATCH(452,'CONTROLES'!$AH$13:$AH$1012,0)))</f>
      </c>
      <c r="C464" s="30">
        <f>IF(452&gt;$E$8,"",INDEX('CONTROLES'!$AC$13:$AC$1012,MATCH(452,'CONTROLES'!$AH$13:$AH$1012,0)))</f>
      </c>
      <c r="D464" s="30">
        <f>IF(452&gt;$E$8,"",INDEX('CONTROLES'!$AD$13:$AD$1012,MATCH(452,'CONTROLES'!$AH$13:$AH$1012,0)))</f>
      </c>
      <c r="E464" s="30">
        <f>IF(452&gt;$E$8,"",INDEX('CONTROLES'!$AE$13:$AE$1012,MATCH(452,'CONTROLES'!$AH$13:$AH$1012,0)))</f>
      </c>
      <c r="F464" s="30">
        <f>IF(452&gt;$E$8,"",INDEX('CONTROLES'!$AF$13:$AF$1012,MATCH(452,'CONTROLES'!$AH$13:$AH$1012,0)))</f>
      </c>
      <c r="G464" s="30">
        <f>IF(452&gt;$E$8,"",IF(INDEX('CONTROLES'!$AG$13:$AG$1012,MATCH(452,'CONTROLES'!$AH$13:$AH$1012,0))=2,"ROJO","ÁMBAR"))</f>
      </c>
    </row>
    <row r="465" ht="22" customHeight="1">
      <c r="B465" s="30">
        <f>IF(453&gt;$E$8,"",INDEX('CONTROLES'!$AB$13:$AB$1012,MATCH(453,'CONTROLES'!$AH$13:$AH$1012,0)))</f>
      </c>
      <c r="C465" s="30">
        <f>IF(453&gt;$E$8,"",INDEX('CONTROLES'!$AC$13:$AC$1012,MATCH(453,'CONTROLES'!$AH$13:$AH$1012,0)))</f>
      </c>
      <c r="D465" s="30">
        <f>IF(453&gt;$E$8,"",INDEX('CONTROLES'!$AD$13:$AD$1012,MATCH(453,'CONTROLES'!$AH$13:$AH$1012,0)))</f>
      </c>
      <c r="E465" s="30">
        <f>IF(453&gt;$E$8,"",INDEX('CONTROLES'!$AE$13:$AE$1012,MATCH(453,'CONTROLES'!$AH$13:$AH$1012,0)))</f>
      </c>
      <c r="F465" s="30">
        <f>IF(453&gt;$E$8,"",INDEX('CONTROLES'!$AF$13:$AF$1012,MATCH(453,'CONTROLES'!$AH$13:$AH$1012,0)))</f>
      </c>
      <c r="G465" s="30">
        <f>IF(453&gt;$E$8,"",IF(INDEX('CONTROLES'!$AG$13:$AG$1012,MATCH(453,'CONTROLES'!$AH$13:$AH$1012,0))=2,"ROJO","ÁMBAR"))</f>
      </c>
    </row>
    <row r="466" ht="22" customHeight="1">
      <c r="B466" s="30">
        <f>IF(454&gt;$E$8,"",INDEX('CONTROLES'!$AB$13:$AB$1012,MATCH(454,'CONTROLES'!$AH$13:$AH$1012,0)))</f>
      </c>
      <c r="C466" s="30">
        <f>IF(454&gt;$E$8,"",INDEX('CONTROLES'!$AC$13:$AC$1012,MATCH(454,'CONTROLES'!$AH$13:$AH$1012,0)))</f>
      </c>
      <c r="D466" s="30">
        <f>IF(454&gt;$E$8,"",INDEX('CONTROLES'!$AD$13:$AD$1012,MATCH(454,'CONTROLES'!$AH$13:$AH$1012,0)))</f>
      </c>
      <c r="E466" s="30">
        <f>IF(454&gt;$E$8,"",INDEX('CONTROLES'!$AE$13:$AE$1012,MATCH(454,'CONTROLES'!$AH$13:$AH$1012,0)))</f>
      </c>
      <c r="F466" s="30">
        <f>IF(454&gt;$E$8,"",INDEX('CONTROLES'!$AF$13:$AF$1012,MATCH(454,'CONTROLES'!$AH$13:$AH$1012,0)))</f>
      </c>
      <c r="G466" s="30">
        <f>IF(454&gt;$E$8,"",IF(INDEX('CONTROLES'!$AG$13:$AG$1012,MATCH(454,'CONTROLES'!$AH$13:$AH$1012,0))=2,"ROJO","ÁMBAR"))</f>
      </c>
    </row>
    <row r="467" ht="22" customHeight="1">
      <c r="B467" s="30">
        <f>IF(455&gt;$E$8,"",INDEX('CONTROLES'!$AB$13:$AB$1012,MATCH(455,'CONTROLES'!$AH$13:$AH$1012,0)))</f>
      </c>
      <c r="C467" s="30">
        <f>IF(455&gt;$E$8,"",INDEX('CONTROLES'!$AC$13:$AC$1012,MATCH(455,'CONTROLES'!$AH$13:$AH$1012,0)))</f>
      </c>
      <c r="D467" s="30">
        <f>IF(455&gt;$E$8,"",INDEX('CONTROLES'!$AD$13:$AD$1012,MATCH(455,'CONTROLES'!$AH$13:$AH$1012,0)))</f>
      </c>
      <c r="E467" s="30">
        <f>IF(455&gt;$E$8,"",INDEX('CONTROLES'!$AE$13:$AE$1012,MATCH(455,'CONTROLES'!$AH$13:$AH$1012,0)))</f>
      </c>
      <c r="F467" s="30">
        <f>IF(455&gt;$E$8,"",INDEX('CONTROLES'!$AF$13:$AF$1012,MATCH(455,'CONTROLES'!$AH$13:$AH$1012,0)))</f>
      </c>
      <c r="G467" s="30">
        <f>IF(455&gt;$E$8,"",IF(INDEX('CONTROLES'!$AG$13:$AG$1012,MATCH(455,'CONTROLES'!$AH$13:$AH$1012,0))=2,"ROJO","ÁMBAR"))</f>
      </c>
    </row>
    <row r="468" ht="22" customHeight="1">
      <c r="B468" s="30">
        <f>IF(456&gt;$E$8,"",INDEX('CONTROLES'!$AB$13:$AB$1012,MATCH(456,'CONTROLES'!$AH$13:$AH$1012,0)))</f>
      </c>
      <c r="C468" s="30">
        <f>IF(456&gt;$E$8,"",INDEX('CONTROLES'!$AC$13:$AC$1012,MATCH(456,'CONTROLES'!$AH$13:$AH$1012,0)))</f>
      </c>
      <c r="D468" s="30">
        <f>IF(456&gt;$E$8,"",INDEX('CONTROLES'!$AD$13:$AD$1012,MATCH(456,'CONTROLES'!$AH$13:$AH$1012,0)))</f>
      </c>
      <c r="E468" s="30">
        <f>IF(456&gt;$E$8,"",INDEX('CONTROLES'!$AE$13:$AE$1012,MATCH(456,'CONTROLES'!$AH$13:$AH$1012,0)))</f>
      </c>
      <c r="F468" s="30">
        <f>IF(456&gt;$E$8,"",INDEX('CONTROLES'!$AF$13:$AF$1012,MATCH(456,'CONTROLES'!$AH$13:$AH$1012,0)))</f>
      </c>
      <c r="G468" s="30">
        <f>IF(456&gt;$E$8,"",IF(INDEX('CONTROLES'!$AG$13:$AG$1012,MATCH(456,'CONTROLES'!$AH$13:$AH$1012,0))=2,"ROJO","ÁMBAR"))</f>
      </c>
    </row>
    <row r="469" ht="22" customHeight="1">
      <c r="B469" s="30">
        <f>IF(457&gt;$E$8,"",INDEX('CONTROLES'!$AB$13:$AB$1012,MATCH(457,'CONTROLES'!$AH$13:$AH$1012,0)))</f>
      </c>
      <c r="C469" s="30">
        <f>IF(457&gt;$E$8,"",INDEX('CONTROLES'!$AC$13:$AC$1012,MATCH(457,'CONTROLES'!$AH$13:$AH$1012,0)))</f>
      </c>
      <c r="D469" s="30">
        <f>IF(457&gt;$E$8,"",INDEX('CONTROLES'!$AD$13:$AD$1012,MATCH(457,'CONTROLES'!$AH$13:$AH$1012,0)))</f>
      </c>
      <c r="E469" s="30">
        <f>IF(457&gt;$E$8,"",INDEX('CONTROLES'!$AE$13:$AE$1012,MATCH(457,'CONTROLES'!$AH$13:$AH$1012,0)))</f>
      </c>
      <c r="F469" s="30">
        <f>IF(457&gt;$E$8,"",INDEX('CONTROLES'!$AF$13:$AF$1012,MATCH(457,'CONTROLES'!$AH$13:$AH$1012,0)))</f>
      </c>
      <c r="G469" s="30">
        <f>IF(457&gt;$E$8,"",IF(INDEX('CONTROLES'!$AG$13:$AG$1012,MATCH(457,'CONTROLES'!$AH$13:$AH$1012,0))=2,"ROJO","ÁMBAR"))</f>
      </c>
    </row>
    <row r="470" ht="22" customHeight="1">
      <c r="B470" s="30">
        <f>IF(458&gt;$E$8,"",INDEX('CONTROLES'!$AB$13:$AB$1012,MATCH(458,'CONTROLES'!$AH$13:$AH$1012,0)))</f>
      </c>
      <c r="C470" s="30">
        <f>IF(458&gt;$E$8,"",INDEX('CONTROLES'!$AC$13:$AC$1012,MATCH(458,'CONTROLES'!$AH$13:$AH$1012,0)))</f>
      </c>
      <c r="D470" s="30">
        <f>IF(458&gt;$E$8,"",INDEX('CONTROLES'!$AD$13:$AD$1012,MATCH(458,'CONTROLES'!$AH$13:$AH$1012,0)))</f>
      </c>
      <c r="E470" s="30">
        <f>IF(458&gt;$E$8,"",INDEX('CONTROLES'!$AE$13:$AE$1012,MATCH(458,'CONTROLES'!$AH$13:$AH$1012,0)))</f>
      </c>
      <c r="F470" s="30">
        <f>IF(458&gt;$E$8,"",INDEX('CONTROLES'!$AF$13:$AF$1012,MATCH(458,'CONTROLES'!$AH$13:$AH$1012,0)))</f>
      </c>
      <c r="G470" s="30">
        <f>IF(458&gt;$E$8,"",IF(INDEX('CONTROLES'!$AG$13:$AG$1012,MATCH(458,'CONTROLES'!$AH$13:$AH$1012,0))=2,"ROJO","ÁMBAR"))</f>
      </c>
    </row>
    <row r="471" ht="22" customHeight="1">
      <c r="B471" s="30">
        <f>IF(459&gt;$E$8,"",INDEX('CONTROLES'!$AB$13:$AB$1012,MATCH(459,'CONTROLES'!$AH$13:$AH$1012,0)))</f>
      </c>
      <c r="C471" s="30">
        <f>IF(459&gt;$E$8,"",INDEX('CONTROLES'!$AC$13:$AC$1012,MATCH(459,'CONTROLES'!$AH$13:$AH$1012,0)))</f>
      </c>
      <c r="D471" s="30">
        <f>IF(459&gt;$E$8,"",INDEX('CONTROLES'!$AD$13:$AD$1012,MATCH(459,'CONTROLES'!$AH$13:$AH$1012,0)))</f>
      </c>
      <c r="E471" s="30">
        <f>IF(459&gt;$E$8,"",INDEX('CONTROLES'!$AE$13:$AE$1012,MATCH(459,'CONTROLES'!$AH$13:$AH$1012,0)))</f>
      </c>
      <c r="F471" s="30">
        <f>IF(459&gt;$E$8,"",INDEX('CONTROLES'!$AF$13:$AF$1012,MATCH(459,'CONTROLES'!$AH$13:$AH$1012,0)))</f>
      </c>
      <c r="G471" s="30">
        <f>IF(459&gt;$E$8,"",IF(INDEX('CONTROLES'!$AG$13:$AG$1012,MATCH(459,'CONTROLES'!$AH$13:$AH$1012,0))=2,"ROJO","ÁMBAR"))</f>
      </c>
    </row>
    <row r="472" ht="22" customHeight="1">
      <c r="B472" s="30">
        <f>IF(460&gt;$E$8,"",INDEX('CONTROLES'!$AB$13:$AB$1012,MATCH(460,'CONTROLES'!$AH$13:$AH$1012,0)))</f>
      </c>
      <c r="C472" s="30">
        <f>IF(460&gt;$E$8,"",INDEX('CONTROLES'!$AC$13:$AC$1012,MATCH(460,'CONTROLES'!$AH$13:$AH$1012,0)))</f>
      </c>
      <c r="D472" s="30">
        <f>IF(460&gt;$E$8,"",INDEX('CONTROLES'!$AD$13:$AD$1012,MATCH(460,'CONTROLES'!$AH$13:$AH$1012,0)))</f>
      </c>
      <c r="E472" s="30">
        <f>IF(460&gt;$E$8,"",INDEX('CONTROLES'!$AE$13:$AE$1012,MATCH(460,'CONTROLES'!$AH$13:$AH$1012,0)))</f>
      </c>
      <c r="F472" s="30">
        <f>IF(460&gt;$E$8,"",INDEX('CONTROLES'!$AF$13:$AF$1012,MATCH(460,'CONTROLES'!$AH$13:$AH$1012,0)))</f>
      </c>
      <c r="G472" s="30">
        <f>IF(460&gt;$E$8,"",IF(INDEX('CONTROLES'!$AG$13:$AG$1012,MATCH(460,'CONTROLES'!$AH$13:$AH$1012,0))=2,"ROJO","ÁMBAR"))</f>
      </c>
    </row>
    <row r="473" ht="22" customHeight="1">
      <c r="B473" s="30">
        <f>IF(461&gt;$E$8,"",INDEX('CONTROLES'!$AB$13:$AB$1012,MATCH(461,'CONTROLES'!$AH$13:$AH$1012,0)))</f>
      </c>
      <c r="C473" s="30">
        <f>IF(461&gt;$E$8,"",INDEX('CONTROLES'!$AC$13:$AC$1012,MATCH(461,'CONTROLES'!$AH$13:$AH$1012,0)))</f>
      </c>
      <c r="D473" s="30">
        <f>IF(461&gt;$E$8,"",INDEX('CONTROLES'!$AD$13:$AD$1012,MATCH(461,'CONTROLES'!$AH$13:$AH$1012,0)))</f>
      </c>
      <c r="E473" s="30">
        <f>IF(461&gt;$E$8,"",INDEX('CONTROLES'!$AE$13:$AE$1012,MATCH(461,'CONTROLES'!$AH$13:$AH$1012,0)))</f>
      </c>
      <c r="F473" s="30">
        <f>IF(461&gt;$E$8,"",INDEX('CONTROLES'!$AF$13:$AF$1012,MATCH(461,'CONTROLES'!$AH$13:$AH$1012,0)))</f>
      </c>
      <c r="G473" s="30">
        <f>IF(461&gt;$E$8,"",IF(INDEX('CONTROLES'!$AG$13:$AG$1012,MATCH(461,'CONTROLES'!$AH$13:$AH$1012,0))=2,"ROJO","ÁMBAR"))</f>
      </c>
    </row>
    <row r="474" ht="22" customHeight="1">
      <c r="B474" s="30">
        <f>IF(462&gt;$E$8,"",INDEX('CONTROLES'!$AB$13:$AB$1012,MATCH(462,'CONTROLES'!$AH$13:$AH$1012,0)))</f>
      </c>
      <c r="C474" s="30">
        <f>IF(462&gt;$E$8,"",INDEX('CONTROLES'!$AC$13:$AC$1012,MATCH(462,'CONTROLES'!$AH$13:$AH$1012,0)))</f>
      </c>
      <c r="D474" s="30">
        <f>IF(462&gt;$E$8,"",INDEX('CONTROLES'!$AD$13:$AD$1012,MATCH(462,'CONTROLES'!$AH$13:$AH$1012,0)))</f>
      </c>
      <c r="E474" s="30">
        <f>IF(462&gt;$E$8,"",INDEX('CONTROLES'!$AE$13:$AE$1012,MATCH(462,'CONTROLES'!$AH$13:$AH$1012,0)))</f>
      </c>
      <c r="F474" s="30">
        <f>IF(462&gt;$E$8,"",INDEX('CONTROLES'!$AF$13:$AF$1012,MATCH(462,'CONTROLES'!$AH$13:$AH$1012,0)))</f>
      </c>
      <c r="G474" s="30">
        <f>IF(462&gt;$E$8,"",IF(INDEX('CONTROLES'!$AG$13:$AG$1012,MATCH(462,'CONTROLES'!$AH$13:$AH$1012,0))=2,"ROJO","ÁMBAR"))</f>
      </c>
    </row>
    <row r="475" ht="22" customHeight="1">
      <c r="B475" s="30">
        <f>IF(463&gt;$E$8,"",INDEX('CONTROLES'!$AB$13:$AB$1012,MATCH(463,'CONTROLES'!$AH$13:$AH$1012,0)))</f>
      </c>
      <c r="C475" s="30">
        <f>IF(463&gt;$E$8,"",INDEX('CONTROLES'!$AC$13:$AC$1012,MATCH(463,'CONTROLES'!$AH$13:$AH$1012,0)))</f>
      </c>
      <c r="D475" s="30">
        <f>IF(463&gt;$E$8,"",INDEX('CONTROLES'!$AD$13:$AD$1012,MATCH(463,'CONTROLES'!$AH$13:$AH$1012,0)))</f>
      </c>
      <c r="E475" s="30">
        <f>IF(463&gt;$E$8,"",INDEX('CONTROLES'!$AE$13:$AE$1012,MATCH(463,'CONTROLES'!$AH$13:$AH$1012,0)))</f>
      </c>
      <c r="F475" s="30">
        <f>IF(463&gt;$E$8,"",INDEX('CONTROLES'!$AF$13:$AF$1012,MATCH(463,'CONTROLES'!$AH$13:$AH$1012,0)))</f>
      </c>
      <c r="G475" s="30">
        <f>IF(463&gt;$E$8,"",IF(INDEX('CONTROLES'!$AG$13:$AG$1012,MATCH(463,'CONTROLES'!$AH$13:$AH$1012,0))=2,"ROJO","ÁMBAR"))</f>
      </c>
    </row>
    <row r="476" ht="22" customHeight="1">
      <c r="B476" s="30">
        <f>IF(464&gt;$E$8,"",INDEX('CONTROLES'!$AB$13:$AB$1012,MATCH(464,'CONTROLES'!$AH$13:$AH$1012,0)))</f>
      </c>
      <c r="C476" s="30">
        <f>IF(464&gt;$E$8,"",INDEX('CONTROLES'!$AC$13:$AC$1012,MATCH(464,'CONTROLES'!$AH$13:$AH$1012,0)))</f>
      </c>
      <c r="D476" s="30">
        <f>IF(464&gt;$E$8,"",INDEX('CONTROLES'!$AD$13:$AD$1012,MATCH(464,'CONTROLES'!$AH$13:$AH$1012,0)))</f>
      </c>
      <c r="E476" s="30">
        <f>IF(464&gt;$E$8,"",INDEX('CONTROLES'!$AE$13:$AE$1012,MATCH(464,'CONTROLES'!$AH$13:$AH$1012,0)))</f>
      </c>
      <c r="F476" s="30">
        <f>IF(464&gt;$E$8,"",INDEX('CONTROLES'!$AF$13:$AF$1012,MATCH(464,'CONTROLES'!$AH$13:$AH$1012,0)))</f>
      </c>
      <c r="G476" s="30">
        <f>IF(464&gt;$E$8,"",IF(INDEX('CONTROLES'!$AG$13:$AG$1012,MATCH(464,'CONTROLES'!$AH$13:$AH$1012,0))=2,"ROJO","ÁMBAR"))</f>
      </c>
    </row>
    <row r="477" ht="22" customHeight="1">
      <c r="B477" s="30">
        <f>IF(465&gt;$E$8,"",INDEX('CONTROLES'!$AB$13:$AB$1012,MATCH(465,'CONTROLES'!$AH$13:$AH$1012,0)))</f>
      </c>
      <c r="C477" s="30">
        <f>IF(465&gt;$E$8,"",INDEX('CONTROLES'!$AC$13:$AC$1012,MATCH(465,'CONTROLES'!$AH$13:$AH$1012,0)))</f>
      </c>
      <c r="D477" s="30">
        <f>IF(465&gt;$E$8,"",INDEX('CONTROLES'!$AD$13:$AD$1012,MATCH(465,'CONTROLES'!$AH$13:$AH$1012,0)))</f>
      </c>
      <c r="E477" s="30">
        <f>IF(465&gt;$E$8,"",INDEX('CONTROLES'!$AE$13:$AE$1012,MATCH(465,'CONTROLES'!$AH$13:$AH$1012,0)))</f>
      </c>
      <c r="F477" s="30">
        <f>IF(465&gt;$E$8,"",INDEX('CONTROLES'!$AF$13:$AF$1012,MATCH(465,'CONTROLES'!$AH$13:$AH$1012,0)))</f>
      </c>
      <c r="G477" s="30">
        <f>IF(465&gt;$E$8,"",IF(INDEX('CONTROLES'!$AG$13:$AG$1012,MATCH(465,'CONTROLES'!$AH$13:$AH$1012,0))=2,"ROJO","ÁMBAR"))</f>
      </c>
    </row>
    <row r="478" ht="22" customHeight="1">
      <c r="B478" s="30">
        <f>IF(466&gt;$E$8,"",INDEX('CONTROLES'!$AB$13:$AB$1012,MATCH(466,'CONTROLES'!$AH$13:$AH$1012,0)))</f>
      </c>
      <c r="C478" s="30">
        <f>IF(466&gt;$E$8,"",INDEX('CONTROLES'!$AC$13:$AC$1012,MATCH(466,'CONTROLES'!$AH$13:$AH$1012,0)))</f>
      </c>
      <c r="D478" s="30">
        <f>IF(466&gt;$E$8,"",INDEX('CONTROLES'!$AD$13:$AD$1012,MATCH(466,'CONTROLES'!$AH$13:$AH$1012,0)))</f>
      </c>
      <c r="E478" s="30">
        <f>IF(466&gt;$E$8,"",INDEX('CONTROLES'!$AE$13:$AE$1012,MATCH(466,'CONTROLES'!$AH$13:$AH$1012,0)))</f>
      </c>
      <c r="F478" s="30">
        <f>IF(466&gt;$E$8,"",INDEX('CONTROLES'!$AF$13:$AF$1012,MATCH(466,'CONTROLES'!$AH$13:$AH$1012,0)))</f>
      </c>
      <c r="G478" s="30">
        <f>IF(466&gt;$E$8,"",IF(INDEX('CONTROLES'!$AG$13:$AG$1012,MATCH(466,'CONTROLES'!$AH$13:$AH$1012,0))=2,"ROJO","ÁMBAR"))</f>
      </c>
    </row>
    <row r="479" ht="22" customHeight="1">
      <c r="B479" s="30">
        <f>IF(467&gt;$E$8,"",INDEX('CONTROLES'!$AB$13:$AB$1012,MATCH(467,'CONTROLES'!$AH$13:$AH$1012,0)))</f>
      </c>
      <c r="C479" s="30">
        <f>IF(467&gt;$E$8,"",INDEX('CONTROLES'!$AC$13:$AC$1012,MATCH(467,'CONTROLES'!$AH$13:$AH$1012,0)))</f>
      </c>
      <c r="D479" s="30">
        <f>IF(467&gt;$E$8,"",INDEX('CONTROLES'!$AD$13:$AD$1012,MATCH(467,'CONTROLES'!$AH$13:$AH$1012,0)))</f>
      </c>
      <c r="E479" s="30">
        <f>IF(467&gt;$E$8,"",INDEX('CONTROLES'!$AE$13:$AE$1012,MATCH(467,'CONTROLES'!$AH$13:$AH$1012,0)))</f>
      </c>
      <c r="F479" s="30">
        <f>IF(467&gt;$E$8,"",INDEX('CONTROLES'!$AF$13:$AF$1012,MATCH(467,'CONTROLES'!$AH$13:$AH$1012,0)))</f>
      </c>
      <c r="G479" s="30">
        <f>IF(467&gt;$E$8,"",IF(INDEX('CONTROLES'!$AG$13:$AG$1012,MATCH(467,'CONTROLES'!$AH$13:$AH$1012,0))=2,"ROJO","ÁMBAR"))</f>
      </c>
    </row>
    <row r="480" ht="22" customHeight="1">
      <c r="B480" s="30">
        <f>IF(468&gt;$E$8,"",INDEX('CONTROLES'!$AB$13:$AB$1012,MATCH(468,'CONTROLES'!$AH$13:$AH$1012,0)))</f>
      </c>
      <c r="C480" s="30">
        <f>IF(468&gt;$E$8,"",INDEX('CONTROLES'!$AC$13:$AC$1012,MATCH(468,'CONTROLES'!$AH$13:$AH$1012,0)))</f>
      </c>
      <c r="D480" s="30">
        <f>IF(468&gt;$E$8,"",INDEX('CONTROLES'!$AD$13:$AD$1012,MATCH(468,'CONTROLES'!$AH$13:$AH$1012,0)))</f>
      </c>
      <c r="E480" s="30">
        <f>IF(468&gt;$E$8,"",INDEX('CONTROLES'!$AE$13:$AE$1012,MATCH(468,'CONTROLES'!$AH$13:$AH$1012,0)))</f>
      </c>
      <c r="F480" s="30">
        <f>IF(468&gt;$E$8,"",INDEX('CONTROLES'!$AF$13:$AF$1012,MATCH(468,'CONTROLES'!$AH$13:$AH$1012,0)))</f>
      </c>
      <c r="G480" s="30">
        <f>IF(468&gt;$E$8,"",IF(INDEX('CONTROLES'!$AG$13:$AG$1012,MATCH(468,'CONTROLES'!$AH$13:$AH$1012,0))=2,"ROJO","ÁMBAR"))</f>
      </c>
    </row>
    <row r="481" ht="22" customHeight="1">
      <c r="B481" s="30">
        <f>IF(469&gt;$E$8,"",INDEX('CONTROLES'!$AB$13:$AB$1012,MATCH(469,'CONTROLES'!$AH$13:$AH$1012,0)))</f>
      </c>
      <c r="C481" s="30">
        <f>IF(469&gt;$E$8,"",INDEX('CONTROLES'!$AC$13:$AC$1012,MATCH(469,'CONTROLES'!$AH$13:$AH$1012,0)))</f>
      </c>
      <c r="D481" s="30">
        <f>IF(469&gt;$E$8,"",INDEX('CONTROLES'!$AD$13:$AD$1012,MATCH(469,'CONTROLES'!$AH$13:$AH$1012,0)))</f>
      </c>
      <c r="E481" s="30">
        <f>IF(469&gt;$E$8,"",INDEX('CONTROLES'!$AE$13:$AE$1012,MATCH(469,'CONTROLES'!$AH$13:$AH$1012,0)))</f>
      </c>
      <c r="F481" s="30">
        <f>IF(469&gt;$E$8,"",INDEX('CONTROLES'!$AF$13:$AF$1012,MATCH(469,'CONTROLES'!$AH$13:$AH$1012,0)))</f>
      </c>
      <c r="G481" s="30">
        <f>IF(469&gt;$E$8,"",IF(INDEX('CONTROLES'!$AG$13:$AG$1012,MATCH(469,'CONTROLES'!$AH$13:$AH$1012,0))=2,"ROJO","ÁMBAR"))</f>
      </c>
    </row>
    <row r="482" ht="22" customHeight="1">
      <c r="B482" s="30">
        <f>IF(470&gt;$E$8,"",INDEX('CONTROLES'!$AB$13:$AB$1012,MATCH(470,'CONTROLES'!$AH$13:$AH$1012,0)))</f>
      </c>
      <c r="C482" s="30">
        <f>IF(470&gt;$E$8,"",INDEX('CONTROLES'!$AC$13:$AC$1012,MATCH(470,'CONTROLES'!$AH$13:$AH$1012,0)))</f>
      </c>
      <c r="D482" s="30">
        <f>IF(470&gt;$E$8,"",INDEX('CONTROLES'!$AD$13:$AD$1012,MATCH(470,'CONTROLES'!$AH$13:$AH$1012,0)))</f>
      </c>
      <c r="E482" s="30">
        <f>IF(470&gt;$E$8,"",INDEX('CONTROLES'!$AE$13:$AE$1012,MATCH(470,'CONTROLES'!$AH$13:$AH$1012,0)))</f>
      </c>
      <c r="F482" s="30">
        <f>IF(470&gt;$E$8,"",INDEX('CONTROLES'!$AF$13:$AF$1012,MATCH(470,'CONTROLES'!$AH$13:$AH$1012,0)))</f>
      </c>
      <c r="G482" s="30">
        <f>IF(470&gt;$E$8,"",IF(INDEX('CONTROLES'!$AG$13:$AG$1012,MATCH(470,'CONTROLES'!$AH$13:$AH$1012,0))=2,"ROJO","ÁMBAR"))</f>
      </c>
    </row>
    <row r="483" ht="22" customHeight="1">
      <c r="B483" s="30">
        <f>IF(471&gt;$E$8,"",INDEX('CONTROLES'!$AB$13:$AB$1012,MATCH(471,'CONTROLES'!$AH$13:$AH$1012,0)))</f>
      </c>
      <c r="C483" s="30">
        <f>IF(471&gt;$E$8,"",INDEX('CONTROLES'!$AC$13:$AC$1012,MATCH(471,'CONTROLES'!$AH$13:$AH$1012,0)))</f>
      </c>
      <c r="D483" s="30">
        <f>IF(471&gt;$E$8,"",INDEX('CONTROLES'!$AD$13:$AD$1012,MATCH(471,'CONTROLES'!$AH$13:$AH$1012,0)))</f>
      </c>
      <c r="E483" s="30">
        <f>IF(471&gt;$E$8,"",INDEX('CONTROLES'!$AE$13:$AE$1012,MATCH(471,'CONTROLES'!$AH$13:$AH$1012,0)))</f>
      </c>
      <c r="F483" s="30">
        <f>IF(471&gt;$E$8,"",INDEX('CONTROLES'!$AF$13:$AF$1012,MATCH(471,'CONTROLES'!$AH$13:$AH$1012,0)))</f>
      </c>
      <c r="G483" s="30">
        <f>IF(471&gt;$E$8,"",IF(INDEX('CONTROLES'!$AG$13:$AG$1012,MATCH(471,'CONTROLES'!$AH$13:$AH$1012,0))=2,"ROJO","ÁMBAR"))</f>
      </c>
    </row>
    <row r="484" ht="22" customHeight="1">
      <c r="B484" s="30">
        <f>IF(472&gt;$E$8,"",INDEX('CONTROLES'!$AB$13:$AB$1012,MATCH(472,'CONTROLES'!$AH$13:$AH$1012,0)))</f>
      </c>
      <c r="C484" s="30">
        <f>IF(472&gt;$E$8,"",INDEX('CONTROLES'!$AC$13:$AC$1012,MATCH(472,'CONTROLES'!$AH$13:$AH$1012,0)))</f>
      </c>
      <c r="D484" s="30">
        <f>IF(472&gt;$E$8,"",INDEX('CONTROLES'!$AD$13:$AD$1012,MATCH(472,'CONTROLES'!$AH$13:$AH$1012,0)))</f>
      </c>
      <c r="E484" s="30">
        <f>IF(472&gt;$E$8,"",INDEX('CONTROLES'!$AE$13:$AE$1012,MATCH(472,'CONTROLES'!$AH$13:$AH$1012,0)))</f>
      </c>
      <c r="F484" s="30">
        <f>IF(472&gt;$E$8,"",INDEX('CONTROLES'!$AF$13:$AF$1012,MATCH(472,'CONTROLES'!$AH$13:$AH$1012,0)))</f>
      </c>
      <c r="G484" s="30">
        <f>IF(472&gt;$E$8,"",IF(INDEX('CONTROLES'!$AG$13:$AG$1012,MATCH(472,'CONTROLES'!$AH$13:$AH$1012,0))=2,"ROJO","ÁMBAR"))</f>
      </c>
    </row>
    <row r="485" ht="22" customHeight="1">
      <c r="B485" s="30">
        <f>IF(473&gt;$E$8,"",INDEX('CONTROLES'!$AB$13:$AB$1012,MATCH(473,'CONTROLES'!$AH$13:$AH$1012,0)))</f>
      </c>
      <c r="C485" s="30">
        <f>IF(473&gt;$E$8,"",INDEX('CONTROLES'!$AC$13:$AC$1012,MATCH(473,'CONTROLES'!$AH$13:$AH$1012,0)))</f>
      </c>
      <c r="D485" s="30">
        <f>IF(473&gt;$E$8,"",INDEX('CONTROLES'!$AD$13:$AD$1012,MATCH(473,'CONTROLES'!$AH$13:$AH$1012,0)))</f>
      </c>
      <c r="E485" s="30">
        <f>IF(473&gt;$E$8,"",INDEX('CONTROLES'!$AE$13:$AE$1012,MATCH(473,'CONTROLES'!$AH$13:$AH$1012,0)))</f>
      </c>
      <c r="F485" s="30">
        <f>IF(473&gt;$E$8,"",INDEX('CONTROLES'!$AF$13:$AF$1012,MATCH(473,'CONTROLES'!$AH$13:$AH$1012,0)))</f>
      </c>
      <c r="G485" s="30">
        <f>IF(473&gt;$E$8,"",IF(INDEX('CONTROLES'!$AG$13:$AG$1012,MATCH(473,'CONTROLES'!$AH$13:$AH$1012,0))=2,"ROJO","ÁMBAR"))</f>
      </c>
    </row>
    <row r="486" ht="22" customHeight="1">
      <c r="B486" s="30">
        <f>IF(474&gt;$E$8,"",INDEX('CONTROLES'!$AB$13:$AB$1012,MATCH(474,'CONTROLES'!$AH$13:$AH$1012,0)))</f>
      </c>
      <c r="C486" s="30">
        <f>IF(474&gt;$E$8,"",INDEX('CONTROLES'!$AC$13:$AC$1012,MATCH(474,'CONTROLES'!$AH$13:$AH$1012,0)))</f>
      </c>
      <c r="D486" s="30">
        <f>IF(474&gt;$E$8,"",INDEX('CONTROLES'!$AD$13:$AD$1012,MATCH(474,'CONTROLES'!$AH$13:$AH$1012,0)))</f>
      </c>
      <c r="E486" s="30">
        <f>IF(474&gt;$E$8,"",INDEX('CONTROLES'!$AE$13:$AE$1012,MATCH(474,'CONTROLES'!$AH$13:$AH$1012,0)))</f>
      </c>
      <c r="F486" s="30">
        <f>IF(474&gt;$E$8,"",INDEX('CONTROLES'!$AF$13:$AF$1012,MATCH(474,'CONTROLES'!$AH$13:$AH$1012,0)))</f>
      </c>
      <c r="G486" s="30">
        <f>IF(474&gt;$E$8,"",IF(INDEX('CONTROLES'!$AG$13:$AG$1012,MATCH(474,'CONTROLES'!$AH$13:$AH$1012,0))=2,"ROJO","ÁMBAR"))</f>
      </c>
    </row>
    <row r="487" ht="22" customHeight="1">
      <c r="B487" s="30">
        <f>IF(475&gt;$E$8,"",INDEX('CONTROLES'!$AB$13:$AB$1012,MATCH(475,'CONTROLES'!$AH$13:$AH$1012,0)))</f>
      </c>
      <c r="C487" s="30">
        <f>IF(475&gt;$E$8,"",INDEX('CONTROLES'!$AC$13:$AC$1012,MATCH(475,'CONTROLES'!$AH$13:$AH$1012,0)))</f>
      </c>
      <c r="D487" s="30">
        <f>IF(475&gt;$E$8,"",INDEX('CONTROLES'!$AD$13:$AD$1012,MATCH(475,'CONTROLES'!$AH$13:$AH$1012,0)))</f>
      </c>
      <c r="E487" s="30">
        <f>IF(475&gt;$E$8,"",INDEX('CONTROLES'!$AE$13:$AE$1012,MATCH(475,'CONTROLES'!$AH$13:$AH$1012,0)))</f>
      </c>
      <c r="F487" s="30">
        <f>IF(475&gt;$E$8,"",INDEX('CONTROLES'!$AF$13:$AF$1012,MATCH(475,'CONTROLES'!$AH$13:$AH$1012,0)))</f>
      </c>
      <c r="G487" s="30">
        <f>IF(475&gt;$E$8,"",IF(INDEX('CONTROLES'!$AG$13:$AG$1012,MATCH(475,'CONTROLES'!$AH$13:$AH$1012,0))=2,"ROJO","ÁMBAR"))</f>
      </c>
    </row>
    <row r="488" ht="22" customHeight="1">
      <c r="B488" s="30">
        <f>IF(476&gt;$E$8,"",INDEX('CONTROLES'!$AB$13:$AB$1012,MATCH(476,'CONTROLES'!$AH$13:$AH$1012,0)))</f>
      </c>
      <c r="C488" s="30">
        <f>IF(476&gt;$E$8,"",INDEX('CONTROLES'!$AC$13:$AC$1012,MATCH(476,'CONTROLES'!$AH$13:$AH$1012,0)))</f>
      </c>
      <c r="D488" s="30">
        <f>IF(476&gt;$E$8,"",INDEX('CONTROLES'!$AD$13:$AD$1012,MATCH(476,'CONTROLES'!$AH$13:$AH$1012,0)))</f>
      </c>
      <c r="E488" s="30">
        <f>IF(476&gt;$E$8,"",INDEX('CONTROLES'!$AE$13:$AE$1012,MATCH(476,'CONTROLES'!$AH$13:$AH$1012,0)))</f>
      </c>
      <c r="F488" s="30">
        <f>IF(476&gt;$E$8,"",INDEX('CONTROLES'!$AF$13:$AF$1012,MATCH(476,'CONTROLES'!$AH$13:$AH$1012,0)))</f>
      </c>
      <c r="G488" s="30">
        <f>IF(476&gt;$E$8,"",IF(INDEX('CONTROLES'!$AG$13:$AG$1012,MATCH(476,'CONTROLES'!$AH$13:$AH$1012,0))=2,"ROJO","ÁMBAR"))</f>
      </c>
    </row>
    <row r="489" ht="22" customHeight="1">
      <c r="B489" s="30">
        <f>IF(477&gt;$E$8,"",INDEX('CONTROLES'!$AB$13:$AB$1012,MATCH(477,'CONTROLES'!$AH$13:$AH$1012,0)))</f>
      </c>
      <c r="C489" s="30">
        <f>IF(477&gt;$E$8,"",INDEX('CONTROLES'!$AC$13:$AC$1012,MATCH(477,'CONTROLES'!$AH$13:$AH$1012,0)))</f>
      </c>
      <c r="D489" s="30">
        <f>IF(477&gt;$E$8,"",INDEX('CONTROLES'!$AD$13:$AD$1012,MATCH(477,'CONTROLES'!$AH$13:$AH$1012,0)))</f>
      </c>
      <c r="E489" s="30">
        <f>IF(477&gt;$E$8,"",INDEX('CONTROLES'!$AE$13:$AE$1012,MATCH(477,'CONTROLES'!$AH$13:$AH$1012,0)))</f>
      </c>
      <c r="F489" s="30">
        <f>IF(477&gt;$E$8,"",INDEX('CONTROLES'!$AF$13:$AF$1012,MATCH(477,'CONTROLES'!$AH$13:$AH$1012,0)))</f>
      </c>
      <c r="G489" s="30">
        <f>IF(477&gt;$E$8,"",IF(INDEX('CONTROLES'!$AG$13:$AG$1012,MATCH(477,'CONTROLES'!$AH$13:$AH$1012,0))=2,"ROJO","ÁMBAR"))</f>
      </c>
    </row>
    <row r="490" ht="22" customHeight="1">
      <c r="B490" s="30">
        <f>IF(478&gt;$E$8,"",INDEX('CONTROLES'!$AB$13:$AB$1012,MATCH(478,'CONTROLES'!$AH$13:$AH$1012,0)))</f>
      </c>
      <c r="C490" s="30">
        <f>IF(478&gt;$E$8,"",INDEX('CONTROLES'!$AC$13:$AC$1012,MATCH(478,'CONTROLES'!$AH$13:$AH$1012,0)))</f>
      </c>
      <c r="D490" s="30">
        <f>IF(478&gt;$E$8,"",INDEX('CONTROLES'!$AD$13:$AD$1012,MATCH(478,'CONTROLES'!$AH$13:$AH$1012,0)))</f>
      </c>
      <c r="E490" s="30">
        <f>IF(478&gt;$E$8,"",INDEX('CONTROLES'!$AE$13:$AE$1012,MATCH(478,'CONTROLES'!$AH$13:$AH$1012,0)))</f>
      </c>
      <c r="F490" s="30">
        <f>IF(478&gt;$E$8,"",INDEX('CONTROLES'!$AF$13:$AF$1012,MATCH(478,'CONTROLES'!$AH$13:$AH$1012,0)))</f>
      </c>
      <c r="G490" s="30">
        <f>IF(478&gt;$E$8,"",IF(INDEX('CONTROLES'!$AG$13:$AG$1012,MATCH(478,'CONTROLES'!$AH$13:$AH$1012,0))=2,"ROJO","ÁMBAR"))</f>
      </c>
    </row>
    <row r="491" ht="22" customHeight="1">
      <c r="B491" s="30">
        <f>IF(479&gt;$E$8,"",INDEX('CONTROLES'!$AB$13:$AB$1012,MATCH(479,'CONTROLES'!$AH$13:$AH$1012,0)))</f>
      </c>
      <c r="C491" s="30">
        <f>IF(479&gt;$E$8,"",INDEX('CONTROLES'!$AC$13:$AC$1012,MATCH(479,'CONTROLES'!$AH$13:$AH$1012,0)))</f>
      </c>
      <c r="D491" s="30">
        <f>IF(479&gt;$E$8,"",INDEX('CONTROLES'!$AD$13:$AD$1012,MATCH(479,'CONTROLES'!$AH$13:$AH$1012,0)))</f>
      </c>
      <c r="E491" s="30">
        <f>IF(479&gt;$E$8,"",INDEX('CONTROLES'!$AE$13:$AE$1012,MATCH(479,'CONTROLES'!$AH$13:$AH$1012,0)))</f>
      </c>
      <c r="F491" s="30">
        <f>IF(479&gt;$E$8,"",INDEX('CONTROLES'!$AF$13:$AF$1012,MATCH(479,'CONTROLES'!$AH$13:$AH$1012,0)))</f>
      </c>
      <c r="G491" s="30">
        <f>IF(479&gt;$E$8,"",IF(INDEX('CONTROLES'!$AG$13:$AG$1012,MATCH(479,'CONTROLES'!$AH$13:$AH$1012,0))=2,"ROJO","ÁMBAR"))</f>
      </c>
    </row>
    <row r="492" ht="22" customHeight="1">
      <c r="B492" s="30">
        <f>IF(480&gt;$E$8,"",INDEX('CONTROLES'!$AB$13:$AB$1012,MATCH(480,'CONTROLES'!$AH$13:$AH$1012,0)))</f>
      </c>
      <c r="C492" s="30">
        <f>IF(480&gt;$E$8,"",INDEX('CONTROLES'!$AC$13:$AC$1012,MATCH(480,'CONTROLES'!$AH$13:$AH$1012,0)))</f>
      </c>
      <c r="D492" s="30">
        <f>IF(480&gt;$E$8,"",INDEX('CONTROLES'!$AD$13:$AD$1012,MATCH(480,'CONTROLES'!$AH$13:$AH$1012,0)))</f>
      </c>
      <c r="E492" s="30">
        <f>IF(480&gt;$E$8,"",INDEX('CONTROLES'!$AE$13:$AE$1012,MATCH(480,'CONTROLES'!$AH$13:$AH$1012,0)))</f>
      </c>
      <c r="F492" s="30">
        <f>IF(480&gt;$E$8,"",INDEX('CONTROLES'!$AF$13:$AF$1012,MATCH(480,'CONTROLES'!$AH$13:$AH$1012,0)))</f>
      </c>
      <c r="G492" s="30">
        <f>IF(480&gt;$E$8,"",IF(INDEX('CONTROLES'!$AG$13:$AG$1012,MATCH(480,'CONTROLES'!$AH$13:$AH$1012,0))=2,"ROJO","ÁMBAR"))</f>
      </c>
    </row>
    <row r="493" ht="22" customHeight="1">
      <c r="B493" s="30">
        <f>IF(481&gt;$E$8,"",INDEX('CONTROLES'!$AB$13:$AB$1012,MATCH(481,'CONTROLES'!$AH$13:$AH$1012,0)))</f>
      </c>
      <c r="C493" s="30">
        <f>IF(481&gt;$E$8,"",INDEX('CONTROLES'!$AC$13:$AC$1012,MATCH(481,'CONTROLES'!$AH$13:$AH$1012,0)))</f>
      </c>
      <c r="D493" s="30">
        <f>IF(481&gt;$E$8,"",INDEX('CONTROLES'!$AD$13:$AD$1012,MATCH(481,'CONTROLES'!$AH$13:$AH$1012,0)))</f>
      </c>
      <c r="E493" s="30">
        <f>IF(481&gt;$E$8,"",INDEX('CONTROLES'!$AE$13:$AE$1012,MATCH(481,'CONTROLES'!$AH$13:$AH$1012,0)))</f>
      </c>
      <c r="F493" s="30">
        <f>IF(481&gt;$E$8,"",INDEX('CONTROLES'!$AF$13:$AF$1012,MATCH(481,'CONTROLES'!$AH$13:$AH$1012,0)))</f>
      </c>
      <c r="G493" s="30">
        <f>IF(481&gt;$E$8,"",IF(INDEX('CONTROLES'!$AG$13:$AG$1012,MATCH(481,'CONTROLES'!$AH$13:$AH$1012,0))=2,"ROJO","ÁMBAR"))</f>
      </c>
    </row>
    <row r="494" ht="22" customHeight="1">
      <c r="B494" s="30">
        <f>IF(482&gt;$E$8,"",INDEX('CONTROLES'!$AB$13:$AB$1012,MATCH(482,'CONTROLES'!$AH$13:$AH$1012,0)))</f>
      </c>
      <c r="C494" s="30">
        <f>IF(482&gt;$E$8,"",INDEX('CONTROLES'!$AC$13:$AC$1012,MATCH(482,'CONTROLES'!$AH$13:$AH$1012,0)))</f>
      </c>
      <c r="D494" s="30">
        <f>IF(482&gt;$E$8,"",INDEX('CONTROLES'!$AD$13:$AD$1012,MATCH(482,'CONTROLES'!$AH$13:$AH$1012,0)))</f>
      </c>
      <c r="E494" s="30">
        <f>IF(482&gt;$E$8,"",INDEX('CONTROLES'!$AE$13:$AE$1012,MATCH(482,'CONTROLES'!$AH$13:$AH$1012,0)))</f>
      </c>
      <c r="F494" s="30">
        <f>IF(482&gt;$E$8,"",INDEX('CONTROLES'!$AF$13:$AF$1012,MATCH(482,'CONTROLES'!$AH$13:$AH$1012,0)))</f>
      </c>
      <c r="G494" s="30">
        <f>IF(482&gt;$E$8,"",IF(INDEX('CONTROLES'!$AG$13:$AG$1012,MATCH(482,'CONTROLES'!$AH$13:$AH$1012,0))=2,"ROJO","ÁMBAR"))</f>
      </c>
    </row>
    <row r="495" ht="22" customHeight="1">
      <c r="B495" s="30">
        <f>IF(483&gt;$E$8,"",INDEX('CONTROLES'!$AB$13:$AB$1012,MATCH(483,'CONTROLES'!$AH$13:$AH$1012,0)))</f>
      </c>
      <c r="C495" s="30">
        <f>IF(483&gt;$E$8,"",INDEX('CONTROLES'!$AC$13:$AC$1012,MATCH(483,'CONTROLES'!$AH$13:$AH$1012,0)))</f>
      </c>
      <c r="D495" s="30">
        <f>IF(483&gt;$E$8,"",INDEX('CONTROLES'!$AD$13:$AD$1012,MATCH(483,'CONTROLES'!$AH$13:$AH$1012,0)))</f>
      </c>
      <c r="E495" s="30">
        <f>IF(483&gt;$E$8,"",INDEX('CONTROLES'!$AE$13:$AE$1012,MATCH(483,'CONTROLES'!$AH$13:$AH$1012,0)))</f>
      </c>
      <c r="F495" s="30">
        <f>IF(483&gt;$E$8,"",INDEX('CONTROLES'!$AF$13:$AF$1012,MATCH(483,'CONTROLES'!$AH$13:$AH$1012,0)))</f>
      </c>
      <c r="G495" s="30">
        <f>IF(483&gt;$E$8,"",IF(INDEX('CONTROLES'!$AG$13:$AG$1012,MATCH(483,'CONTROLES'!$AH$13:$AH$1012,0))=2,"ROJO","ÁMBAR"))</f>
      </c>
    </row>
    <row r="496" ht="22" customHeight="1">
      <c r="B496" s="30">
        <f>IF(484&gt;$E$8,"",INDEX('CONTROLES'!$AB$13:$AB$1012,MATCH(484,'CONTROLES'!$AH$13:$AH$1012,0)))</f>
      </c>
      <c r="C496" s="30">
        <f>IF(484&gt;$E$8,"",INDEX('CONTROLES'!$AC$13:$AC$1012,MATCH(484,'CONTROLES'!$AH$13:$AH$1012,0)))</f>
      </c>
      <c r="D496" s="30">
        <f>IF(484&gt;$E$8,"",INDEX('CONTROLES'!$AD$13:$AD$1012,MATCH(484,'CONTROLES'!$AH$13:$AH$1012,0)))</f>
      </c>
      <c r="E496" s="30">
        <f>IF(484&gt;$E$8,"",INDEX('CONTROLES'!$AE$13:$AE$1012,MATCH(484,'CONTROLES'!$AH$13:$AH$1012,0)))</f>
      </c>
      <c r="F496" s="30">
        <f>IF(484&gt;$E$8,"",INDEX('CONTROLES'!$AF$13:$AF$1012,MATCH(484,'CONTROLES'!$AH$13:$AH$1012,0)))</f>
      </c>
      <c r="G496" s="30">
        <f>IF(484&gt;$E$8,"",IF(INDEX('CONTROLES'!$AG$13:$AG$1012,MATCH(484,'CONTROLES'!$AH$13:$AH$1012,0))=2,"ROJO","ÁMBAR"))</f>
      </c>
    </row>
    <row r="497" ht="22" customHeight="1">
      <c r="B497" s="30">
        <f>IF(485&gt;$E$8,"",INDEX('CONTROLES'!$AB$13:$AB$1012,MATCH(485,'CONTROLES'!$AH$13:$AH$1012,0)))</f>
      </c>
      <c r="C497" s="30">
        <f>IF(485&gt;$E$8,"",INDEX('CONTROLES'!$AC$13:$AC$1012,MATCH(485,'CONTROLES'!$AH$13:$AH$1012,0)))</f>
      </c>
      <c r="D497" s="30">
        <f>IF(485&gt;$E$8,"",INDEX('CONTROLES'!$AD$13:$AD$1012,MATCH(485,'CONTROLES'!$AH$13:$AH$1012,0)))</f>
      </c>
      <c r="E497" s="30">
        <f>IF(485&gt;$E$8,"",INDEX('CONTROLES'!$AE$13:$AE$1012,MATCH(485,'CONTROLES'!$AH$13:$AH$1012,0)))</f>
      </c>
      <c r="F497" s="30">
        <f>IF(485&gt;$E$8,"",INDEX('CONTROLES'!$AF$13:$AF$1012,MATCH(485,'CONTROLES'!$AH$13:$AH$1012,0)))</f>
      </c>
      <c r="G497" s="30">
        <f>IF(485&gt;$E$8,"",IF(INDEX('CONTROLES'!$AG$13:$AG$1012,MATCH(485,'CONTROLES'!$AH$13:$AH$1012,0))=2,"ROJO","ÁMBAR"))</f>
      </c>
    </row>
    <row r="498" ht="22" customHeight="1">
      <c r="B498" s="30">
        <f>IF(486&gt;$E$8,"",INDEX('CONTROLES'!$AB$13:$AB$1012,MATCH(486,'CONTROLES'!$AH$13:$AH$1012,0)))</f>
      </c>
      <c r="C498" s="30">
        <f>IF(486&gt;$E$8,"",INDEX('CONTROLES'!$AC$13:$AC$1012,MATCH(486,'CONTROLES'!$AH$13:$AH$1012,0)))</f>
      </c>
      <c r="D498" s="30">
        <f>IF(486&gt;$E$8,"",INDEX('CONTROLES'!$AD$13:$AD$1012,MATCH(486,'CONTROLES'!$AH$13:$AH$1012,0)))</f>
      </c>
      <c r="E498" s="30">
        <f>IF(486&gt;$E$8,"",INDEX('CONTROLES'!$AE$13:$AE$1012,MATCH(486,'CONTROLES'!$AH$13:$AH$1012,0)))</f>
      </c>
      <c r="F498" s="30">
        <f>IF(486&gt;$E$8,"",INDEX('CONTROLES'!$AF$13:$AF$1012,MATCH(486,'CONTROLES'!$AH$13:$AH$1012,0)))</f>
      </c>
      <c r="G498" s="30">
        <f>IF(486&gt;$E$8,"",IF(INDEX('CONTROLES'!$AG$13:$AG$1012,MATCH(486,'CONTROLES'!$AH$13:$AH$1012,0))=2,"ROJO","ÁMBAR"))</f>
      </c>
    </row>
    <row r="499" ht="22" customHeight="1">
      <c r="B499" s="30">
        <f>IF(487&gt;$E$8,"",INDEX('CONTROLES'!$AB$13:$AB$1012,MATCH(487,'CONTROLES'!$AH$13:$AH$1012,0)))</f>
      </c>
      <c r="C499" s="30">
        <f>IF(487&gt;$E$8,"",INDEX('CONTROLES'!$AC$13:$AC$1012,MATCH(487,'CONTROLES'!$AH$13:$AH$1012,0)))</f>
      </c>
      <c r="D499" s="30">
        <f>IF(487&gt;$E$8,"",INDEX('CONTROLES'!$AD$13:$AD$1012,MATCH(487,'CONTROLES'!$AH$13:$AH$1012,0)))</f>
      </c>
      <c r="E499" s="30">
        <f>IF(487&gt;$E$8,"",INDEX('CONTROLES'!$AE$13:$AE$1012,MATCH(487,'CONTROLES'!$AH$13:$AH$1012,0)))</f>
      </c>
      <c r="F499" s="30">
        <f>IF(487&gt;$E$8,"",INDEX('CONTROLES'!$AF$13:$AF$1012,MATCH(487,'CONTROLES'!$AH$13:$AH$1012,0)))</f>
      </c>
      <c r="G499" s="30">
        <f>IF(487&gt;$E$8,"",IF(INDEX('CONTROLES'!$AG$13:$AG$1012,MATCH(487,'CONTROLES'!$AH$13:$AH$1012,0))=2,"ROJO","ÁMBAR"))</f>
      </c>
    </row>
    <row r="500" ht="22" customHeight="1">
      <c r="B500" s="30">
        <f>IF(488&gt;$E$8,"",INDEX('CONTROLES'!$AB$13:$AB$1012,MATCH(488,'CONTROLES'!$AH$13:$AH$1012,0)))</f>
      </c>
      <c r="C500" s="30">
        <f>IF(488&gt;$E$8,"",INDEX('CONTROLES'!$AC$13:$AC$1012,MATCH(488,'CONTROLES'!$AH$13:$AH$1012,0)))</f>
      </c>
      <c r="D500" s="30">
        <f>IF(488&gt;$E$8,"",INDEX('CONTROLES'!$AD$13:$AD$1012,MATCH(488,'CONTROLES'!$AH$13:$AH$1012,0)))</f>
      </c>
      <c r="E500" s="30">
        <f>IF(488&gt;$E$8,"",INDEX('CONTROLES'!$AE$13:$AE$1012,MATCH(488,'CONTROLES'!$AH$13:$AH$1012,0)))</f>
      </c>
      <c r="F500" s="30">
        <f>IF(488&gt;$E$8,"",INDEX('CONTROLES'!$AF$13:$AF$1012,MATCH(488,'CONTROLES'!$AH$13:$AH$1012,0)))</f>
      </c>
      <c r="G500" s="30">
        <f>IF(488&gt;$E$8,"",IF(INDEX('CONTROLES'!$AG$13:$AG$1012,MATCH(488,'CONTROLES'!$AH$13:$AH$1012,0))=2,"ROJO","ÁMBAR"))</f>
      </c>
    </row>
    <row r="501" ht="22" customHeight="1">
      <c r="B501" s="30">
        <f>IF(489&gt;$E$8,"",INDEX('CONTROLES'!$AB$13:$AB$1012,MATCH(489,'CONTROLES'!$AH$13:$AH$1012,0)))</f>
      </c>
      <c r="C501" s="30">
        <f>IF(489&gt;$E$8,"",INDEX('CONTROLES'!$AC$13:$AC$1012,MATCH(489,'CONTROLES'!$AH$13:$AH$1012,0)))</f>
      </c>
      <c r="D501" s="30">
        <f>IF(489&gt;$E$8,"",INDEX('CONTROLES'!$AD$13:$AD$1012,MATCH(489,'CONTROLES'!$AH$13:$AH$1012,0)))</f>
      </c>
      <c r="E501" s="30">
        <f>IF(489&gt;$E$8,"",INDEX('CONTROLES'!$AE$13:$AE$1012,MATCH(489,'CONTROLES'!$AH$13:$AH$1012,0)))</f>
      </c>
      <c r="F501" s="30">
        <f>IF(489&gt;$E$8,"",INDEX('CONTROLES'!$AF$13:$AF$1012,MATCH(489,'CONTROLES'!$AH$13:$AH$1012,0)))</f>
      </c>
      <c r="G501" s="30">
        <f>IF(489&gt;$E$8,"",IF(INDEX('CONTROLES'!$AG$13:$AG$1012,MATCH(489,'CONTROLES'!$AH$13:$AH$1012,0))=2,"ROJO","ÁMBAR"))</f>
      </c>
    </row>
    <row r="502" ht="22" customHeight="1">
      <c r="B502" s="30">
        <f>IF(490&gt;$E$8,"",INDEX('CONTROLES'!$AB$13:$AB$1012,MATCH(490,'CONTROLES'!$AH$13:$AH$1012,0)))</f>
      </c>
      <c r="C502" s="30">
        <f>IF(490&gt;$E$8,"",INDEX('CONTROLES'!$AC$13:$AC$1012,MATCH(490,'CONTROLES'!$AH$13:$AH$1012,0)))</f>
      </c>
      <c r="D502" s="30">
        <f>IF(490&gt;$E$8,"",INDEX('CONTROLES'!$AD$13:$AD$1012,MATCH(490,'CONTROLES'!$AH$13:$AH$1012,0)))</f>
      </c>
      <c r="E502" s="30">
        <f>IF(490&gt;$E$8,"",INDEX('CONTROLES'!$AE$13:$AE$1012,MATCH(490,'CONTROLES'!$AH$13:$AH$1012,0)))</f>
      </c>
      <c r="F502" s="30">
        <f>IF(490&gt;$E$8,"",INDEX('CONTROLES'!$AF$13:$AF$1012,MATCH(490,'CONTROLES'!$AH$13:$AH$1012,0)))</f>
      </c>
      <c r="G502" s="30">
        <f>IF(490&gt;$E$8,"",IF(INDEX('CONTROLES'!$AG$13:$AG$1012,MATCH(490,'CONTROLES'!$AH$13:$AH$1012,0))=2,"ROJO","ÁMBAR"))</f>
      </c>
    </row>
    <row r="503" ht="22" customHeight="1">
      <c r="B503" s="30">
        <f>IF(491&gt;$E$8,"",INDEX('CONTROLES'!$AB$13:$AB$1012,MATCH(491,'CONTROLES'!$AH$13:$AH$1012,0)))</f>
      </c>
      <c r="C503" s="30">
        <f>IF(491&gt;$E$8,"",INDEX('CONTROLES'!$AC$13:$AC$1012,MATCH(491,'CONTROLES'!$AH$13:$AH$1012,0)))</f>
      </c>
      <c r="D503" s="30">
        <f>IF(491&gt;$E$8,"",INDEX('CONTROLES'!$AD$13:$AD$1012,MATCH(491,'CONTROLES'!$AH$13:$AH$1012,0)))</f>
      </c>
      <c r="E503" s="30">
        <f>IF(491&gt;$E$8,"",INDEX('CONTROLES'!$AE$13:$AE$1012,MATCH(491,'CONTROLES'!$AH$13:$AH$1012,0)))</f>
      </c>
      <c r="F503" s="30">
        <f>IF(491&gt;$E$8,"",INDEX('CONTROLES'!$AF$13:$AF$1012,MATCH(491,'CONTROLES'!$AH$13:$AH$1012,0)))</f>
      </c>
      <c r="G503" s="30">
        <f>IF(491&gt;$E$8,"",IF(INDEX('CONTROLES'!$AG$13:$AG$1012,MATCH(491,'CONTROLES'!$AH$13:$AH$1012,0))=2,"ROJO","ÁMBAR"))</f>
      </c>
    </row>
    <row r="504" ht="22" customHeight="1">
      <c r="B504" s="30">
        <f>IF(492&gt;$E$8,"",INDEX('CONTROLES'!$AB$13:$AB$1012,MATCH(492,'CONTROLES'!$AH$13:$AH$1012,0)))</f>
      </c>
      <c r="C504" s="30">
        <f>IF(492&gt;$E$8,"",INDEX('CONTROLES'!$AC$13:$AC$1012,MATCH(492,'CONTROLES'!$AH$13:$AH$1012,0)))</f>
      </c>
      <c r="D504" s="30">
        <f>IF(492&gt;$E$8,"",INDEX('CONTROLES'!$AD$13:$AD$1012,MATCH(492,'CONTROLES'!$AH$13:$AH$1012,0)))</f>
      </c>
      <c r="E504" s="30">
        <f>IF(492&gt;$E$8,"",INDEX('CONTROLES'!$AE$13:$AE$1012,MATCH(492,'CONTROLES'!$AH$13:$AH$1012,0)))</f>
      </c>
      <c r="F504" s="30">
        <f>IF(492&gt;$E$8,"",INDEX('CONTROLES'!$AF$13:$AF$1012,MATCH(492,'CONTROLES'!$AH$13:$AH$1012,0)))</f>
      </c>
      <c r="G504" s="30">
        <f>IF(492&gt;$E$8,"",IF(INDEX('CONTROLES'!$AG$13:$AG$1012,MATCH(492,'CONTROLES'!$AH$13:$AH$1012,0))=2,"ROJO","ÁMBAR"))</f>
      </c>
    </row>
    <row r="505" ht="22" customHeight="1">
      <c r="B505" s="30">
        <f>IF(493&gt;$E$8,"",INDEX('CONTROLES'!$AB$13:$AB$1012,MATCH(493,'CONTROLES'!$AH$13:$AH$1012,0)))</f>
      </c>
      <c r="C505" s="30">
        <f>IF(493&gt;$E$8,"",INDEX('CONTROLES'!$AC$13:$AC$1012,MATCH(493,'CONTROLES'!$AH$13:$AH$1012,0)))</f>
      </c>
      <c r="D505" s="30">
        <f>IF(493&gt;$E$8,"",INDEX('CONTROLES'!$AD$13:$AD$1012,MATCH(493,'CONTROLES'!$AH$13:$AH$1012,0)))</f>
      </c>
      <c r="E505" s="30">
        <f>IF(493&gt;$E$8,"",INDEX('CONTROLES'!$AE$13:$AE$1012,MATCH(493,'CONTROLES'!$AH$13:$AH$1012,0)))</f>
      </c>
      <c r="F505" s="30">
        <f>IF(493&gt;$E$8,"",INDEX('CONTROLES'!$AF$13:$AF$1012,MATCH(493,'CONTROLES'!$AH$13:$AH$1012,0)))</f>
      </c>
      <c r="G505" s="30">
        <f>IF(493&gt;$E$8,"",IF(INDEX('CONTROLES'!$AG$13:$AG$1012,MATCH(493,'CONTROLES'!$AH$13:$AH$1012,0))=2,"ROJO","ÁMBAR"))</f>
      </c>
    </row>
    <row r="506" ht="22" customHeight="1">
      <c r="B506" s="30">
        <f>IF(494&gt;$E$8,"",INDEX('CONTROLES'!$AB$13:$AB$1012,MATCH(494,'CONTROLES'!$AH$13:$AH$1012,0)))</f>
      </c>
      <c r="C506" s="30">
        <f>IF(494&gt;$E$8,"",INDEX('CONTROLES'!$AC$13:$AC$1012,MATCH(494,'CONTROLES'!$AH$13:$AH$1012,0)))</f>
      </c>
      <c r="D506" s="30">
        <f>IF(494&gt;$E$8,"",INDEX('CONTROLES'!$AD$13:$AD$1012,MATCH(494,'CONTROLES'!$AH$13:$AH$1012,0)))</f>
      </c>
      <c r="E506" s="30">
        <f>IF(494&gt;$E$8,"",INDEX('CONTROLES'!$AE$13:$AE$1012,MATCH(494,'CONTROLES'!$AH$13:$AH$1012,0)))</f>
      </c>
      <c r="F506" s="30">
        <f>IF(494&gt;$E$8,"",INDEX('CONTROLES'!$AF$13:$AF$1012,MATCH(494,'CONTROLES'!$AH$13:$AH$1012,0)))</f>
      </c>
      <c r="G506" s="30">
        <f>IF(494&gt;$E$8,"",IF(INDEX('CONTROLES'!$AG$13:$AG$1012,MATCH(494,'CONTROLES'!$AH$13:$AH$1012,0))=2,"ROJO","ÁMBAR"))</f>
      </c>
    </row>
    <row r="507" ht="22" customHeight="1">
      <c r="B507" s="30">
        <f>IF(495&gt;$E$8,"",INDEX('CONTROLES'!$AB$13:$AB$1012,MATCH(495,'CONTROLES'!$AH$13:$AH$1012,0)))</f>
      </c>
      <c r="C507" s="30">
        <f>IF(495&gt;$E$8,"",INDEX('CONTROLES'!$AC$13:$AC$1012,MATCH(495,'CONTROLES'!$AH$13:$AH$1012,0)))</f>
      </c>
      <c r="D507" s="30">
        <f>IF(495&gt;$E$8,"",INDEX('CONTROLES'!$AD$13:$AD$1012,MATCH(495,'CONTROLES'!$AH$13:$AH$1012,0)))</f>
      </c>
      <c r="E507" s="30">
        <f>IF(495&gt;$E$8,"",INDEX('CONTROLES'!$AE$13:$AE$1012,MATCH(495,'CONTROLES'!$AH$13:$AH$1012,0)))</f>
      </c>
      <c r="F507" s="30">
        <f>IF(495&gt;$E$8,"",INDEX('CONTROLES'!$AF$13:$AF$1012,MATCH(495,'CONTROLES'!$AH$13:$AH$1012,0)))</f>
      </c>
      <c r="G507" s="30">
        <f>IF(495&gt;$E$8,"",IF(INDEX('CONTROLES'!$AG$13:$AG$1012,MATCH(495,'CONTROLES'!$AH$13:$AH$1012,0))=2,"ROJO","ÁMBAR"))</f>
      </c>
    </row>
    <row r="508" ht="22" customHeight="1">
      <c r="B508" s="30">
        <f>IF(496&gt;$E$8,"",INDEX('CONTROLES'!$AB$13:$AB$1012,MATCH(496,'CONTROLES'!$AH$13:$AH$1012,0)))</f>
      </c>
      <c r="C508" s="30">
        <f>IF(496&gt;$E$8,"",INDEX('CONTROLES'!$AC$13:$AC$1012,MATCH(496,'CONTROLES'!$AH$13:$AH$1012,0)))</f>
      </c>
      <c r="D508" s="30">
        <f>IF(496&gt;$E$8,"",INDEX('CONTROLES'!$AD$13:$AD$1012,MATCH(496,'CONTROLES'!$AH$13:$AH$1012,0)))</f>
      </c>
      <c r="E508" s="30">
        <f>IF(496&gt;$E$8,"",INDEX('CONTROLES'!$AE$13:$AE$1012,MATCH(496,'CONTROLES'!$AH$13:$AH$1012,0)))</f>
      </c>
      <c r="F508" s="30">
        <f>IF(496&gt;$E$8,"",INDEX('CONTROLES'!$AF$13:$AF$1012,MATCH(496,'CONTROLES'!$AH$13:$AH$1012,0)))</f>
      </c>
      <c r="G508" s="30">
        <f>IF(496&gt;$E$8,"",IF(INDEX('CONTROLES'!$AG$13:$AG$1012,MATCH(496,'CONTROLES'!$AH$13:$AH$1012,0))=2,"ROJO","ÁMBAR"))</f>
      </c>
    </row>
    <row r="509" ht="22" customHeight="1">
      <c r="B509" s="30">
        <f>IF(497&gt;$E$8,"",INDEX('CONTROLES'!$AB$13:$AB$1012,MATCH(497,'CONTROLES'!$AH$13:$AH$1012,0)))</f>
      </c>
      <c r="C509" s="30">
        <f>IF(497&gt;$E$8,"",INDEX('CONTROLES'!$AC$13:$AC$1012,MATCH(497,'CONTROLES'!$AH$13:$AH$1012,0)))</f>
      </c>
      <c r="D509" s="30">
        <f>IF(497&gt;$E$8,"",INDEX('CONTROLES'!$AD$13:$AD$1012,MATCH(497,'CONTROLES'!$AH$13:$AH$1012,0)))</f>
      </c>
      <c r="E509" s="30">
        <f>IF(497&gt;$E$8,"",INDEX('CONTROLES'!$AE$13:$AE$1012,MATCH(497,'CONTROLES'!$AH$13:$AH$1012,0)))</f>
      </c>
      <c r="F509" s="30">
        <f>IF(497&gt;$E$8,"",INDEX('CONTROLES'!$AF$13:$AF$1012,MATCH(497,'CONTROLES'!$AH$13:$AH$1012,0)))</f>
      </c>
      <c r="G509" s="30">
        <f>IF(497&gt;$E$8,"",IF(INDEX('CONTROLES'!$AG$13:$AG$1012,MATCH(497,'CONTROLES'!$AH$13:$AH$1012,0))=2,"ROJO","ÁMBAR"))</f>
      </c>
    </row>
    <row r="510" ht="22" customHeight="1">
      <c r="B510" s="30">
        <f>IF(498&gt;$E$8,"",INDEX('CONTROLES'!$AB$13:$AB$1012,MATCH(498,'CONTROLES'!$AH$13:$AH$1012,0)))</f>
      </c>
      <c r="C510" s="30">
        <f>IF(498&gt;$E$8,"",INDEX('CONTROLES'!$AC$13:$AC$1012,MATCH(498,'CONTROLES'!$AH$13:$AH$1012,0)))</f>
      </c>
      <c r="D510" s="30">
        <f>IF(498&gt;$E$8,"",INDEX('CONTROLES'!$AD$13:$AD$1012,MATCH(498,'CONTROLES'!$AH$13:$AH$1012,0)))</f>
      </c>
      <c r="E510" s="30">
        <f>IF(498&gt;$E$8,"",INDEX('CONTROLES'!$AE$13:$AE$1012,MATCH(498,'CONTROLES'!$AH$13:$AH$1012,0)))</f>
      </c>
      <c r="F510" s="30">
        <f>IF(498&gt;$E$8,"",INDEX('CONTROLES'!$AF$13:$AF$1012,MATCH(498,'CONTROLES'!$AH$13:$AH$1012,0)))</f>
      </c>
      <c r="G510" s="30">
        <f>IF(498&gt;$E$8,"",IF(INDEX('CONTROLES'!$AG$13:$AG$1012,MATCH(498,'CONTROLES'!$AH$13:$AH$1012,0))=2,"ROJO","ÁMBAR"))</f>
      </c>
    </row>
    <row r="511" ht="22" customHeight="1">
      <c r="B511" s="30">
        <f>IF(499&gt;$E$8,"",INDEX('CONTROLES'!$AB$13:$AB$1012,MATCH(499,'CONTROLES'!$AH$13:$AH$1012,0)))</f>
      </c>
      <c r="C511" s="30">
        <f>IF(499&gt;$E$8,"",INDEX('CONTROLES'!$AC$13:$AC$1012,MATCH(499,'CONTROLES'!$AH$13:$AH$1012,0)))</f>
      </c>
      <c r="D511" s="30">
        <f>IF(499&gt;$E$8,"",INDEX('CONTROLES'!$AD$13:$AD$1012,MATCH(499,'CONTROLES'!$AH$13:$AH$1012,0)))</f>
      </c>
      <c r="E511" s="30">
        <f>IF(499&gt;$E$8,"",INDEX('CONTROLES'!$AE$13:$AE$1012,MATCH(499,'CONTROLES'!$AH$13:$AH$1012,0)))</f>
      </c>
      <c r="F511" s="30">
        <f>IF(499&gt;$E$8,"",INDEX('CONTROLES'!$AF$13:$AF$1012,MATCH(499,'CONTROLES'!$AH$13:$AH$1012,0)))</f>
      </c>
      <c r="G511" s="30">
        <f>IF(499&gt;$E$8,"",IF(INDEX('CONTROLES'!$AG$13:$AG$1012,MATCH(499,'CONTROLES'!$AH$13:$AH$1012,0))=2,"ROJO","ÁMBAR"))</f>
      </c>
    </row>
    <row r="512" ht="22" customHeight="1">
      <c r="B512" s="30">
        <f>IF(500&gt;$E$8,"",INDEX('CONTROLES'!$AB$13:$AB$1012,MATCH(500,'CONTROLES'!$AH$13:$AH$1012,0)))</f>
      </c>
      <c r="C512" s="30">
        <f>IF(500&gt;$E$8,"",INDEX('CONTROLES'!$AC$13:$AC$1012,MATCH(500,'CONTROLES'!$AH$13:$AH$1012,0)))</f>
      </c>
      <c r="D512" s="30">
        <f>IF(500&gt;$E$8,"",INDEX('CONTROLES'!$AD$13:$AD$1012,MATCH(500,'CONTROLES'!$AH$13:$AH$1012,0)))</f>
      </c>
      <c r="E512" s="30">
        <f>IF(500&gt;$E$8,"",INDEX('CONTROLES'!$AE$13:$AE$1012,MATCH(500,'CONTROLES'!$AH$13:$AH$1012,0)))</f>
      </c>
      <c r="F512" s="30">
        <f>IF(500&gt;$E$8,"",INDEX('CONTROLES'!$AF$13:$AF$1012,MATCH(500,'CONTROLES'!$AH$13:$AH$1012,0)))</f>
      </c>
      <c r="G512" s="30">
        <f>IF(500&gt;$E$8,"",IF(INDEX('CONTROLES'!$AG$13:$AG$1012,MATCH(500,'CONTROLES'!$AH$13:$AH$1012,0))=2,"ROJO","ÁMBAR"))</f>
      </c>
    </row>
    <row r="513" ht="22" customHeight="1">
      <c r="B513" s="27"/>
      <c r="C513" s="27"/>
      <c r="D513" s="27"/>
      <c r="E513" s="27"/>
      <c r="F513" s="27"/>
      <c r="G513" s="27"/>
    </row>
    <row r="514" ht="22" customHeight="1">
      <c r="B514" s="27"/>
      <c r="C514" s="27"/>
      <c r="D514" s="27"/>
      <c r="E514" s="27"/>
      <c r="F514" s="27"/>
      <c r="G514" s="27"/>
    </row>
    <row r="515" ht="22" customHeight="1">
      <c r="B515" s="27"/>
      <c r="C515" s="27"/>
      <c r="D515" s="27"/>
      <c r="E515" s="27"/>
      <c r="F515" s="27"/>
      <c r="G515" s="27"/>
    </row>
  </sheetData>
  <sheetProtection sheet="1" objects="1" scenarios="1" selectLockedCells="0" selectUnlockedCells="0" formatCells="1" formatColumns="0" formatRows="0" insertColumns="1" insertRows="1" deleteColumns="1" deleteRows="1" sort="1" autoFilter="1" pivotTables="1"/>
  <mergeCells>
    <mergeCell ref="B2:F3"/>
    <mergeCell ref="B6:D6"/>
    <mergeCell ref="B7:C7"/>
    <mergeCell ref="D7:G7"/>
    <mergeCell ref="B8:D8"/>
    <mergeCell ref="B10:G10"/>
  </mergeCells>
  <conditionalFormatting sqref="G13:G512">
    <cfRule type="expression" dxfId="6" priority="1">
      <formula>$G13="ROJO"</formula>
    </cfRule>
    <cfRule type="expression" dxfId="7" priority="2">
      <formula>$G13="ÁMBAR"</formula>
    </cfRule>
  </conditionalFormatting>
  <hyperlinks>
    <hyperlink ref="B10" location="'PEGAR'!B13"/>
  </hyperlinks>
  <printOptions horizontalCentered="1"/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3fe8061a7b5d4bc9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87524"/>
    <pageSetUpPr fitToPage="1"/>
  </sheetPr>
  <sheetViews>
    <sheetView showGridLines="0" workbookViewId="0" zoomScale="80">
      <pane ySplit="12" topLeftCell="A13" activePane="bottomLeft" state="frozen"/>
    </sheetView>
  </sheetViews>
  <sheetFormatPr defaultRowHeight="15"/>
  <cols>
    <col min="1" max="1" width="3" hidden="0" customWidth="1"/>
    <col min="2" max="2" width="21" hidden="0" customWidth="1"/>
    <col min="3" max="3" width="14" hidden="0" customWidth="1"/>
    <col min="4" max="4" width="48" hidden="0" customWidth="1"/>
    <col min="5" max="5" width="9" hidden="0" customWidth="1"/>
    <col min="6" max="6" width="17" hidden="0" customWidth="1"/>
    <col min="7" max="7" width="13" hidden="0" customWidth="1"/>
    <col min="8" max="8" width="13" hidden="0" customWidth="1"/>
    <col min="9" max="9" width="13" hidden="0" customWidth="1"/>
    <col min="10" max="10" width="13" hidden="0" customWidth="1"/>
    <col min="11" max="11" width="10" hidden="0" customWidth="1"/>
    <col min="12" max="12" width="18" hidden="0" customWidth="1"/>
    <col min="13" max="13" width="17" hidden="0" customWidth="1"/>
    <col min="14" max="14" width="62" hidden="0" customWidth="1"/>
    <col min="15" max="15" hidden="1"/>
    <col min="16" max="16" hidden="1"/>
    <col min="17" max="17" hidden="1"/>
    <col min="18" max="18" hidden="1"/>
    <col min="19" max="19" hidden="1"/>
    <col min="20" max="20" hidden="1"/>
    <col min="21" max="21" hidden="1"/>
    <col min="22" max="22" hidden="1"/>
    <col min="23" max="23" hidden="1"/>
    <col min="24" max="24" hidden="1"/>
    <col min="25" max="25" hidden="1"/>
    <col min="26" max="26" hidden="1"/>
    <col min="27" max="27" hidden="1"/>
    <col min="28" max="28" hidden="1"/>
    <col min="29" max="29" hidden="1"/>
  </cols>
  <sheetData>
    <row r="1" ht="22" customHeight="1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ht="24" customHeight="1">
      <c r="B2" s="28" t="str">
        <v>Pegamos las mediciones sin perder cada partida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7"/>
    </row>
    <row r="3" ht="24" customHeigh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7"/>
    </row>
    <row r="4" ht="22" customHeight="1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ht="22" customHeight="1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25" customHeight="1">
      <c r="B6" s="30" t="str">
        <v>Decimales con los que comparamos</v>
      </c>
      <c r="C6" s="30"/>
      <c r="D6" s="30"/>
      <c r="E6" s="35" t="n">
        <v>2</v>
      </c>
      <c r="F6" s="27"/>
      <c r="G6" s="33" t="str">
        <v>500 filas. Usamos metros para las longitudes. No convertimos mm, kg o t automáticamente.</v>
      </c>
      <c r="H6" s="33"/>
      <c r="I6" s="33"/>
      <c r="J6" s="33"/>
      <c r="K6" s="33"/>
      <c r="L6" s="33"/>
      <c r="M6" s="33"/>
      <c r="N6" s="33"/>
    </row>
    <row r="7" ht="22" customHeight="1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ht="24" customHeight="1">
      <c r="B8" s="36" t="str">
        <v>Cantidad es el TOTAL de la partida, no el parcial de una línea. Podemos repetir el total o dejarlo vacío en las siguientes líneas. Cada aparición distinta de una partida necesita un ID diferente, aunque su código coincida.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ht="24" customHeight="1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ht="30" customHeight="1">
      <c r="B10" s="33" t="str">
        <v>Pegamos valores en B:J. Añadimos ID en K. El tipo de L es opcional si hay dimensiones; usamos Directa para una cantidad en Uds y Cabecera para una fila descriptiva sin medición.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ht="22" customHeight="1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ht="40" customHeight="1">
      <c r="B12" s="34" t="str">
        <v>Capítulo</v>
      </c>
      <c r="C12" s="34" t="str">
        <v>Código</v>
      </c>
      <c r="D12" s="34" t="str">
        <v>Descripción / línea</v>
      </c>
      <c r="E12" s="34" t="str">
        <v>Ud</v>
      </c>
      <c r="F12" s="34" t="str">
        <v>Cantidad TOTAL
de la partida</v>
      </c>
      <c r="G12" s="34" t="str">
        <v>Uds</v>
      </c>
      <c r="H12" s="34" t="str">
        <v>Largo (m)</v>
      </c>
      <c r="I12" s="34" t="str">
        <v>Ancho (m)</v>
      </c>
      <c r="J12" s="34" t="str">
        <v>Alto (m)</v>
      </c>
      <c r="K12" s="34" t="str">
        <v>ID de
partida</v>
      </c>
      <c r="L12" s="34" t="str">
        <v>Tipo de fila
(opcional)</v>
      </c>
      <c r="M12" s="34" t="str">
        <v>Parcial calculado</v>
      </c>
      <c r="N12" s="34" t="str">
        <v>Aviso de la fila</v>
      </c>
    </row>
    <row r="13" ht="32.25" hidden="0" customHeight="1">
      <c r="B13" s="35" t="str">
        <v>Ejemplo · Estructura</v>
      </c>
      <c r="C13" s="35" t="str">
        <v>MUR-01</v>
      </c>
      <c r="D13" s="37" t="str">
        <v>Ejemplo aproximado · muro con unidad a comprobar</v>
      </c>
      <c r="E13" s="35" t="str">
        <v>m²</v>
      </c>
      <c r="F13" s="38" t="n">
        <v>38.38</v>
      </c>
      <c r="G13" s="38" t="n">
        <v>1</v>
      </c>
      <c r="H13" s="38" t="n">
        <v>24</v>
      </c>
      <c r="I13" s="38" t="n">
        <v>0.2</v>
      </c>
      <c r="J13" s="38" t="n">
        <v>0.7</v>
      </c>
      <c r="K13" s="35" t="n">
        <v>1</v>
      </c>
      <c r="L13" s="35"/>
      <c r="M13" s="39" t="n">
        <f>IF(U13&lt;&gt;1,"",IF(P13="DIRECTA",G13,IF(ISNUMBER(G13),G13,1)*IF(ISNUMBER(H13),H13,1)*IF(ISNUMBER(I13),I13,1)*IF(ISNUMBER(J13),J13,1)))</f>
        <v>3.3600000000000003</v>
      </c>
      <c r="N13" s="30" t="str">
        <f>IF(COUNTA(B13:L13)=0,"",IF(X13=0,IF(P13="CABECERA","VERDE · Fila descriptiva; la suma usa las líneas del ID","VERDE · Datos numéricos interpretables"),IF(X13=2,"ROJO · ","ÁMBAR · ")&amp;IF(NOT(IF(ISNUMBER($E$6),AND($E$6&gt;=0,$E$6&lt;=6,$E$6=INT($E$6)),FALSE)),"Indicamos entre 0 y 6 decimales en E6. ","")&amp;IF(O13=0,"Falta un ID numérico. ","")&amp;IF(R13=0,"Faltan capítulo, código, unidad o total numérico del ID. ","")&amp;IF(T13&gt;0,"Los datos o el total del ID se contradicen. ","")&amp;IF(AND(P13&lt;&gt;"DIMENSIONES",P13&lt;&gt;"DIRECTA",P13&lt;&gt;"SIN LÍNEAS",P13&lt;&gt;"CABECERA"),"Tipo de fila no reconocido. ","")&amp;IF(AND(OR(P13="SIN LÍNEAS",P13="CABECERA"),COUNTA(G13:J13)&gt;0),"La fila dice que no mide, pero contiene medidas. ","")&amp;IF(AND(OR(P13="DIRECTA",P13="DIMENSIONES"),U13=0),"Línea incompleta o con medidas no numéricas. ","")&amp;IF(P13="SIN LÍNEAS","No constan medidas de esta fila. ","")&amp;IF(Y13&gt;0,"Parece m³: tres dimensiones bajo m². ","")&amp;IF(AND(AB13&lt;&gt;"",SUMPRODUCT(--('LÉEME'!$B$65:$B$86=AC13))&lt;&gt;1),"Revisamos el significado de la unidad. ","")&amp;IF(Z13&gt;0,"Más precisión que los decimales indicados: cotejamos el original. ","")&amp;IF(AA13&gt;0,"Revisamos dimensiones, cantidad directa, ceros o deducción. ","")))</f>
        <v>ÁMBAR · Parece m³: tres dimensiones bajo m². </v>
      </c>
      <c r="O13" s="0" t="n">
        <f>IF(ISNUMBER(K13),IF(AND(K13&gt;0,K13=INT(K13),K13&lt;=999999),K13,0),0)</f>
        <v>1</v>
      </c>
      <c r="P13" s="0" t="str">
        <f>IF(COUNTA(B13:L13)=0,"",IF(L13="",IF(COUNTA(G13:J13)&gt;0,"DIMENSIONES","SIN LÍNEAS"),UPPER(TRIM(L13))))</f>
        <v>DIMENSIONES</v>
      </c>
      <c r="Q13" s="0" t="n">
        <f>IF(AND(O13&gt;0,LEN(TRIM(B13&amp;""))&gt;0,LEN(TRIM(C13&amp;""))&gt;0,LEN(TRIM(E13&amp;""))&gt;0,ISNUMBER(F13)),O13,"")</f>
        <v>1</v>
      </c>
      <c r="R13" s="0" t="n">
        <f>IF(O13=0,0,IF(COUNTIFS($Q$13:$Q$512,O13)&gt;0,MATCH(O13,$Q$13:$Q$512,0),0))</f>
        <v>1</v>
      </c>
      <c r="S13" s="0" t="str">
        <f>IF(AB13="","",IF(SUMPRODUCT(--('LÉEME'!$B$65:$B$86=AC13))=1,INDEX('LÉEME'!$C$65:$C$86,MATCH(AC13,'LÉEME'!$B$65:$B$86,0)),UPPER(TRIM(AB13))))</f>
        <v>m²</v>
      </c>
      <c r="T13" s="0" t="n">
        <f>IF(R13=0,0,IF(OR(AND(LEN(TRIM(B13&amp;""))&gt;0,UPPER(TRIM(B13&amp;""))&lt;&gt;UPPER(TRIM(INDEX($B$13:$B$512,R13)&amp;""))),AND(LEN(TRIM(C13&amp;""))&gt;0,UPPER(TRIM(C13&amp;""))&lt;&gt;UPPER(TRIM(INDEX($C$13:$C$512,R13)&amp;""))),AND(LEN(TRIM(E13&amp;""))&gt;0,S13&lt;&gt;INDEX($S$13:$S$512,R13)),AND(F13&lt;&gt;"",NOT(ISNUMBER(F13)))),1,IF(ISNUMBER(F13),IF(ABS(F13-INDEX($F$13:$F$512,R13))&gt;0.00000001,1,0),0)))</f>
        <v>0</v>
      </c>
      <c r="U13" s="0" t="n">
        <f>IF(P13="DIRECTA",IF(AND(ISNUMBER(G13),COUNTA(H13:J13)=0),1,0),IF(P13="DIMENSIONES",IF(AND(COUNT(G13:J13)&gt;0,COUNTA(G13:J13)=COUNT(G13:J13)),1,0),0))</f>
        <v>1</v>
      </c>
      <c r="V13" s="0" t="n">
        <f>IF(O13=0,0,IF(COUNTIFS($O$13:O13,O13)=1,1,0))</f>
        <v>1</v>
      </c>
      <c r="W13" s="0" t="n">
        <f>IF(V13=1,COUNTIFS($V$13:V13,1),"")</f>
        <v>1</v>
      </c>
      <c r="X13" s="0" t="n">
        <f>IF(COUNTA(B13:L13)=0,"",IF(OR(NOT(IF(ISNUMBER($E$6),AND($E$6&gt;=0,$E$6&lt;=6,$E$6=INT($E$6)),FALSE)),O13=0,R13=0,T13&gt;0,AND(P13&lt;&gt;"DIMENSIONES",P13&lt;&gt;"DIRECTA",P13&lt;&gt;"SIN LÍNEAS",P13&lt;&gt;"CABECERA"),AND(OR(P13="DIRECTA",P13="DIMENSIONES"),U13=0),AND(OR(P13="SIN LÍNEAS",P13="CABECERA"),COUNTA(G13:J13)&gt;0)),2,IF(OR(P13="SIN LÍNEAS",Y13&gt;0,Z13&gt;0,AA13&gt;0,SUMPRODUCT(--('LÉEME'!$B$65:$B$86=AC13))&lt;&gt;1),1,0)))</f>
        <v>1</v>
      </c>
      <c r="Y13" s="0" t="n">
        <f>IF(AND(P13="DIMENSIONES",S13="m²",COUNT(H13:J13)=3),1,0)</f>
        <v>1</v>
      </c>
      <c r="Z13" s="0" t="n">
        <f>IF(IF(ISNUMBER($E$6),AND($E$6&gt;=0,$E$6&lt;=6,$E$6=INT($E$6)),FALSE),IF(SUM(IF(ISNUMBER(F13),IF(ABS(F13-ROUND(F13,$E$6))&gt;0.00000001,1,0),0),IF(ISNUMBER(G13),IF(ABS(G13-ROUND(G13,$E$6))&gt;0.00000001,1,0),0),IF(ISNUMBER(H13),IF(ABS(H13-ROUND(H13,$E$6))&gt;0.00000001,1,0),0),IF(ISNUMBER(I13),IF(ABS(I13-ROUND(I13,$E$6))&gt;0.00000001,1,0),0),IF(ISNUMBER(J13),IF(ABS(J13-ROUND(J13,$E$6))&gt;0.00000001,1,0),0),IF(ISNUMBER(M13),IF(ABS(M13-ROUND(M13,$E$6))&gt;0.00000001,1,0),0))&gt;0,1,0),0)</f>
        <v>0</v>
      </c>
      <c r="AA13" s="0" t="n">
        <f>IF(COUNTA(B13:L13)=0,0,IF(OR(AND(ISNUMBER(F13),F13&lt;0),AND(U13=1,OR(SUM(IF(ISNUMBER(G13),IF(G13=0,1,0),0),IF(ISNUMBER(H13),IF(H13=0,1,0),0),IF(ISNUMBER(I13),IF(I13=0,1,0),0),IF(ISNUMBER(J13),IF(J13=0,1,0),0))&gt;0,COUNTIFS(G13:J13,"&lt;0")&gt;0)),AND(P13="DIMENSIONES",U13=1,OR(AND(S13="m",COUNT(H13:J13)&lt;&gt;1),AND(S13="m²",COUNT(H13:J13)&lt;&gt;2,Y13=0),AND(S13="m³",COUNT(H13:J13)&lt;&gt;3),AND(S13="ud",COUNT(H13:J13)&gt;0))),AND(P13="DIRECTA",OR(S13="m",S13="m²",S13="m³"))),1,0))</f>
        <v>0</v>
      </c>
      <c r="AB13" s="0" t="str">
        <f>IF(LEN(TRIM(E13&amp;""))&gt;0,E13,IF(R13&gt;0,INDEX($E$13:$E$512,R13),""))</f>
        <v>m²</v>
      </c>
      <c r="AC13" s="0" t="str">
        <f>UPPER(SUBSTITUTE(SUBSTITUTE(SUBSTITUTE(SUBSTITUTE(SUBSTITUTE(TRIM(AB13),"²","2"),"³","3"),"^",""),".","")," ",""))</f>
        <v>M2</v>
      </c>
    </row>
    <row r="14" ht="32.25" hidden="0" customHeight="1">
      <c r="B14" s="35" t="str">
        <v>Ejemplo · Estructura</v>
      </c>
      <c r="C14" s="35" t="str">
        <v>MUR-01</v>
      </c>
      <c r="D14" s="37" t="str">
        <v>Ejemplo aproximado · muro con unidad a comprobar</v>
      </c>
      <c r="E14" s="35" t="str">
        <v>m²</v>
      </c>
      <c r="F14" s="38" t="n">
        <v>38.38</v>
      </c>
      <c r="G14" s="38" t="n">
        <v>1</v>
      </c>
      <c r="H14" s="38" t="n">
        <v>4</v>
      </c>
      <c r="I14" s="38" t="n">
        <v>0.2</v>
      </c>
      <c r="J14" s="38" t="n">
        <v>0.9</v>
      </c>
      <c r="K14" s="35" t="n">
        <v>1</v>
      </c>
      <c r="L14" s="35"/>
      <c r="M14" s="39" t="n">
        <f>IF(U14&lt;&gt;1,"",IF(P14="DIRECTA",G14,IF(ISNUMBER(G14),G14,1)*IF(ISNUMBER(H14),H14,1)*IF(ISNUMBER(I14),I14,1)*IF(ISNUMBER(J14),J14,1)))</f>
        <v>0.7200000000000001</v>
      </c>
      <c r="N14" s="30" t="str">
        <f>IF(COUNTA(B14:L14)=0,"",IF(X14=0,IF(P14="CABECERA","VERDE · Fila descriptiva; la suma usa las líneas del ID","VERDE · Datos numéricos interpretables"),IF(X14=2,"ROJO · ","ÁMBAR · ")&amp;IF(NOT(IF(ISNUMBER($E$6),AND($E$6&gt;=0,$E$6&lt;=6,$E$6=INT($E$6)),FALSE)),"Indicamos entre 0 y 6 decimales en E6. ","")&amp;IF(O14=0,"Falta un ID numérico. ","")&amp;IF(R14=0,"Faltan capítulo, código, unidad o total numérico del ID. ","")&amp;IF(T14&gt;0,"Los datos o el total del ID se contradicen. ","")&amp;IF(AND(P14&lt;&gt;"DIMENSIONES",P14&lt;&gt;"DIRECTA",P14&lt;&gt;"SIN LÍNEAS",P14&lt;&gt;"CABECERA"),"Tipo de fila no reconocido. ","")&amp;IF(AND(OR(P14="SIN LÍNEAS",P14="CABECERA"),COUNTA(G14:J14)&gt;0),"La fila dice que no mide, pero contiene medidas. ","")&amp;IF(AND(OR(P14="DIRECTA",P14="DIMENSIONES"),U14=0),"Línea incompleta o con medidas no numéricas. ","")&amp;IF(P14="SIN LÍNEAS","No constan medidas de esta fila. ","")&amp;IF(Y14&gt;0,"Parece m³: tres dimensiones bajo m². ","")&amp;IF(AND(AB14&lt;&gt;"",SUMPRODUCT(--('LÉEME'!$B$65:$B$86=AC14))&lt;&gt;1),"Revisamos el significado de la unidad. ","")&amp;IF(Z14&gt;0,"Más precisión que los decimales indicados: cotejamos el original. ","")&amp;IF(AA14&gt;0,"Revisamos dimensiones, cantidad directa, ceros o deducción. ","")))</f>
        <v>ÁMBAR · Parece m³: tres dimensiones bajo m². </v>
      </c>
      <c r="O14" s="0" t="n">
        <f>IF(ISNUMBER(K14),IF(AND(K14&gt;0,K14=INT(K14),K14&lt;=999999),K14,0),0)</f>
        <v>1</v>
      </c>
      <c r="P14" s="0" t="str">
        <f>IF(COUNTA(B14:L14)=0,"",IF(L14="",IF(COUNTA(G14:J14)&gt;0,"DIMENSIONES","SIN LÍNEAS"),UPPER(TRIM(L14))))</f>
        <v>DIMENSIONES</v>
      </c>
      <c r="Q14" s="0" t="n">
        <f>IF(AND(O14&gt;0,LEN(TRIM(B14&amp;""))&gt;0,LEN(TRIM(C14&amp;""))&gt;0,LEN(TRIM(E14&amp;""))&gt;0,ISNUMBER(F14)),O14,"")</f>
        <v>1</v>
      </c>
      <c r="R14" s="0" t="n">
        <f>IF(O14=0,0,IF(COUNTIFS($Q$13:$Q$512,O14)&gt;0,MATCH(O14,$Q$13:$Q$512,0),0))</f>
        <v>1</v>
      </c>
      <c r="S14" s="0" t="str">
        <f>IF(AB14="","",IF(SUMPRODUCT(--('LÉEME'!$B$65:$B$86=AC14))=1,INDEX('LÉEME'!$C$65:$C$86,MATCH(AC14,'LÉEME'!$B$65:$B$86,0)),UPPER(TRIM(AB14))))</f>
        <v>m²</v>
      </c>
      <c r="T14" s="0" t="n">
        <f>IF(R14=0,0,IF(OR(AND(LEN(TRIM(B14&amp;""))&gt;0,UPPER(TRIM(B14&amp;""))&lt;&gt;UPPER(TRIM(INDEX($B$13:$B$512,R14)&amp;""))),AND(LEN(TRIM(C14&amp;""))&gt;0,UPPER(TRIM(C14&amp;""))&lt;&gt;UPPER(TRIM(INDEX($C$13:$C$512,R14)&amp;""))),AND(LEN(TRIM(E14&amp;""))&gt;0,S14&lt;&gt;INDEX($S$13:$S$512,R14)),AND(F14&lt;&gt;"",NOT(ISNUMBER(F14)))),1,IF(ISNUMBER(F14),IF(ABS(F14-INDEX($F$13:$F$512,R14))&gt;0.00000001,1,0),0)))</f>
        <v>0</v>
      </c>
      <c r="U14" s="0" t="n">
        <f>IF(P14="DIRECTA",IF(AND(ISNUMBER(G14),COUNTA(H14:J14)=0),1,0),IF(P14="DIMENSIONES",IF(AND(COUNT(G14:J14)&gt;0,COUNTA(G14:J14)=COUNT(G14:J14)),1,0),0))</f>
        <v>1</v>
      </c>
      <c r="V14" s="0" t="n">
        <f>IF(O14=0,0,IF(COUNTIFS($O$13:O14,O14)=1,1,0))</f>
        <v>0</v>
      </c>
      <c r="W14" s="0">
        <f>IF(V14=1,COUNTIFS($V$13:V14,1),"")</f>
      </c>
      <c r="X14" s="0" t="n">
        <f>IF(COUNTA(B14:L14)=0,"",IF(OR(NOT(IF(ISNUMBER($E$6),AND($E$6&gt;=0,$E$6&lt;=6,$E$6=INT($E$6)),FALSE)),O14=0,R14=0,T14&gt;0,AND(P14&lt;&gt;"DIMENSIONES",P14&lt;&gt;"DIRECTA",P14&lt;&gt;"SIN LÍNEAS",P14&lt;&gt;"CABECERA"),AND(OR(P14="DIRECTA",P14="DIMENSIONES"),U14=0),AND(OR(P14="SIN LÍNEAS",P14="CABECERA"),COUNTA(G14:J14)&gt;0)),2,IF(OR(P14="SIN LÍNEAS",Y14&gt;0,Z14&gt;0,AA14&gt;0,SUMPRODUCT(--('LÉEME'!$B$65:$B$86=AC14))&lt;&gt;1),1,0)))</f>
        <v>1</v>
      </c>
      <c r="Y14" s="0" t="n">
        <f>IF(AND(P14="DIMENSIONES",S14="m²",COUNT(H14:J14)=3),1,0)</f>
        <v>1</v>
      </c>
      <c r="Z14" s="0" t="n">
        <f>IF(IF(ISNUMBER($E$6),AND($E$6&gt;=0,$E$6&lt;=6,$E$6=INT($E$6)),FALSE),IF(SUM(IF(ISNUMBER(F14),IF(ABS(F14-ROUND(F14,$E$6))&gt;0.00000001,1,0),0),IF(ISNUMBER(G14),IF(ABS(G14-ROUND(G14,$E$6))&gt;0.00000001,1,0),0),IF(ISNUMBER(H14),IF(ABS(H14-ROUND(H14,$E$6))&gt;0.00000001,1,0),0),IF(ISNUMBER(I14),IF(ABS(I14-ROUND(I14,$E$6))&gt;0.00000001,1,0),0),IF(ISNUMBER(J14),IF(ABS(J14-ROUND(J14,$E$6))&gt;0.00000001,1,0),0),IF(ISNUMBER(M14),IF(ABS(M14-ROUND(M14,$E$6))&gt;0.00000001,1,0),0))&gt;0,1,0),0)</f>
        <v>0</v>
      </c>
      <c r="AA14" s="0" t="n">
        <f>IF(COUNTA(B14:L14)=0,0,IF(OR(AND(ISNUMBER(F14),F14&lt;0),AND(U14=1,OR(SUM(IF(ISNUMBER(G14),IF(G14=0,1,0),0),IF(ISNUMBER(H14),IF(H14=0,1,0),0),IF(ISNUMBER(I14),IF(I14=0,1,0),0),IF(ISNUMBER(J14),IF(J14=0,1,0),0))&gt;0,COUNTIFS(G14:J14,"&lt;0")&gt;0)),AND(P14="DIMENSIONES",U14=1,OR(AND(S14="m",COUNT(H14:J14)&lt;&gt;1),AND(S14="m²",COUNT(H14:J14)&lt;&gt;2,Y14=0),AND(S14="m³",COUNT(H14:J14)&lt;&gt;3),AND(S14="ud",COUNT(H14:J14)&gt;0))),AND(P14="DIRECTA",OR(S14="m",S14="m²",S14="m³"))),1,0))</f>
        <v>0</v>
      </c>
      <c r="AB14" s="0" t="str">
        <f>IF(LEN(TRIM(E14&amp;""))&gt;0,E14,IF(R14&gt;0,INDEX($E$13:$E$512,R14),""))</f>
        <v>m²</v>
      </c>
      <c r="AC14" s="0" t="str">
        <f>UPPER(SUBSTITUTE(SUBSTITUTE(SUBSTITUTE(SUBSTITUTE(SUBSTITUTE(TRIM(AB14),"²","2"),"³","3"),"^",""),".","")," ",""))</f>
        <v>M2</v>
      </c>
    </row>
    <row r="15" ht="32.25" hidden="0" customHeight="1">
      <c r="B15" s="35" t="str">
        <v>Ejemplo · Estructura</v>
      </c>
      <c r="C15" s="35" t="str">
        <v>MUR-01</v>
      </c>
      <c r="D15" s="37" t="str">
        <v>Ejemplo aproximado · muro con unidad a comprobar</v>
      </c>
      <c r="E15" s="35" t="str">
        <v>m²</v>
      </c>
      <c r="F15" s="38" t="n">
        <v>38.38</v>
      </c>
      <c r="G15" s="38" t="n">
        <v>1</v>
      </c>
      <c r="H15" s="38" t="n">
        <v>48</v>
      </c>
      <c r="I15" s="38" t="n">
        <v>0.2</v>
      </c>
      <c r="J15" s="38" t="n">
        <v>2</v>
      </c>
      <c r="K15" s="35" t="n">
        <v>1</v>
      </c>
      <c r="L15" s="35"/>
      <c r="M15" s="39" t="n">
        <f>IF(U15&lt;&gt;1,"",IF(P15="DIRECTA",G15,IF(ISNUMBER(G15),G15,1)*IF(ISNUMBER(H15),H15,1)*IF(ISNUMBER(I15),I15,1)*IF(ISNUMBER(J15),J15,1)))</f>
        <v>19.200000000000003</v>
      </c>
      <c r="N15" s="30" t="str">
        <f>IF(COUNTA(B15:L15)=0,"",IF(X15=0,IF(P15="CABECERA","VERDE · Fila descriptiva; la suma usa las líneas del ID","VERDE · Datos numéricos interpretables"),IF(X15=2,"ROJO · ","ÁMBAR · ")&amp;IF(NOT(IF(ISNUMBER($E$6),AND($E$6&gt;=0,$E$6&lt;=6,$E$6=INT($E$6)),FALSE)),"Indicamos entre 0 y 6 decimales en E6. ","")&amp;IF(O15=0,"Falta un ID numérico. ","")&amp;IF(R15=0,"Faltan capítulo, código, unidad o total numérico del ID. ","")&amp;IF(T15&gt;0,"Los datos o el total del ID se contradicen. ","")&amp;IF(AND(P15&lt;&gt;"DIMENSIONES",P15&lt;&gt;"DIRECTA",P15&lt;&gt;"SIN LÍNEAS",P15&lt;&gt;"CABECERA"),"Tipo de fila no reconocido. ","")&amp;IF(AND(OR(P15="SIN LÍNEAS",P15="CABECERA"),COUNTA(G15:J15)&gt;0),"La fila dice que no mide, pero contiene medidas. ","")&amp;IF(AND(OR(P15="DIRECTA",P15="DIMENSIONES"),U15=0),"Línea incompleta o con medidas no numéricas. ","")&amp;IF(P15="SIN LÍNEAS","No constan medidas de esta fila. ","")&amp;IF(Y15&gt;0,"Parece m³: tres dimensiones bajo m². ","")&amp;IF(AND(AB15&lt;&gt;"",SUMPRODUCT(--('LÉEME'!$B$65:$B$86=AC15))&lt;&gt;1),"Revisamos el significado de la unidad. ","")&amp;IF(Z15&gt;0,"Más precisión que los decimales indicados: cotejamos el original. ","")&amp;IF(AA15&gt;0,"Revisamos dimensiones, cantidad directa, ceros o deducción. ","")))</f>
        <v>ÁMBAR · Parece m³: tres dimensiones bajo m². </v>
      </c>
      <c r="O15" s="0" t="n">
        <f>IF(ISNUMBER(K15),IF(AND(K15&gt;0,K15=INT(K15),K15&lt;=999999),K15,0),0)</f>
        <v>1</v>
      </c>
      <c r="P15" s="0" t="str">
        <f>IF(COUNTA(B15:L15)=0,"",IF(L15="",IF(COUNTA(G15:J15)&gt;0,"DIMENSIONES","SIN LÍNEAS"),UPPER(TRIM(L15))))</f>
        <v>DIMENSIONES</v>
      </c>
      <c r="Q15" s="0" t="n">
        <f>IF(AND(O15&gt;0,LEN(TRIM(B15&amp;""))&gt;0,LEN(TRIM(C15&amp;""))&gt;0,LEN(TRIM(E15&amp;""))&gt;0,ISNUMBER(F15)),O15,"")</f>
        <v>1</v>
      </c>
      <c r="R15" s="0" t="n">
        <f>IF(O15=0,0,IF(COUNTIFS($Q$13:$Q$512,O15)&gt;0,MATCH(O15,$Q$13:$Q$512,0),0))</f>
        <v>1</v>
      </c>
      <c r="S15" s="0" t="str">
        <f>IF(AB15="","",IF(SUMPRODUCT(--('LÉEME'!$B$65:$B$86=AC15))=1,INDEX('LÉEME'!$C$65:$C$86,MATCH(AC15,'LÉEME'!$B$65:$B$86,0)),UPPER(TRIM(AB15))))</f>
        <v>m²</v>
      </c>
      <c r="T15" s="0" t="n">
        <f>IF(R15=0,0,IF(OR(AND(LEN(TRIM(B15&amp;""))&gt;0,UPPER(TRIM(B15&amp;""))&lt;&gt;UPPER(TRIM(INDEX($B$13:$B$512,R15)&amp;""))),AND(LEN(TRIM(C15&amp;""))&gt;0,UPPER(TRIM(C15&amp;""))&lt;&gt;UPPER(TRIM(INDEX($C$13:$C$512,R15)&amp;""))),AND(LEN(TRIM(E15&amp;""))&gt;0,S15&lt;&gt;INDEX($S$13:$S$512,R15)),AND(F15&lt;&gt;"",NOT(ISNUMBER(F15)))),1,IF(ISNUMBER(F15),IF(ABS(F15-INDEX($F$13:$F$512,R15))&gt;0.00000001,1,0),0)))</f>
        <v>0</v>
      </c>
      <c r="U15" s="0" t="n">
        <f>IF(P15="DIRECTA",IF(AND(ISNUMBER(G15),COUNTA(H15:J15)=0),1,0),IF(P15="DIMENSIONES",IF(AND(COUNT(G15:J15)&gt;0,COUNTA(G15:J15)=COUNT(G15:J15)),1,0),0))</f>
        <v>1</v>
      </c>
      <c r="V15" s="0" t="n">
        <f>IF(O15=0,0,IF(COUNTIFS($O$13:O15,O15)=1,1,0))</f>
        <v>0</v>
      </c>
      <c r="W15" s="0">
        <f>IF(V15=1,COUNTIFS($V$13:V15,1),"")</f>
      </c>
      <c r="X15" s="0" t="n">
        <f>IF(COUNTA(B15:L15)=0,"",IF(OR(NOT(IF(ISNUMBER($E$6),AND($E$6&gt;=0,$E$6&lt;=6,$E$6=INT($E$6)),FALSE)),O15=0,R15=0,T15&gt;0,AND(P15&lt;&gt;"DIMENSIONES",P15&lt;&gt;"DIRECTA",P15&lt;&gt;"SIN LÍNEAS",P15&lt;&gt;"CABECERA"),AND(OR(P15="DIRECTA",P15="DIMENSIONES"),U15=0),AND(OR(P15="SIN LÍNEAS",P15="CABECERA"),COUNTA(G15:J15)&gt;0)),2,IF(OR(P15="SIN LÍNEAS",Y15&gt;0,Z15&gt;0,AA15&gt;0,SUMPRODUCT(--('LÉEME'!$B$65:$B$86=AC15))&lt;&gt;1),1,0)))</f>
        <v>1</v>
      </c>
      <c r="Y15" s="0" t="n">
        <f>IF(AND(P15="DIMENSIONES",S15="m²",COUNT(H15:J15)=3),1,0)</f>
        <v>1</v>
      </c>
      <c r="Z15" s="0" t="n">
        <f>IF(IF(ISNUMBER($E$6),AND($E$6&gt;=0,$E$6&lt;=6,$E$6=INT($E$6)),FALSE),IF(SUM(IF(ISNUMBER(F15),IF(ABS(F15-ROUND(F15,$E$6))&gt;0.00000001,1,0),0),IF(ISNUMBER(G15),IF(ABS(G15-ROUND(G15,$E$6))&gt;0.00000001,1,0),0),IF(ISNUMBER(H15),IF(ABS(H15-ROUND(H15,$E$6))&gt;0.00000001,1,0),0),IF(ISNUMBER(I15),IF(ABS(I15-ROUND(I15,$E$6))&gt;0.00000001,1,0),0),IF(ISNUMBER(J15),IF(ABS(J15-ROUND(J15,$E$6))&gt;0.00000001,1,0),0),IF(ISNUMBER(M15),IF(ABS(M15-ROUND(M15,$E$6))&gt;0.00000001,1,0),0))&gt;0,1,0),0)</f>
        <v>0</v>
      </c>
      <c r="AA15" s="0" t="n">
        <f>IF(COUNTA(B15:L15)=0,0,IF(OR(AND(ISNUMBER(F15),F15&lt;0),AND(U15=1,OR(SUM(IF(ISNUMBER(G15),IF(G15=0,1,0),0),IF(ISNUMBER(H15),IF(H15=0,1,0),0),IF(ISNUMBER(I15),IF(I15=0,1,0),0),IF(ISNUMBER(J15),IF(J15=0,1,0),0))&gt;0,COUNTIFS(G15:J15,"&lt;0")&gt;0)),AND(P15="DIMENSIONES",U15=1,OR(AND(S15="m",COUNT(H15:J15)&lt;&gt;1),AND(S15="m²",COUNT(H15:J15)&lt;&gt;2,Y15=0),AND(S15="m³",COUNT(H15:J15)&lt;&gt;3),AND(S15="ud",COUNT(H15:J15)&gt;0))),AND(P15="DIRECTA",OR(S15="m",S15="m²",S15="m³"))),1,0))</f>
        <v>0</v>
      </c>
      <c r="AB15" s="0" t="str">
        <f>IF(LEN(TRIM(E15&amp;""))&gt;0,E15,IF(R15&gt;0,INDEX($E$13:$E$512,R15),""))</f>
        <v>m²</v>
      </c>
      <c r="AC15" s="0" t="str">
        <f>UPPER(SUBSTITUTE(SUBSTITUTE(SUBSTITUTE(SUBSTITUTE(SUBSTITUTE(TRIM(AB15),"²","2"),"³","3"),"^",""),".","")," ",""))</f>
        <v>M2</v>
      </c>
    </row>
    <row r="16" ht="32.25" hidden="0" customHeight="1">
      <c r="B16" s="35" t="str">
        <v>Ejemplo · Estructura</v>
      </c>
      <c r="C16" s="35" t="str">
        <v>MUR-01</v>
      </c>
      <c r="D16" s="37" t="str">
        <v>Ejemplo aproximado · muro con unidad a comprobar</v>
      </c>
      <c r="E16" s="35" t="str">
        <v>m²</v>
      </c>
      <c r="F16" s="38" t="n">
        <v>38.38</v>
      </c>
      <c r="G16" s="38" t="n">
        <v>1</v>
      </c>
      <c r="H16" s="38" t="n">
        <v>28</v>
      </c>
      <c r="I16" s="38" t="n">
        <v>0.2</v>
      </c>
      <c r="J16" s="38" t="n">
        <v>2</v>
      </c>
      <c r="K16" s="35" t="n">
        <v>1</v>
      </c>
      <c r="L16" s="35"/>
      <c r="M16" s="39" t="n">
        <f>IF(U16&lt;&gt;1,"",IF(P16="DIRECTA",G16,IF(ISNUMBER(G16),G16,1)*IF(ISNUMBER(H16),H16,1)*IF(ISNUMBER(I16),I16,1)*IF(ISNUMBER(J16),J16,1)))</f>
        <v>11.200000000000001</v>
      </c>
      <c r="N16" s="30" t="str">
        <f>IF(COUNTA(B16:L16)=0,"",IF(X16=0,IF(P16="CABECERA","VERDE · Fila descriptiva; la suma usa las líneas del ID","VERDE · Datos numéricos interpretables"),IF(X16=2,"ROJO · ","ÁMBAR · ")&amp;IF(NOT(IF(ISNUMBER($E$6),AND($E$6&gt;=0,$E$6&lt;=6,$E$6=INT($E$6)),FALSE)),"Indicamos entre 0 y 6 decimales en E6. ","")&amp;IF(O16=0,"Falta un ID numérico. ","")&amp;IF(R16=0,"Faltan capítulo, código, unidad o total numérico del ID. ","")&amp;IF(T16&gt;0,"Los datos o el total del ID se contradicen. ","")&amp;IF(AND(P16&lt;&gt;"DIMENSIONES",P16&lt;&gt;"DIRECTA",P16&lt;&gt;"SIN LÍNEAS",P16&lt;&gt;"CABECERA"),"Tipo de fila no reconocido. ","")&amp;IF(AND(OR(P16="SIN LÍNEAS",P16="CABECERA"),COUNTA(G16:J16)&gt;0),"La fila dice que no mide, pero contiene medidas. ","")&amp;IF(AND(OR(P16="DIRECTA",P16="DIMENSIONES"),U16=0),"Línea incompleta o con medidas no numéricas. ","")&amp;IF(P16="SIN LÍNEAS","No constan medidas de esta fila. ","")&amp;IF(Y16&gt;0,"Parece m³: tres dimensiones bajo m². ","")&amp;IF(AND(AB16&lt;&gt;"",SUMPRODUCT(--('LÉEME'!$B$65:$B$86=AC16))&lt;&gt;1),"Revisamos el significado de la unidad. ","")&amp;IF(Z16&gt;0,"Más precisión que los decimales indicados: cotejamos el original. ","")&amp;IF(AA16&gt;0,"Revisamos dimensiones, cantidad directa, ceros o deducción. ","")))</f>
        <v>ÁMBAR · Parece m³: tres dimensiones bajo m². </v>
      </c>
      <c r="O16" s="0" t="n">
        <f>IF(ISNUMBER(K16),IF(AND(K16&gt;0,K16=INT(K16),K16&lt;=999999),K16,0),0)</f>
        <v>1</v>
      </c>
      <c r="P16" s="0" t="str">
        <f>IF(COUNTA(B16:L16)=0,"",IF(L16="",IF(COUNTA(G16:J16)&gt;0,"DIMENSIONES","SIN LÍNEAS"),UPPER(TRIM(L16))))</f>
        <v>DIMENSIONES</v>
      </c>
      <c r="Q16" s="0" t="n">
        <f>IF(AND(O16&gt;0,LEN(TRIM(B16&amp;""))&gt;0,LEN(TRIM(C16&amp;""))&gt;0,LEN(TRIM(E16&amp;""))&gt;0,ISNUMBER(F16)),O16,"")</f>
        <v>1</v>
      </c>
      <c r="R16" s="0" t="n">
        <f>IF(O16=0,0,IF(COUNTIFS($Q$13:$Q$512,O16)&gt;0,MATCH(O16,$Q$13:$Q$512,0),0))</f>
        <v>1</v>
      </c>
      <c r="S16" s="0" t="str">
        <f>IF(AB16="","",IF(SUMPRODUCT(--('LÉEME'!$B$65:$B$86=AC16))=1,INDEX('LÉEME'!$C$65:$C$86,MATCH(AC16,'LÉEME'!$B$65:$B$86,0)),UPPER(TRIM(AB16))))</f>
        <v>m²</v>
      </c>
      <c r="T16" s="0" t="n">
        <f>IF(R16=0,0,IF(OR(AND(LEN(TRIM(B16&amp;""))&gt;0,UPPER(TRIM(B16&amp;""))&lt;&gt;UPPER(TRIM(INDEX($B$13:$B$512,R16)&amp;""))),AND(LEN(TRIM(C16&amp;""))&gt;0,UPPER(TRIM(C16&amp;""))&lt;&gt;UPPER(TRIM(INDEX($C$13:$C$512,R16)&amp;""))),AND(LEN(TRIM(E16&amp;""))&gt;0,S16&lt;&gt;INDEX($S$13:$S$512,R16)),AND(F16&lt;&gt;"",NOT(ISNUMBER(F16)))),1,IF(ISNUMBER(F16),IF(ABS(F16-INDEX($F$13:$F$512,R16))&gt;0.00000001,1,0),0)))</f>
        <v>0</v>
      </c>
      <c r="U16" s="0" t="n">
        <f>IF(P16="DIRECTA",IF(AND(ISNUMBER(G16),COUNTA(H16:J16)=0),1,0),IF(P16="DIMENSIONES",IF(AND(COUNT(G16:J16)&gt;0,COUNTA(G16:J16)=COUNT(G16:J16)),1,0),0))</f>
        <v>1</v>
      </c>
      <c r="V16" s="0" t="n">
        <f>IF(O16=0,0,IF(COUNTIFS($O$13:O16,O16)=1,1,0))</f>
        <v>0</v>
      </c>
      <c r="W16" s="0">
        <f>IF(V16=1,COUNTIFS($V$13:V16,1),"")</f>
      </c>
      <c r="X16" s="0" t="n">
        <f>IF(COUNTA(B16:L16)=0,"",IF(OR(NOT(IF(ISNUMBER($E$6),AND($E$6&gt;=0,$E$6&lt;=6,$E$6=INT($E$6)),FALSE)),O16=0,R16=0,T16&gt;0,AND(P16&lt;&gt;"DIMENSIONES",P16&lt;&gt;"DIRECTA",P16&lt;&gt;"SIN LÍNEAS",P16&lt;&gt;"CABECERA"),AND(OR(P16="DIRECTA",P16="DIMENSIONES"),U16=0),AND(OR(P16="SIN LÍNEAS",P16="CABECERA"),COUNTA(G16:J16)&gt;0)),2,IF(OR(P16="SIN LÍNEAS",Y16&gt;0,Z16&gt;0,AA16&gt;0,SUMPRODUCT(--('LÉEME'!$B$65:$B$86=AC16))&lt;&gt;1),1,0)))</f>
        <v>1</v>
      </c>
      <c r="Y16" s="0" t="n">
        <f>IF(AND(P16="DIMENSIONES",S16="m²",COUNT(H16:J16)=3),1,0)</f>
        <v>1</v>
      </c>
      <c r="Z16" s="0" t="n">
        <f>IF(IF(ISNUMBER($E$6),AND($E$6&gt;=0,$E$6&lt;=6,$E$6=INT($E$6)),FALSE),IF(SUM(IF(ISNUMBER(F16),IF(ABS(F16-ROUND(F16,$E$6))&gt;0.00000001,1,0),0),IF(ISNUMBER(G16),IF(ABS(G16-ROUND(G16,$E$6))&gt;0.00000001,1,0),0),IF(ISNUMBER(H16),IF(ABS(H16-ROUND(H16,$E$6))&gt;0.00000001,1,0),0),IF(ISNUMBER(I16),IF(ABS(I16-ROUND(I16,$E$6))&gt;0.00000001,1,0),0),IF(ISNUMBER(J16),IF(ABS(J16-ROUND(J16,$E$6))&gt;0.00000001,1,0),0),IF(ISNUMBER(M16),IF(ABS(M16-ROUND(M16,$E$6))&gt;0.00000001,1,0),0))&gt;0,1,0),0)</f>
        <v>0</v>
      </c>
      <c r="AA16" s="0" t="n">
        <f>IF(COUNTA(B16:L16)=0,0,IF(OR(AND(ISNUMBER(F16),F16&lt;0),AND(U16=1,OR(SUM(IF(ISNUMBER(G16),IF(G16=0,1,0),0),IF(ISNUMBER(H16),IF(H16=0,1,0),0),IF(ISNUMBER(I16),IF(I16=0,1,0),0),IF(ISNUMBER(J16),IF(J16=0,1,0),0))&gt;0,COUNTIFS(G16:J16,"&lt;0")&gt;0)),AND(P16="DIMENSIONES",U16=1,OR(AND(S16="m",COUNT(H16:J16)&lt;&gt;1),AND(S16="m²",COUNT(H16:J16)&lt;&gt;2,Y16=0),AND(S16="m³",COUNT(H16:J16)&lt;&gt;3),AND(S16="ud",COUNT(H16:J16)&gt;0))),AND(P16="DIRECTA",OR(S16="m",S16="m²",S16="m³"))),1,0))</f>
        <v>0</v>
      </c>
      <c r="AB16" s="0" t="str">
        <f>IF(LEN(TRIM(E16&amp;""))&gt;0,E16,IF(R16&gt;0,INDEX($E$13:$E$512,R16),""))</f>
        <v>m²</v>
      </c>
      <c r="AC16" s="0" t="str">
        <f>UPPER(SUBSTITUTE(SUBSTITUTE(SUBSTITUTE(SUBSTITUTE(SUBSTITUTE(TRIM(AB16),"²","2"),"³","3"),"^",""),".","")," ",""))</f>
        <v>M2</v>
      </c>
    </row>
    <row r="17" ht="32.25" hidden="0" customHeight="1">
      <c r="B17" s="35" t="str">
        <v>Ejemplo · Estructura</v>
      </c>
      <c r="C17" s="35" t="str">
        <v>MUR-01</v>
      </c>
      <c r="D17" s="37" t="str">
        <v>Ejemplo aproximado · muro con unidad a comprobar</v>
      </c>
      <c r="E17" s="35" t="str">
        <v>m²</v>
      </c>
      <c r="F17" s="38" t="n">
        <v>38.38</v>
      </c>
      <c r="G17" s="38" t="n">
        <v>1</v>
      </c>
      <c r="H17" s="38" t="n">
        <v>15</v>
      </c>
      <c r="I17" s="38" t="n">
        <v>0.2</v>
      </c>
      <c r="J17" s="38" t="n">
        <v>1.3</v>
      </c>
      <c r="K17" s="35" t="n">
        <v>1</v>
      </c>
      <c r="L17" s="35"/>
      <c r="M17" s="39" t="n">
        <f>IF(U17&lt;&gt;1,"",IF(P17="DIRECTA",G17,IF(ISNUMBER(G17),G17,1)*IF(ISNUMBER(H17),H17,1)*IF(ISNUMBER(I17),I17,1)*IF(ISNUMBER(J17),J17,1)))</f>
        <v>3.9000000000000004</v>
      </c>
      <c r="N17" s="30" t="str">
        <f>IF(COUNTA(B17:L17)=0,"",IF(X17=0,IF(P17="CABECERA","VERDE · Fila descriptiva; la suma usa las líneas del ID","VERDE · Datos numéricos interpretables"),IF(X17=2,"ROJO · ","ÁMBAR · ")&amp;IF(NOT(IF(ISNUMBER($E$6),AND($E$6&gt;=0,$E$6&lt;=6,$E$6=INT($E$6)),FALSE)),"Indicamos entre 0 y 6 decimales en E6. ","")&amp;IF(O17=0,"Falta un ID numérico. ","")&amp;IF(R17=0,"Faltan capítulo, código, unidad o total numérico del ID. ","")&amp;IF(T17&gt;0,"Los datos o el total del ID se contradicen. ","")&amp;IF(AND(P17&lt;&gt;"DIMENSIONES",P17&lt;&gt;"DIRECTA",P17&lt;&gt;"SIN LÍNEAS",P17&lt;&gt;"CABECERA"),"Tipo de fila no reconocido. ","")&amp;IF(AND(OR(P17="SIN LÍNEAS",P17="CABECERA"),COUNTA(G17:J17)&gt;0),"La fila dice que no mide, pero contiene medidas. ","")&amp;IF(AND(OR(P17="DIRECTA",P17="DIMENSIONES"),U17=0),"Línea incompleta o con medidas no numéricas. ","")&amp;IF(P17="SIN LÍNEAS","No constan medidas de esta fila. ","")&amp;IF(Y17&gt;0,"Parece m³: tres dimensiones bajo m². ","")&amp;IF(AND(AB17&lt;&gt;"",SUMPRODUCT(--('LÉEME'!$B$65:$B$86=AC17))&lt;&gt;1),"Revisamos el significado de la unidad. ","")&amp;IF(Z17&gt;0,"Más precisión que los decimales indicados: cotejamos el original. ","")&amp;IF(AA17&gt;0,"Revisamos dimensiones, cantidad directa, ceros o deducción. ","")))</f>
        <v>ÁMBAR · Parece m³: tres dimensiones bajo m². </v>
      </c>
      <c r="O17" s="0" t="n">
        <f>IF(ISNUMBER(K17),IF(AND(K17&gt;0,K17=INT(K17),K17&lt;=999999),K17,0),0)</f>
        <v>1</v>
      </c>
      <c r="P17" s="0" t="str">
        <f>IF(COUNTA(B17:L17)=0,"",IF(L17="",IF(COUNTA(G17:J17)&gt;0,"DIMENSIONES","SIN LÍNEAS"),UPPER(TRIM(L17))))</f>
        <v>DIMENSIONES</v>
      </c>
      <c r="Q17" s="0" t="n">
        <f>IF(AND(O17&gt;0,LEN(TRIM(B17&amp;""))&gt;0,LEN(TRIM(C17&amp;""))&gt;0,LEN(TRIM(E17&amp;""))&gt;0,ISNUMBER(F17)),O17,"")</f>
        <v>1</v>
      </c>
      <c r="R17" s="0" t="n">
        <f>IF(O17=0,0,IF(COUNTIFS($Q$13:$Q$512,O17)&gt;0,MATCH(O17,$Q$13:$Q$512,0),0))</f>
        <v>1</v>
      </c>
      <c r="S17" s="0" t="str">
        <f>IF(AB17="","",IF(SUMPRODUCT(--('LÉEME'!$B$65:$B$86=AC17))=1,INDEX('LÉEME'!$C$65:$C$86,MATCH(AC17,'LÉEME'!$B$65:$B$86,0)),UPPER(TRIM(AB17))))</f>
        <v>m²</v>
      </c>
      <c r="T17" s="0" t="n">
        <f>IF(R17=0,0,IF(OR(AND(LEN(TRIM(B17&amp;""))&gt;0,UPPER(TRIM(B17&amp;""))&lt;&gt;UPPER(TRIM(INDEX($B$13:$B$512,R17)&amp;""))),AND(LEN(TRIM(C17&amp;""))&gt;0,UPPER(TRIM(C17&amp;""))&lt;&gt;UPPER(TRIM(INDEX($C$13:$C$512,R17)&amp;""))),AND(LEN(TRIM(E17&amp;""))&gt;0,S17&lt;&gt;INDEX($S$13:$S$512,R17)),AND(F17&lt;&gt;"",NOT(ISNUMBER(F17)))),1,IF(ISNUMBER(F17),IF(ABS(F17-INDEX($F$13:$F$512,R17))&gt;0.00000001,1,0),0)))</f>
        <v>0</v>
      </c>
      <c r="U17" s="0" t="n">
        <f>IF(P17="DIRECTA",IF(AND(ISNUMBER(G17),COUNTA(H17:J17)=0),1,0),IF(P17="DIMENSIONES",IF(AND(COUNT(G17:J17)&gt;0,COUNTA(G17:J17)=COUNT(G17:J17)),1,0),0))</f>
        <v>1</v>
      </c>
      <c r="V17" s="0" t="n">
        <f>IF(O17=0,0,IF(COUNTIFS($O$13:O17,O17)=1,1,0))</f>
        <v>0</v>
      </c>
      <c r="W17" s="0">
        <f>IF(V17=1,COUNTIFS($V$13:V17,1),"")</f>
      </c>
      <c r="X17" s="0" t="n">
        <f>IF(COUNTA(B17:L17)=0,"",IF(OR(NOT(IF(ISNUMBER($E$6),AND($E$6&gt;=0,$E$6&lt;=6,$E$6=INT($E$6)),FALSE)),O17=0,R17=0,T17&gt;0,AND(P17&lt;&gt;"DIMENSIONES",P17&lt;&gt;"DIRECTA",P17&lt;&gt;"SIN LÍNEAS",P17&lt;&gt;"CABECERA"),AND(OR(P17="DIRECTA",P17="DIMENSIONES"),U17=0),AND(OR(P17="SIN LÍNEAS",P17="CABECERA"),COUNTA(G17:J17)&gt;0)),2,IF(OR(P17="SIN LÍNEAS",Y17&gt;0,Z17&gt;0,AA17&gt;0,SUMPRODUCT(--('LÉEME'!$B$65:$B$86=AC17))&lt;&gt;1),1,0)))</f>
        <v>1</v>
      </c>
      <c r="Y17" s="0" t="n">
        <f>IF(AND(P17="DIMENSIONES",S17="m²",COUNT(H17:J17)=3),1,0)</f>
        <v>1</v>
      </c>
      <c r="Z17" s="0" t="n">
        <f>IF(IF(ISNUMBER($E$6),AND($E$6&gt;=0,$E$6&lt;=6,$E$6=INT($E$6)),FALSE),IF(SUM(IF(ISNUMBER(F17),IF(ABS(F17-ROUND(F17,$E$6))&gt;0.00000001,1,0),0),IF(ISNUMBER(G17),IF(ABS(G17-ROUND(G17,$E$6))&gt;0.00000001,1,0),0),IF(ISNUMBER(H17),IF(ABS(H17-ROUND(H17,$E$6))&gt;0.00000001,1,0),0),IF(ISNUMBER(I17),IF(ABS(I17-ROUND(I17,$E$6))&gt;0.00000001,1,0),0),IF(ISNUMBER(J17),IF(ABS(J17-ROUND(J17,$E$6))&gt;0.00000001,1,0),0),IF(ISNUMBER(M17),IF(ABS(M17-ROUND(M17,$E$6))&gt;0.00000001,1,0),0))&gt;0,1,0),0)</f>
        <v>0</v>
      </c>
      <c r="AA17" s="0" t="n">
        <f>IF(COUNTA(B17:L17)=0,0,IF(OR(AND(ISNUMBER(F17),F17&lt;0),AND(U17=1,OR(SUM(IF(ISNUMBER(G17),IF(G17=0,1,0),0),IF(ISNUMBER(H17),IF(H17=0,1,0),0),IF(ISNUMBER(I17),IF(I17=0,1,0),0),IF(ISNUMBER(J17),IF(J17=0,1,0),0))&gt;0,COUNTIFS(G17:J17,"&lt;0")&gt;0)),AND(P17="DIMENSIONES",U17=1,OR(AND(S17="m",COUNT(H17:J17)&lt;&gt;1),AND(S17="m²",COUNT(H17:J17)&lt;&gt;2,Y17=0),AND(S17="m³",COUNT(H17:J17)&lt;&gt;3),AND(S17="ud",COUNT(H17:J17)&gt;0))),AND(P17="DIRECTA",OR(S17="m",S17="m²",S17="m³"))),1,0))</f>
        <v>0</v>
      </c>
      <c r="AB17" s="0" t="str">
        <f>IF(LEN(TRIM(E17&amp;""))&gt;0,E17,IF(R17&gt;0,INDEX($E$13:$E$512,R17),""))</f>
        <v>m²</v>
      </c>
      <c r="AC17" s="0" t="str">
        <f>UPPER(SUBSTITUTE(SUBSTITUTE(SUBSTITUTE(SUBSTITUTE(SUBSTITUTE(TRIM(AB17),"²","2"),"³","3"),"^",""),".","")," ",""))</f>
        <v>M2</v>
      </c>
    </row>
    <row r="18" ht="32.25" hidden="0" customHeight="1">
      <c r="B18" s="35" t="str">
        <v>Ejemplo · Cimentación</v>
      </c>
      <c r="C18" s="35" t="str">
        <v>SOL-01</v>
      </c>
      <c r="D18" s="37" t="str">
        <v>Ejemplo real anonimizado · solera; incluye encachado</v>
      </c>
      <c r="E18" s="35" t="str">
        <v>m²</v>
      </c>
      <c r="F18" s="38" t="n">
        <v>74</v>
      </c>
      <c r="G18" s="38" t="n">
        <v>1</v>
      </c>
      <c r="H18" s="38" t="n">
        <v>12</v>
      </c>
      <c r="I18" s="38" t="n">
        <v>4.5</v>
      </c>
      <c r="J18" s="38"/>
      <c r="K18" s="35" t="n">
        <v>2</v>
      </c>
      <c r="L18" s="35"/>
      <c r="M18" s="39" t="n">
        <f>IF(U18&lt;&gt;1,"",IF(P18="DIRECTA",G18,IF(ISNUMBER(G18),G18,1)*IF(ISNUMBER(H18),H18,1)*IF(ISNUMBER(I18),I18,1)*IF(ISNUMBER(J18),J18,1)))</f>
        <v>54</v>
      </c>
      <c r="N18" s="30" t="str">
        <f>IF(COUNTA(B18:L18)=0,"",IF(X18=0,IF(P18="CABECERA","VERDE · Fila descriptiva; la suma usa las líneas del ID","VERDE · Datos numéricos interpretables"),IF(X18=2,"ROJO · ","ÁMBAR · ")&amp;IF(NOT(IF(ISNUMBER($E$6),AND($E$6&gt;=0,$E$6&lt;=6,$E$6=INT($E$6)),FALSE)),"Indicamos entre 0 y 6 decimales en E6. ","")&amp;IF(O18=0,"Falta un ID numérico. ","")&amp;IF(R18=0,"Faltan capítulo, código, unidad o total numérico del ID. ","")&amp;IF(T18&gt;0,"Los datos o el total del ID se contradicen. ","")&amp;IF(AND(P18&lt;&gt;"DIMENSIONES",P18&lt;&gt;"DIRECTA",P18&lt;&gt;"SIN LÍNEAS",P18&lt;&gt;"CABECERA"),"Tipo de fila no reconocido. ","")&amp;IF(AND(OR(P18="SIN LÍNEAS",P18="CABECERA"),COUNTA(G18:J18)&gt;0),"La fila dice que no mide, pero contiene medidas. ","")&amp;IF(AND(OR(P18="DIRECTA",P18="DIMENSIONES"),U18=0),"Línea incompleta o con medidas no numéricas. ","")&amp;IF(P18="SIN LÍNEAS","No constan medidas de esta fila. ","")&amp;IF(Y18&gt;0,"Parece m³: tres dimensiones bajo m². ","")&amp;IF(AND(AB18&lt;&gt;"",SUMPRODUCT(--('LÉEME'!$B$65:$B$86=AC18))&lt;&gt;1),"Revisamos el significado de la unidad. ","")&amp;IF(Z18&gt;0,"Más precisión que los decimales indicados: cotejamos el original. ","")&amp;IF(AA18&gt;0,"Revisamos dimensiones, cantidad directa, ceros o deducción. ","")))</f>
        <v>VERDE · Datos numéricos interpretables</v>
      </c>
      <c r="O18" s="0" t="n">
        <f>IF(ISNUMBER(K18),IF(AND(K18&gt;0,K18=INT(K18),K18&lt;=999999),K18,0),0)</f>
        <v>2</v>
      </c>
      <c r="P18" s="0" t="str">
        <f>IF(COUNTA(B18:L18)=0,"",IF(L18="",IF(COUNTA(G18:J18)&gt;0,"DIMENSIONES","SIN LÍNEAS"),UPPER(TRIM(L18))))</f>
        <v>DIMENSIONES</v>
      </c>
      <c r="Q18" s="0" t="n">
        <f>IF(AND(O18&gt;0,LEN(TRIM(B18&amp;""))&gt;0,LEN(TRIM(C18&amp;""))&gt;0,LEN(TRIM(E18&amp;""))&gt;0,ISNUMBER(F18)),O18,"")</f>
        <v>2</v>
      </c>
      <c r="R18" s="0" t="n">
        <f>IF(O18=0,0,IF(COUNTIFS($Q$13:$Q$512,O18)&gt;0,MATCH(O18,$Q$13:$Q$512,0),0))</f>
        <v>6</v>
      </c>
      <c r="S18" s="0" t="str">
        <f>IF(AB18="","",IF(SUMPRODUCT(--('LÉEME'!$B$65:$B$86=AC18))=1,INDEX('LÉEME'!$C$65:$C$86,MATCH(AC18,'LÉEME'!$B$65:$B$86,0)),UPPER(TRIM(AB18))))</f>
        <v>m²</v>
      </c>
      <c r="T18" s="0" t="n">
        <f>IF(R18=0,0,IF(OR(AND(LEN(TRIM(B18&amp;""))&gt;0,UPPER(TRIM(B18&amp;""))&lt;&gt;UPPER(TRIM(INDEX($B$13:$B$512,R18)&amp;""))),AND(LEN(TRIM(C18&amp;""))&gt;0,UPPER(TRIM(C18&amp;""))&lt;&gt;UPPER(TRIM(INDEX($C$13:$C$512,R18)&amp;""))),AND(LEN(TRIM(E18&amp;""))&gt;0,S18&lt;&gt;INDEX($S$13:$S$512,R18)),AND(F18&lt;&gt;"",NOT(ISNUMBER(F18)))),1,IF(ISNUMBER(F18),IF(ABS(F18-INDEX($F$13:$F$512,R18))&gt;0.00000001,1,0),0)))</f>
        <v>0</v>
      </c>
      <c r="U18" s="0" t="n">
        <f>IF(P18="DIRECTA",IF(AND(ISNUMBER(G18),COUNTA(H18:J18)=0),1,0),IF(P18="DIMENSIONES",IF(AND(COUNT(G18:J18)&gt;0,COUNTA(G18:J18)=COUNT(G18:J18)),1,0),0))</f>
        <v>1</v>
      </c>
      <c r="V18" s="0" t="n">
        <f>IF(O18=0,0,IF(COUNTIFS($O$13:O18,O18)=1,1,0))</f>
        <v>1</v>
      </c>
      <c r="W18" s="0" t="n">
        <f>IF(V18=1,COUNTIFS($V$13:V18,1),"")</f>
        <v>2</v>
      </c>
      <c r="X18" s="0" t="n">
        <f>IF(COUNTA(B18:L18)=0,"",IF(OR(NOT(IF(ISNUMBER($E$6),AND($E$6&gt;=0,$E$6&lt;=6,$E$6=INT($E$6)),FALSE)),O18=0,R18=0,T18&gt;0,AND(P18&lt;&gt;"DIMENSIONES",P18&lt;&gt;"DIRECTA",P18&lt;&gt;"SIN LÍNEAS",P18&lt;&gt;"CABECERA"),AND(OR(P18="DIRECTA",P18="DIMENSIONES"),U18=0),AND(OR(P18="SIN LÍNEAS",P18="CABECERA"),COUNTA(G18:J18)&gt;0)),2,IF(OR(P18="SIN LÍNEAS",Y18&gt;0,Z18&gt;0,AA18&gt;0,SUMPRODUCT(--('LÉEME'!$B$65:$B$86=AC18))&lt;&gt;1),1,0)))</f>
        <v>0</v>
      </c>
      <c r="Y18" s="0" t="n">
        <f>IF(AND(P18="DIMENSIONES",S18="m²",COUNT(H18:J18)=3),1,0)</f>
        <v>0</v>
      </c>
      <c r="Z18" s="0" t="n">
        <f>IF(IF(ISNUMBER($E$6),AND($E$6&gt;=0,$E$6&lt;=6,$E$6=INT($E$6)),FALSE),IF(SUM(IF(ISNUMBER(F18),IF(ABS(F18-ROUND(F18,$E$6))&gt;0.00000001,1,0),0),IF(ISNUMBER(G18),IF(ABS(G18-ROUND(G18,$E$6))&gt;0.00000001,1,0),0),IF(ISNUMBER(H18),IF(ABS(H18-ROUND(H18,$E$6))&gt;0.00000001,1,0),0),IF(ISNUMBER(I18),IF(ABS(I18-ROUND(I18,$E$6))&gt;0.00000001,1,0),0),IF(ISNUMBER(J18),IF(ABS(J18-ROUND(J18,$E$6))&gt;0.00000001,1,0),0),IF(ISNUMBER(M18),IF(ABS(M18-ROUND(M18,$E$6))&gt;0.00000001,1,0),0))&gt;0,1,0),0)</f>
        <v>0</v>
      </c>
      <c r="AA18" s="0" t="n">
        <f>IF(COUNTA(B18:L18)=0,0,IF(OR(AND(ISNUMBER(F18),F18&lt;0),AND(U18=1,OR(SUM(IF(ISNUMBER(G18),IF(G18=0,1,0),0),IF(ISNUMBER(H18),IF(H18=0,1,0),0),IF(ISNUMBER(I18),IF(I18=0,1,0),0),IF(ISNUMBER(J18),IF(J18=0,1,0),0))&gt;0,COUNTIFS(G18:J18,"&lt;0")&gt;0)),AND(P18="DIMENSIONES",U18=1,OR(AND(S18="m",COUNT(H18:J18)&lt;&gt;1),AND(S18="m²",COUNT(H18:J18)&lt;&gt;2,Y18=0),AND(S18="m³",COUNT(H18:J18)&lt;&gt;3),AND(S18="ud",COUNT(H18:J18)&gt;0))),AND(P18="DIRECTA",OR(S18="m",S18="m²",S18="m³"))),1,0))</f>
        <v>0</v>
      </c>
      <c r="AB18" s="0" t="str">
        <f>IF(LEN(TRIM(E18&amp;""))&gt;0,E18,IF(R18&gt;0,INDEX($E$13:$E$512,R18),""))</f>
        <v>m²</v>
      </c>
      <c r="AC18" s="0" t="str">
        <f>UPPER(SUBSTITUTE(SUBSTITUTE(SUBSTITUTE(SUBSTITUTE(SUBSTITUTE(TRIM(AB18),"²","2"),"³","3"),"^",""),".","")," ",""))</f>
        <v>M2</v>
      </c>
    </row>
    <row r="19" ht="32.25" hidden="0" customHeight="1">
      <c r="B19" s="35" t="str">
        <v>Ejemplo · Cimentación</v>
      </c>
      <c r="C19" s="35" t="str">
        <v>SOL-01</v>
      </c>
      <c r="D19" s="37" t="str">
        <v>Segunda línea de la misma solera</v>
      </c>
      <c r="E19" s="35" t="str">
        <v>m²</v>
      </c>
      <c r="F19" s="38" t="n">
        <v>74</v>
      </c>
      <c r="G19" s="38" t="n">
        <v>1</v>
      </c>
      <c r="H19" s="38" t="n">
        <v>10</v>
      </c>
      <c r="I19" s="38" t="n">
        <v>2</v>
      </c>
      <c r="J19" s="38"/>
      <c r="K19" s="35" t="n">
        <v>2</v>
      </c>
      <c r="L19" s="35"/>
      <c r="M19" s="39" t="n">
        <f>IF(U19&lt;&gt;1,"",IF(P19="DIRECTA",G19,IF(ISNUMBER(G19),G19,1)*IF(ISNUMBER(H19),H19,1)*IF(ISNUMBER(I19),I19,1)*IF(ISNUMBER(J19),J19,1)))</f>
        <v>20</v>
      </c>
      <c r="N19" s="30" t="str">
        <f>IF(COUNTA(B19:L19)=0,"",IF(X19=0,IF(P19="CABECERA","VERDE · Fila descriptiva; la suma usa las líneas del ID","VERDE · Datos numéricos interpretables"),IF(X19=2,"ROJO · ","ÁMBAR · ")&amp;IF(NOT(IF(ISNUMBER($E$6),AND($E$6&gt;=0,$E$6&lt;=6,$E$6=INT($E$6)),FALSE)),"Indicamos entre 0 y 6 decimales en E6. ","")&amp;IF(O19=0,"Falta un ID numérico. ","")&amp;IF(R19=0,"Faltan capítulo, código, unidad o total numérico del ID. ","")&amp;IF(T19&gt;0,"Los datos o el total del ID se contradicen. ","")&amp;IF(AND(P19&lt;&gt;"DIMENSIONES",P19&lt;&gt;"DIRECTA",P19&lt;&gt;"SIN LÍNEAS",P19&lt;&gt;"CABECERA"),"Tipo de fila no reconocido. ","")&amp;IF(AND(OR(P19="SIN LÍNEAS",P19="CABECERA"),COUNTA(G19:J19)&gt;0),"La fila dice que no mide, pero contiene medidas. ","")&amp;IF(AND(OR(P19="DIRECTA",P19="DIMENSIONES"),U19=0),"Línea incompleta o con medidas no numéricas. ","")&amp;IF(P19="SIN LÍNEAS","No constan medidas de esta fila. ","")&amp;IF(Y19&gt;0,"Parece m³: tres dimensiones bajo m². ","")&amp;IF(AND(AB19&lt;&gt;"",SUMPRODUCT(--('LÉEME'!$B$65:$B$86=AC19))&lt;&gt;1),"Revisamos el significado de la unidad. ","")&amp;IF(Z19&gt;0,"Más precisión que los decimales indicados: cotejamos el original. ","")&amp;IF(AA19&gt;0,"Revisamos dimensiones, cantidad directa, ceros o deducción. ","")))</f>
        <v>VERDE · Datos numéricos interpretables</v>
      </c>
      <c r="O19" s="0" t="n">
        <f>IF(ISNUMBER(K19),IF(AND(K19&gt;0,K19=INT(K19),K19&lt;=999999),K19,0),0)</f>
        <v>2</v>
      </c>
      <c r="P19" s="0" t="str">
        <f>IF(COUNTA(B19:L19)=0,"",IF(L19="",IF(COUNTA(G19:J19)&gt;0,"DIMENSIONES","SIN LÍNEAS"),UPPER(TRIM(L19))))</f>
        <v>DIMENSIONES</v>
      </c>
      <c r="Q19" s="0" t="n">
        <f>IF(AND(O19&gt;0,LEN(TRIM(B19&amp;""))&gt;0,LEN(TRIM(C19&amp;""))&gt;0,LEN(TRIM(E19&amp;""))&gt;0,ISNUMBER(F19)),O19,"")</f>
        <v>2</v>
      </c>
      <c r="R19" s="0" t="n">
        <f>IF(O19=0,0,IF(COUNTIFS($Q$13:$Q$512,O19)&gt;0,MATCH(O19,$Q$13:$Q$512,0),0))</f>
        <v>6</v>
      </c>
      <c r="S19" s="0" t="str">
        <f>IF(AB19="","",IF(SUMPRODUCT(--('LÉEME'!$B$65:$B$86=AC19))=1,INDEX('LÉEME'!$C$65:$C$86,MATCH(AC19,'LÉEME'!$B$65:$B$86,0)),UPPER(TRIM(AB19))))</f>
        <v>m²</v>
      </c>
      <c r="T19" s="0" t="n">
        <f>IF(R19=0,0,IF(OR(AND(LEN(TRIM(B19&amp;""))&gt;0,UPPER(TRIM(B19&amp;""))&lt;&gt;UPPER(TRIM(INDEX($B$13:$B$512,R19)&amp;""))),AND(LEN(TRIM(C19&amp;""))&gt;0,UPPER(TRIM(C19&amp;""))&lt;&gt;UPPER(TRIM(INDEX($C$13:$C$512,R19)&amp;""))),AND(LEN(TRIM(E19&amp;""))&gt;0,S19&lt;&gt;INDEX($S$13:$S$512,R19)),AND(F19&lt;&gt;"",NOT(ISNUMBER(F19)))),1,IF(ISNUMBER(F19),IF(ABS(F19-INDEX($F$13:$F$512,R19))&gt;0.00000001,1,0),0)))</f>
        <v>0</v>
      </c>
      <c r="U19" s="0" t="n">
        <f>IF(P19="DIRECTA",IF(AND(ISNUMBER(G19),COUNTA(H19:J19)=0),1,0),IF(P19="DIMENSIONES",IF(AND(COUNT(G19:J19)&gt;0,COUNTA(G19:J19)=COUNT(G19:J19)),1,0),0))</f>
        <v>1</v>
      </c>
      <c r="V19" s="0" t="n">
        <f>IF(O19=0,0,IF(COUNTIFS($O$13:O19,O19)=1,1,0))</f>
        <v>0</v>
      </c>
      <c r="W19" s="0">
        <f>IF(V19=1,COUNTIFS($V$13:V19,1),"")</f>
      </c>
      <c r="X19" s="0" t="n">
        <f>IF(COUNTA(B19:L19)=0,"",IF(OR(NOT(IF(ISNUMBER($E$6),AND($E$6&gt;=0,$E$6&lt;=6,$E$6=INT($E$6)),FALSE)),O19=0,R19=0,T19&gt;0,AND(P19&lt;&gt;"DIMENSIONES",P19&lt;&gt;"DIRECTA",P19&lt;&gt;"SIN LÍNEAS",P19&lt;&gt;"CABECERA"),AND(OR(P19="DIRECTA",P19="DIMENSIONES"),U19=0),AND(OR(P19="SIN LÍNEAS",P19="CABECERA"),COUNTA(G19:J19)&gt;0)),2,IF(OR(P19="SIN LÍNEAS",Y19&gt;0,Z19&gt;0,AA19&gt;0,SUMPRODUCT(--('LÉEME'!$B$65:$B$86=AC19))&lt;&gt;1),1,0)))</f>
        <v>0</v>
      </c>
      <c r="Y19" s="0" t="n">
        <f>IF(AND(P19="DIMENSIONES",S19="m²",COUNT(H19:J19)=3),1,0)</f>
        <v>0</v>
      </c>
      <c r="Z19" s="0" t="n">
        <f>IF(IF(ISNUMBER($E$6),AND($E$6&gt;=0,$E$6&lt;=6,$E$6=INT($E$6)),FALSE),IF(SUM(IF(ISNUMBER(F19),IF(ABS(F19-ROUND(F19,$E$6))&gt;0.00000001,1,0),0),IF(ISNUMBER(G19),IF(ABS(G19-ROUND(G19,$E$6))&gt;0.00000001,1,0),0),IF(ISNUMBER(H19),IF(ABS(H19-ROUND(H19,$E$6))&gt;0.00000001,1,0),0),IF(ISNUMBER(I19),IF(ABS(I19-ROUND(I19,$E$6))&gt;0.00000001,1,0),0),IF(ISNUMBER(J19),IF(ABS(J19-ROUND(J19,$E$6))&gt;0.00000001,1,0),0),IF(ISNUMBER(M19),IF(ABS(M19-ROUND(M19,$E$6))&gt;0.00000001,1,0),0))&gt;0,1,0),0)</f>
        <v>0</v>
      </c>
      <c r="AA19" s="0" t="n">
        <f>IF(COUNTA(B19:L19)=0,0,IF(OR(AND(ISNUMBER(F19),F19&lt;0),AND(U19=1,OR(SUM(IF(ISNUMBER(G19),IF(G19=0,1,0),0),IF(ISNUMBER(H19),IF(H19=0,1,0),0),IF(ISNUMBER(I19),IF(I19=0,1,0),0),IF(ISNUMBER(J19),IF(J19=0,1,0),0))&gt;0,COUNTIFS(G19:J19,"&lt;0")&gt;0)),AND(P19="DIMENSIONES",U19=1,OR(AND(S19="m",COUNT(H19:J19)&lt;&gt;1),AND(S19="m²",COUNT(H19:J19)&lt;&gt;2,Y19=0),AND(S19="m³",COUNT(H19:J19)&lt;&gt;3),AND(S19="ud",COUNT(H19:J19)&gt;0))),AND(P19="DIRECTA",OR(S19="m",S19="m²",S19="m³"))),1,0))</f>
        <v>0</v>
      </c>
      <c r="AB19" s="0" t="str">
        <f>IF(LEN(TRIM(E19&amp;""))&gt;0,E19,IF(R19&gt;0,INDEX($E$13:$E$512,R19),""))</f>
        <v>m²</v>
      </c>
      <c r="AC19" s="0" t="str">
        <f>UPPER(SUBSTITUTE(SUBSTITUTE(SUBSTITUTE(SUBSTITUTE(SUBSTITUTE(TRIM(AB19),"²","2"),"³","3"),"^",""),".","")," ",""))</f>
        <v>M2</v>
      </c>
    </row>
    <row r="20" ht="32.25" hidden="0" customHeight="1">
      <c r="B20" s="35" t="str">
        <v>Ejemplo · Cimentación</v>
      </c>
      <c r="C20" s="35" t="str">
        <v>BASE-01</v>
      </c>
      <c r="D20" s="37" t="str">
        <v>Ejemplo real anonimizado · encachado separado; revisar zonas</v>
      </c>
      <c r="E20" s="35" t="str">
        <v>m³</v>
      </c>
      <c r="F20" s="38" t="n">
        <v>25</v>
      </c>
      <c r="G20" s="38" t="n">
        <v>25</v>
      </c>
      <c r="H20" s="38"/>
      <c r="I20" s="38"/>
      <c r="J20" s="38"/>
      <c r="K20" s="35" t="n">
        <v>3</v>
      </c>
      <c r="L20" s="35" t="str">
        <v>Directa</v>
      </c>
      <c r="M20" s="39" t="n">
        <f>IF(U20&lt;&gt;1,"",IF(P20="DIRECTA",G20,IF(ISNUMBER(G20),G20,1)*IF(ISNUMBER(H20),H20,1)*IF(ISNUMBER(I20),I20,1)*IF(ISNUMBER(J20),J20,1)))</f>
        <v>25</v>
      </c>
      <c r="N20" s="30" t="str">
        <f>IF(COUNTA(B20:L20)=0,"",IF(X20=0,IF(P20="CABECERA","VERDE · Fila descriptiva; la suma usa las líneas del ID","VERDE · Datos numéricos interpretables"),IF(X20=2,"ROJO · ","ÁMBAR · ")&amp;IF(NOT(IF(ISNUMBER($E$6),AND($E$6&gt;=0,$E$6&lt;=6,$E$6=INT($E$6)),FALSE)),"Indicamos entre 0 y 6 decimales en E6. ","")&amp;IF(O20=0,"Falta un ID numérico. ","")&amp;IF(R20=0,"Faltan capítulo, código, unidad o total numérico del ID. ","")&amp;IF(T20&gt;0,"Los datos o el total del ID se contradicen. ","")&amp;IF(AND(P20&lt;&gt;"DIMENSIONES",P20&lt;&gt;"DIRECTA",P20&lt;&gt;"SIN LÍNEAS",P20&lt;&gt;"CABECERA"),"Tipo de fila no reconocido. ","")&amp;IF(AND(OR(P20="SIN LÍNEAS",P20="CABECERA"),COUNTA(G20:J20)&gt;0),"La fila dice que no mide, pero contiene medidas. ","")&amp;IF(AND(OR(P20="DIRECTA",P20="DIMENSIONES"),U20=0),"Línea incompleta o con medidas no numéricas. ","")&amp;IF(P20="SIN LÍNEAS","No constan medidas de esta fila. ","")&amp;IF(Y20&gt;0,"Parece m³: tres dimensiones bajo m². ","")&amp;IF(AND(AB20&lt;&gt;"",SUMPRODUCT(--('LÉEME'!$B$65:$B$86=AC20))&lt;&gt;1),"Revisamos el significado de la unidad. ","")&amp;IF(Z20&gt;0,"Más precisión que los decimales indicados: cotejamos el original. ","")&amp;IF(AA20&gt;0,"Revisamos dimensiones, cantidad directa, ceros o deducción. ","")))</f>
        <v>ÁMBAR · Revisamos dimensiones, cantidad directa, ceros o deducción. </v>
      </c>
      <c r="O20" s="0" t="n">
        <f>IF(ISNUMBER(K20),IF(AND(K20&gt;0,K20=INT(K20),K20&lt;=999999),K20,0),0)</f>
        <v>3</v>
      </c>
      <c r="P20" s="0" t="str">
        <f>IF(COUNTA(B20:L20)=0,"",IF(L20="",IF(COUNTA(G20:J20)&gt;0,"DIMENSIONES","SIN LÍNEAS"),UPPER(TRIM(L20))))</f>
        <v>DIRECTA</v>
      </c>
      <c r="Q20" s="0" t="n">
        <f>IF(AND(O20&gt;0,LEN(TRIM(B20&amp;""))&gt;0,LEN(TRIM(C20&amp;""))&gt;0,LEN(TRIM(E20&amp;""))&gt;0,ISNUMBER(F20)),O20,"")</f>
        <v>3</v>
      </c>
      <c r="R20" s="0" t="n">
        <f>IF(O20=0,0,IF(COUNTIFS($Q$13:$Q$512,O20)&gt;0,MATCH(O20,$Q$13:$Q$512,0),0))</f>
        <v>8</v>
      </c>
      <c r="S20" s="0" t="str">
        <f>IF(AB20="","",IF(SUMPRODUCT(--('LÉEME'!$B$65:$B$86=AC20))=1,INDEX('LÉEME'!$C$65:$C$86,MATCH(AC20,'LÉEME'!$B$65:$B$86,0)),UPPER(TRIM(AB20))))</f>
        <v>m³</v>
      </c>
      <c r="T20" s="0" t="n">
        <f>IF(R20=0,0,IF(OR(AND(LEN(TRIM(B20&amp;""))&gt;0,UPPER(TRIM(B20&amp;""))&lt;&gt;UPPER(TRIM(INDEX($B$13:$B$512,R20)&amp;""))),AND(LEN(TRIM(C20&amp;""))&gt;0,UPPER(TRIM(C20&amp;""))&lt;&gt;UPPER(TRIM(INDEX($C$13:$C$512,R20)&amp;""))),AND(LEN(TRIM(E20&amp;""))&gt;0,S20&lt;&gt;INDEX($S$13:$S$512,R20)),AND(F20&lt;&gt;"",NOT(ISNUMBER(F20)))),1,IF(ISNUMBER(F20),IF(ABS(F20-INDEX($F$13:$F$512,R20))&gt;0.00000001,1,0),0)))</f>
        <v>0</v>
      </c>
      <c r="U20" s="0" t="n">
        <f>IF(P20="DIRECTA",IF(AND(ISNUMBER(G20),COUNTA(H20:J20)=0),1,0),IF(P20="DIMENSIONES",IF(AND(COUNT(G20:J20)&gt;0,COUNTA(G20:J20)=COUNT(G20:J20)),1,0),0))</f>
        <v>1</v>
      </c>
      <c r="V20" s="0" t="n">
        <f>IF(O20=0,0,IF(COUNTIFS($O$13:O20,O20)=1,1,0))</f>
        <v>1</v>
      </c>
      <c r="W20" s="0" t="n">
        <f>IF(V20=1,COUNTIFS($V$13:V20,1),"")</f>
        <v>3</v>
      </c>
      <c r="X20" s="0" t="n">
        <f>IF(COUNTA(B20:L20)=0,"",IF(OR(NOT(IF(ISNUMBER($E$6),AND($E$6&gt;=0,$E$6&lt;=6,$E$6=INT($E$6)),FALSE)),O20=0,R20=0,T20&gt;0,AND(P20&lt;&gt;"DIMENSIONES",P20&lt;&gt;"DIRECTA",P20&lt;&gt;"SIN LÍNEAS",P20&lt;&gt;"CABECERA"),AND(OR(P20="DIRECTA",P20="DIMENSIONES"),U20=0),AND(OR(P20="SIN LÍNEAS",P20="CABECERA"),COUNTA(G20:J20)&gt;0)),2,IF(OR(P20="SIN LÍNEAS",Y20&gt;0,Z20&gt;0,AA20&gt;0,SUMPRODUCT(--('LÉEME'!$B$65:$B$86=AC20))&lt;&gt;1),1,0)))</f>
        <v>1</v>
      </c>
      <c r="Y20" s="0" t="n">
        <f>IF(AND(P20="DIMENSIONES",S20="m²",COUNT(H20:J20)=3),1,0)</f>
        <v>0</v>
      </c>
      <c r="Z20" s="0" t="n">
        <f>IF(IF(ISNUMBER($E$6),AND($E$6&gt;=0,$E$6&lt;=6,$E$6=INT($E$6)),FALSE),IF(SUM(IF(ISNUMBER(F20),IF(ABS(F20-ROUND(F20,$E$6))&gt;0.00000001,1,0),0),IF(ISNUMBER(G20),IF(ABS(G20-ROUND(G20,$E$6))&gt;0.00000001,1,0),0),IF(ISNUMBER(H20),IF(ABS(H20-ROUND(H20,$E$6))&gt;0.00000001,1,0),0),IF(ISNUMBER(I20),IF(ABS(I20-ROUND(I20,$E$6))&gt;0.00000001,1,0),0),IF(ISNUMBER(J20),IF(ABS(J20-ROUND(J20,$E$6))&gt;0.00000001,1,0),0),IF(ISNUMBER(M20),IF(ABS(M20-ROUND(M20,$E$6))&gt;0.00000001,1,0),0))&gt;0,1,0),0)</f>
        <v>0</v>
      </c>
      <c r="AA20" s="0" t="n">
        <f>IF(COUNTA(B20:L20)=0,0,IF(OR(AND(ISNUMBER(F20),F20&lt;0),AND(U20=1,OR(SUM(IF(ISNUMBER(G20),IF(G20=0,1,0),0),IF(ISNUMBER(H20),IF(H20=0,1,0),0),IF(ISNUMBER(I20),IF(I20=0,1,0),0),IF(ISNUMBER(J20),IF(J20=0,1,0),0))&gt;0,COUNTIFS(G20:J20,"&lt;0")&gt;0)),AND(P20="DIMENSIONES",U20=1,OR(AND(S20="m",COUNT(H20:J20)&lt;&gt;1),AND(S20="m²",COUNT(H20:J20)&lt;&gt;2,Y20=0),AND(S20="m³",COUNT(H20:J20)&lt;&gt;3),AND(S20="ud",COUNT(H20:J20)&gt;0))),AND(P20="DIRECTA",OR(S20="m",S20="m²",S20="m³"))),1,0))</f>
        <v>1</v>
      </c>
      <c r="AB20" s="0" t="str">
        <f>IF(LEN(TRIM(E20&amp;""))&gt;0,E20,IF(R20&gt;0,INDEX($E$13:$E$512,R20),""))</f>
        <v>m³</v>
      </c>
      <c r="AC20" s="0" t="str">
        <f>UPPER(SUBSTITUTE(SUBSTITUTE(SUBSTITUTE(SUBSTITUTE(SUBSTITUTE(TRIM(AB20),"²","2"),"³","3"),"^",""),".","")," ",""))</f>
        <v>M3</v>
      </c>
    </row>
    <row r="21" ht="32.25" hidden="0" customHeight="1">
      <c r="B21" s="35" t="str">
        <v>Ejemplo · Equipamiento</v>
      </c>
      <c r="C21" s="35" t="str">
        <v>EQU-01</v>
      </c>
      <c r="D21" s="37" t="str">
        <v>Ejemplo real anonimizado · confirmamos cero frente a una unidad</v>
      </c>
      <c r="E21" s="35" t="str">
        <v>ud</v>
      </c>
      <c r="F21" s="38" t="n">
        <v>0</v>
      </c>
      <c r="G21" s="38" t="n">
        <v>1</v>
      </c>
      <c r="H21" s="38"/>
      <c r="I21" s="38"/>
      <c r="J21" s="38"/>
      <c r="K21" s="35" t="n">
        <v>4</v>
      </c>
      <c r="L21" s="35"/>
      <c r="M21" s="39" t="n">
        <f>IF(U21&lt;&gt;1,"",IF(P21="DIRECTA",G21,IF(ISNUMBER(G21),G21,1)*IF(ISNUMBER(H21),H21,1)*IF(ISNUMBER(I21),I21,1)*IF(ISNUMBER(J21),J21,1)))</f>
        <v>1</v>
      </c>
      <c r="N21" s="30" t="str">
        <f>IF(COUNTA(B21:L21)=0,"",IF(X21=0,IF(P21="CABECERA","VERDE · Fila descriptiva; la suma usa las líneas del ID","VERDE · Datos numéricos interpretables"),IF(X21=2,"ROJO · ","ÁMBAR · ")&amp;IF(NOT(IF(ISNUMBER($E$6),AND($E$6&gt;=0,$E$6&lt;=6,$E$6=INT($E$6)),FALSE)),"Indicamos entre 0 y 6 decimales en E6. ","")&amp;IF(O21=0,"Falta un ID numérico. ","")&amp;IF(R21=0,"Faltan capítulo, código, unidad o total numérico del ID. ","")&amp;IF(T21&gt;0,"Los datos o el total del ID se contradicen. ","")&amp;IF(AND(P21&lt;&gt;"DIMENSIONES",P21&lt;&gt;"DIRECTA",P21&lt;&gt;"SIN LÍNEAS",P21&lt;&gt;"CABECERA"),"Tipo de fila no reconocido. ","")&amp;IF(AND(OR(P21="SIN LÍNEAS",P21="CABECERA"),COUNTA(G21:J21)&gt;0),"La fila dice que no mide, pero contiene medidas. ","")&amp;IF(AND(OR(P21="DIRECTA",P21="DIMENSIONES"),U21=0),"Línea incompleta o con medidas no numéricas. ","")&amp;IF(P21="SIN LÍNEAS","No constan medidas de esta fila. ","")&amp;IF(Y21&gt;0,"Parece m³: tres dimensiones bajo m². ","")&amp;IF(AND(AB21&lt;&gt;"",SUMPRODUCT(--('LÉEME'!$B$65:$B$86=AC21))&lt;&gt;1),"Revisamos el significado de la unidad. ","")&amp;IF(Z21&gt;0,"Más precisión que los decimales indicados: cotejamos el original. ","")&amp;IF(AA21&gt;0,"Revisamos dimensiones, cantidad directa, ceros o deducción. ","")))</f>
        <v>VERDE · Datos numéricos interpretables</v>
      </c>
      <c r="O21" s="0" t="n">
        <f>IF(ISNUMBER(K21),IF(AND(K21&gt;0,K21=INT(K21),K21&lt;=999999),K21,0),0)</f>
        <v>4</v>
      </c>
      <c r="P21" s="0" t="str">
        <f>IF(COUNTA(B21:L21)=0,"",IF(L21="",IF(COUNTA(G21:J21)&gt;0,"DIMENSIONES","SIN LÍNEAS"),UPPER(TRIM(L21))))</f>
        <v>DIMENSIONES</v>
      </c>
      <c r="Q21" s="0" t="n">
        <f>IF(AND(O21&gt;0,LEN(TRIM(B21&amp;""))&gt;0,LEN(TRIM(C21&amp;""))&gt;0,LEN(TRIM(E21&amp;""))&gt;0,ISNUMBER(F21)),O21,"")</f>
        <v>4</v>
      </c>
      <c r="R21" s="0" t="n">
        <f>IF(O21=0,0,IF(COUNTIFS($Q$13:$Q$512,O21)&gt;0,MATCH(O21,$Q$13:$Q$512,0),0))</f>
        <v>9</v>
      </c>
      <c r="S21" s="0" t="str">
        <f>IF(AB21="","",IF(SUMPRODUCT(--('LÉEME'!$B$65:$B$86=AC21))=1,INDEX('LÉEME'!$C$65:$C$86,MATCH(AC21,'LÉEME'!$B$65:$B$86,0)),UPPER(TRIM(AB21))))</f>
        <v>ud</v>
      </c>
      <c r="T21" s="0" t="n">
        <f>IF(R21=0,0,IF(OR(AND(LEN(TRIM(B21&amp;""))&gt;0,UPPER(TRIM(B21&amp;""))&lt;&gt;UPPER(TRIM(INDEX($B$13:$B$512,R21)&amp;""))),AND(LEN(TRIM(C21&amp;""))&gt;0,UPPER(TRIM(C21&amp;""))&lt;&gt;UPPER(TRIM(INDEX($C$13:$C$512,R21)&amp;""))),AND(LEN(TRIM(E21&amp;""))&gt;0,S21&lt;&gt;INDEX($S$13:$S$512,R21)),AND(F21&lt;&gt;"",NOT(ISNUMBER(F21)))),1,IF(ISNUMBER(F21),IF(ABS(F21-INDEX($F$13:$F$512,R21))&gt;0.00000001,1,0),0)))</f>
        <v>0</v>
      </c>
      <c r="U21" s="0" t="n">
        <f>IF(P21="DIRECTA",IF(AND(ISNUMBER(G21),COUNTA(H21:J21)=0),1,0),IF(P21="DIMENSIONES",IF(AND(COUNT(G21:J21)&gt;0,COUNTA(G21:J21)=COUNT(G21:J21)),1,0),0))</f>
        <v>1</v>
      </c>
      <c r="V21" s="0" t="n">
        <f>IF(O21=0,0,IF(COUNTIFS($O$13:O21,O21)=1,1,0))</f>
        <v>1</v>
      </c>
      <c r="W21" s="0" t="n">
        <f>IF(V21=1,COUNTIFS($V$13:V21,1),"")</f>
        <v>4</v>
      </c>
      <c r="X21" s="0" t="n">
        <f>IF(COUNTA(B21:L21)=0,"",IF(OR(NOT(IF(ISNUMBER($E$6),AND($E$6&gt;=0,$E$6&lt;=6,$E$6=INT($E$6)),FALSE)),O21=0,R21=0,T21&gt;0,AND(P21&lt;&gt;"DIMENSIONES",P21&lt;&gt;"DIRECTA",P21&lt;&gt;"SIN LÍNEAS",P21&lt;&gt;"CABECERA"),AND(OR(P21="DIRECTA",P21="DIMENSIONES"),U21=0),AND(OR(P21="SIN LÍNEAS",P21="CABECERA"),COUNTA(G21:J21)&gt;0)),2,IF(OR(P21="SIN LÍNEAS",Y21&gt;0,Z21&gt;0,AA21&gt;0,SUMPRODUCT(--('LÉEME'!$B$65:$B$86=AC21))&lt;&gt;1),1,0)))</f>
        <v>0</v>
      </c>
      <c r="Y21" s="0" t="n">
        <f>IF(AND(P21="DIMENSIONES",S21="m²",COUNT(H21:J21)=3),1,0)</f>
        <v>0</v>
      </c>
      <c r="Z21" s="0" t="n">
        <f>IF(IF(ISNUMBER($E$6),AND($E$6&gt;=0,$E$6&lt;=6,$E$6=INT($E$6)),FALSE),IF(SUM(IF(ISNUMBER(F21),IF(ABS(F21-ROUND(F21,$E$6))&gt;0.00000001,1,0),0),IF(ISNUMBER(G21),IF(ABS(G21-ROUND(G21,$E$6))&gt;0.00000001,1,0),0),IF(ISNUMBER(H21),IF(ABS(H21-ROUND(H21,$E$6))&gt;0.00000001,1,0),0),IF(ISNUMBER(I21),IF(ABS(I21-ROUND(I21,$E$6))&gt;0.00000001,1,0),0),IF(ISNUMBER(J21),IF(ABS(J21-ROUND(J21,$E$6))&gt;0.00000001,1,0),0),IF(ISNUMBER(M21),IF(ABS(M21-ROUND(M21,$E$6))&gt;0.00000001,1,0),0))&gt;0,1,0),0)</f>
        <v>0</v>
      </c>
      <c r="AA21" s="0" t="n">
        <f>IF(COUNTA(B21:L21)=0,0,IF(OR(AND(ISNUMBER(F21),F21&lt;0),AND(U21=1,OR(SUM(IF(ISNUMBER(G21),IF(G21=0,1,0),0),IF(ISNUMBER(H21),IF(H21=0,1,0),0),IF(ISNUMBER(I21),IF(I21=0,1,0),0),IF(ISNUMBER(J21),IF(J21=0,1,0),0))&gt;0,COUNTIFS(G21:J21,"&lt;0")&gt;0)),AND(P21="DIMENSIONES",U21=1,OR(AND(S21="m",COUNT(H21:J21)&lt;&gt;1),AND(S21="m²",COUNT(H21:J21)&lt;&gt;2,Y21=0),AND(S21="m³",COUNT(H21:J21)&lt;&gt;3),AND(S21="ud",COUNT(H21:J21)&gt;0))),AND(P21="DIRECTA",OR(S21="m",S21="m²",S21="m³"))),1,0))</f>
        <v>0</v>
      </c>
      <c r="AB21" s="0" t="str">
        <f>IF(LEN(TRIM(E21&amp;""))&gt;0,E21,IF(R21&gt;0,INDEX($E$13:$E$512,R21),""))</f>
        <v>ud</v>
      </c>
      <c r="AC21" s="0" t="str">
        <f>UPPER(SUBSTITUTE(SUBSTITUTE(SUBSTITUTE(SUBSTITUTE(SUBSTITUTE(TRIM(AB21),"²","2"),"³","3"),"^",""),".","")," ",""))</f>
        <v>UD</v>
      </c>
    </row>
    <row r="22" ht="35" customHeight="1">
      <c r="B22" s="35"/>
      <c r="C22" s="35"/>
      <c r="D22" s="37"/>
      <c r="E22" s="35"/>
      <c r="F22" s="38"/>
      <c r="G22" s="38"/>
      <c r="H22" s="38"/>
      <c r="I22" s="38"/>
      <c r="J22" s="38"/>
      <c r="K22" s="35"/>
      <c r="L22" s="35"/>
      <c r="M22" s="39">
        <f>IF(U22&lt;&gt;1,"",IF(P22="DIRECTA",G22,IF(ISNUMBER(G22),G22,1)*IF(ISNUMBER(H22),H22,1)*IF(ISNUMBER(I22),I22,1)*IF(ISNUMBER(J22),J22,1)))</f>
      </c>
      <c r="N22" s="30">
        <f>IF(COUNTA(B22:L22)=0,"",IF(X22=0,IF(P22="CABECERA","VERDE · Fila descriptiva; la suma usa las líneas del ID","VERDE · Datos numéricos interpretables"),IF(X22=2,"ROJO · ","ÁMBAR · ")&amp;IF(NOT(IF(ISNUMBER($E$6),AND($E$6&gt;=0,$E$6&lt;=6,$E$6=INT($E$6)),FALSE)),"Indicamos entre 0 y 6 decimales en E6. ","")&amp;IF(O22=0,"Falta un ID numérico. ","")&amp;IF(R22=0,"Faltan capítulo, código, unidad o total numérico del ID. ","")&amp;IF(T22&gt;0,"Los datos o el total del ID se contradicen. ","")&amp;IF(AND(P22&lt;&gt;"DIMENSIONES",P22&lt;&gt;"DIRECTA",P22&lt;&gt;"SIN LÍNEAS",P22&lt;&gt;"CABECERA"),"Tipo de fila no reconocido. ","")&amp;IF(AND(OR(P22="SIN LÍNEAS",P22="CABECERA"),COUNTA(G22:J22)&gt;0),"La fila dice que no mide, pero contiene medidas. ","")&amp;IF(AND(OR(P22="DIRECTA",P22="DIMENSIONES"),U22=0),"Línea incompleta o con medidas no numéricas. ","")&amp;IF(P22="SIN LÍNEAS","No constan medidas de esta fila. ","")&amp;IF(Y22&gt;0,"Parece m³: tres dimensiones bajo m². ","")&amp;IF(AND(AB22&lt;&gt;"",SUMPRODUCT(--('LÉEME'!$B$65:$B$86=AC22))&lt;&gt;1),"Revisamos el significado de la unidad. ","")&amp;IF(Z22&gt;0,"Más precisión que los decimales indicados: cotejamos el original. ","")&amp;IF(AA22&gt;0,"Revisamos dimensiones, cantidad directa, ceros o deducción. ","")))</f>
      </c>
      <c r="O22" s="0" t="n">
        <f>IF(ISNUMBER(K22),IF(AND(K22&gt;0,K22=INT(K22),K22&lt;=999999),K22,0),0)</f>
        <v>0</v>
      </c>
      <c r="P22" s="0">
        <f>IF(COUNTA(B22:L22)=0,"",IF(L22="",IF(COUNTA(G22:J22)&gt;0,"DIMENSIONES","SIN LÍNEAS"),UPPER(TRIM(L22))))</f>
      </c>
      <c r="Q22" s="0">
        <f>IF(AND(O22&gt;0,LEN(TRIM(B22&amp;""))&gt;0,LEN(TRIM(C22&amp;""))&gt;0,LEN(TRIM(E22&amp;""))&gt;0,ISNUMBER(F22)),O22,"")</f>
      </c>
      <c r="R22" s="0" t="n">
        <f>IF(O22=0,0,IF(COUNTIFS($Q$13:$Q$512,O22)&gt;0,MATCH(O22,$Q$13:$Q$512,0),0))</f>
        <v>0</v>
      </c>
      <c r="S22" s="0">
        <f>IF(AB22="","",IF(SUMPRODUCT(--('LÉEME'!$B$65:$B$86=AC22))=1,INDEX('LÉEME'!$C$65:$C$86,MATCH(AC22,'LÉEME'!$B$65:$B$86,0)),UPPER(TRIM(AB22))))</f>
      </c>
      <c r="T22" s="0" t="n">
        <f>IF(R22=0,0,IF(OR(AND(LEN(TRIM(B22&amp;""))&gt;0,UPPER(TRIM(B22&amp;""))&lt;&gt;UPPER(TRIM(INDEX($B$13:$B$512,R22)&amp;""))),AND(LEN(TRIM(C22&amp;""))&gt;0,UPPER(TRIM(C22&amp;""))&lt;&gt;UPPER(TRIM(INDEX($C$13:$C$512,R22)&amp;""))),AND(LEN(TRIM(E22&amp;""))&gt;0,S22&lt;&gt;INDEX($S$13:$S$512,R22)),AND(F22&lt;&gt;"",NOT(ISNUMBER(F22)))),1,IF(ISNUMBER(F22),IF(ABS(F22-INDEX($F$13:$F$512,R22))&gt;0.00000001,1,0),0)))</f>
        <v>0</v>
      </c>
      <c r="U22" s="0" t="n">
        <f>IF(P22="DIRECTA",IF(AND(ISNUMBER(G22),COUNTA(H22:J22)=0),1,0),IF(P22="DIMENSIONES",IF(AND(COUNT(G22:J22)&gt;0,COUNTA(G22:J22)=COUNT(G22:J22)),1,0),0))</f>
        <v>0</v>
      </c>
      <c r="V22" s="0" t="n">
        <f>IF(O22=0,0,IF(COUNTIFS($O$13:O22,O22)=1,1,0))</f>
        <v>0</v>
      </c>
      <c r="W22" s="0">
        <f>IF(V22=1,COUNTIFS($V$13:V22,1),"")</f>
      </c>
      <c r="X22" s="0">
        <f>IF(COUNTA(B22:L22)=0,"",IF(OR(NOT(IF(ISNUMBER($E$6),AND($E$6&gt;=0,$E$6&lt;=6,$E$6=INT($E$6)),FALSE)),O22=0,R22=0,T22&gt;0,AND(P22&lt;&gt;"DIMENSIONES",P22&lt;&gt;"DIRECTA",P22&lt;&gt;"SIN LÍNEAS",P22&lt;&gt;"CABECERA"),AND(OR(P22="DIRECTA",P22="DIMENSIONES"),U22=0),AND(OR(P22="SIN LÍNEAS",P22="CABECERA"),COUNTA(G22:J22)&gt;0)),2,IF(OR(P22="SIN LÍNEAS",Y22&gt;0,Z22&gt;0,AA22&gt;0,SUMPRODUCT(--('LÉEME'!$B$65:$B$86=AC22))&lt;&gt;1),1,0)))</f>
      </c>
      <c r="Y22" s="0" t="n">
        <f>IF(AND(P22="DIMENSIONES",S22="m²",COUNT(H22:J22)=3),1,0)</f>
        <v>0</v>
      </c>
      <c r="Z22" s="0" t="n">
        <f>IF(IF(ISNUMBER($E$6),AND($E$6&gt;=0,$E$6&lt;=6,$E$6=INT($E$6)),FALSE),IF(SUM(IF(ISNUMBER(F22),IF(ABS(F22-ROUND(F22,$E$6))&gt;0.00000001,1,0),0),IF(ISNUMBER(G22),IF(ABS(G22-ROUND(G22,$E$6))&gt;0.00000001,1,0),0),IF(ISNUMBER(H22),IF(ABS(H22-ROUND(H22,$E$6))&gt;0.00000001,1,0),0),IF(ISNUMBER(I22),IF(ABS(I22-ROUND(I22,$E$6))&gt;0.00000001,1,0),0),IF(ISNUMBER(J22),IF(ABS(J22-ROUND(J22,$E$6))&gt;0.00000001,1,0),0),IF(ISNUMBER(M22),IF(ABS(M22-ROUND(M22,$E$6))&gt;0.00000001,1,0),0))&gt;0,1,0),0)</f>
        <v>0</v>
      </c>
      <c r="AA22" s="0" t="n">
        <f>IF(COUNTA(B22:L22)=0,0,IF(OR(AND(ISNUMBER(F22),F22&lt;0),AND(U22=1,OR(SUM(IF(ISNUMBER(G22),IF(G22=0,1,0),0),IF(ISNUMBER(H22),IF(H22=0,1,0),0),IF(ISNUMBER(I22),IF(I22=0,1,0),0),IF(ISNUMBER(J22),IF(J22=0,1,0),0))&gt;0,COUNTIFS(G22:J22,"&lt;0")&gt;0)),AND(P22="DIMENSIONES",U22=1,OR(AND(S22="m",COUNT(H22:J22)&lt;&gt;1),AND(S22="m²",COUNT(H22:J22)&lt;&gt;2,Y22=0),AND(S22="m³",COUNT(H22:J22)&lt;&gt;3),AND(S22="ud",COUNT(H22:J22)&gt;0))),AND(P22="DIRECTA",OR(S22="m",S22="m²",S22="m³"))),1,0))</f>
        <v>0</v>
      </c>
      <c r="AB22" s="0">
        <f>IF(LEN(TRIM(E22&amp;""))&gt;0,E22,IF(R22&gt;0,INDEX($E$13:$E$512,R22),""))</f>
      </c>
      <c r="AC22" s="0">
        <f>UPPER(SUBSTITUTE(SUBSTITUTE(SUBSTITUTE(SUBSTITUTE(SUBSTITUTE(TRIM(AB22),"²","2"),"³","3"),"^",""),".","")," ",""))</f>
      </c>
    </row>
    <row r="23" ht="35" customHeight="1">
      <c r="B23" s="35"/>
      <c r="C23" s="35"/>
      <c r="D23" s="37"/>
      <c r="E23" s="35"/>
      <c r="F23" s="38"/>
      <c r="G23" s="38"/>
      <c r="H23" s="38"/>
      <c r="I23" s="38"/>
      <c r="J23" s="38"/>
      <c r="K23" s="35"/>
      <c r="L23" s="35"/>
      <c r="M23" s="39">
        <f>IF(U23&lt;&gt;1,"",IF(P23="DIRECTA",G23,IF(ISNUMBER(G23),G23,1)*IF(ISNUMBER(H23),H23,1)*IF(ISNUMBER(I23),I23,1)*IF(ISNUMBER(J23),J23,1)))</f>
      </c>
      <c r="N23" s="30">
        <f>IF(COUNTA(B23:L23)=0,"",IF(X23=0,IF(P23="CABECERA","VERDE · Fila descriptiva; la suma usa las líneas del ID","VERDE · Datos numéricos interpretables"),IF(X23=2,"ROJO · ","ÁMBAR · ")&amp;IF(NOT(IF(ISNUMBER($E$6),AND($E$6&gt;=0,$E$6&lt;=6,$E$6=INT($E$6)),FALSE)),"Indicamos entre 0 y 6 decimales en E6. ","")&amp;IF(O23=0,"Falta un ID numérico. ","")&amp;IF(R23=0,"Faltan capítulo, código, unidad o total numérico del ID. ","")&amp;IF(T23&gt;0,"Los datos o el total del ID se contradicen. ","")&amp;IF(AND(P23&lt;&gt;"DIMENSIONES",P23&lt;&gt;"DIRECTA",P23&lt;&gt;"SIN LÍNEAS",P23&lt;&gt;"CABECERA"),"Tipo de fila no reconocido. ","")&amp;IF(AND(OR(P23="SIN LÍNEAS",P23="CABECERA"),COUNTA(G23:J23)&gt;0),"La fila dice que no mide, pero contiene medidas. ","")&amp;IF(AND(OR(P23="DIRECTA",P23="DIMENSIONES"),U23=0),"Línea incompleta o con medidas no numéricas. ","")&amp;IF(P23="SIN LÍNEAS","No constan medidas de esta fila. ","")&amp;IF(Y23&gt;0,"Parece m³: tres dimensiones bajo m². ","")&amp;IF(AND(AB23&lt;&gt;"",SUMPRODUCT(--('LÉEME'!$B$65:$B$86=AC23))&lt;&gt;1),"Revisamos el significado de la unidad. ","")&amp;IF(Z23&gt;0,"Más precisión que los decimales indicados: cotejamos el original. ","")&amp;IF(AA23&gt;0,"Revisamos dimensiones, cantidad directa, ceros o deducción. ","")))</f>
      </c>
      <c r="O23" s="0" t="n">
        <f>IF(ISNUMBER(K23),IF(AND(K23&gt;0,K23=INT(K23),K23&lt;=999999),K23,0),0)</f>
        <v>0</v>
      </c>
      <c r="P23" s="0">
        <f>IF(COUNTA(B23:L23)=0,"",IF(L23="",IF(COUNTA(G23:J23)&gt;0,"DIMENSIONES","SIN LÍNEAS"),UPPER(TRIM(L23))))</f>
      </c>
      <c r="Q23" s="0">
        <f>IF(AND(O23&gt;0,LEN(TRIM(B23&amp;""))&gt;0,LEN(TRIM(C23&amp;""))&gt;0,LEN(TRIM(E23&amp;""))&gt;0,ISNUMBER(F23)),O23,"")</f>
      </c>
      <c r="R23" s="0" t="n">
        <f>IF(O23=0,0,IF(COUNTIFS($Q$13:$Q$512,O23)&gt;0,MATCH(O23,$Q$13:$Q$512,0),0))</f>
        <v>0</v>
      </c>
      <c r="S23" s="0">
        <f>IF(AB23="","",IF(SUMPRODUCT(--('LÉEME'!$B$65:$B$86=AC23))=1,INDEX('LÉEME'!$C$65:$C$86,MATCH(AC23,'LÉEME'!$B$65:$B$86,0)),UPPER(TRIM(AB23))))</f>
      </c>
      <c r="T23" s="0" t="n">
        <f>IF(R23=0,0,IF(OR(AND(LEN(TRIM(B23&amp;""))&gt;0,UPPER(TRIM(B23&amp;""))&lt;&gt;UPPER(TRIM(INDEX($B$13:$B$512,R23)&amp;""))),AND(LEN(TRIM(C23&amp;""))&gt;0,UPPER(TRIM(C23&amp;""))&lt;&gt;UPPER(TRIM(INDEX($C$13:$C$512,R23)&amp;""))),AND(LEN(TRIM(E23&amp;""))&gt;0,S23&lt;&gt;INDEX($S$13:$S$512,R23)),AND(F23&lt;&gt;"",NOT(ISNUMBER(F23)))),1,IF(ISNUMBER(F23),IF(ABS(F23-INDEX($F$13:$F$512,R23))&gt;0.00000001,1,0),0)))</f>
        <v>0</v>
      </c>
      <c r="U23" s="0" t="n">
        <f>IF(P23="DIRECTA",IF(AND(ISNUMBER(G23),COUNTA(H23:J23)=0),1,0),IF(P23="DIMENSIONES",IF(AND(COUNT(G23:J23)&gt;0,COUNTA(G23:J23)=COUNT(G23:J23)),1,0),0))</f>
        <v>0</v>
      </c>
      <c r="V23" s="0" t="n">
        <f>IF(O23=0,0,IF(COUNTIFS($O$13:O23,O23)=1,1,0))</f>
        <v>0</v>
      </c>
      <c r="W23" s="0">
        <f>IF(V23=1,COUNTIFS($V$13:V23,1),"")</f>
      </c>
      <c r="X23" s="0">
        <f>IF(COUNTA(B23:L23)=0,"",IF(OR(NOT(IF(ISNUMBER($E$6),AND($E$6&gt;=0,$E$6&lt;=6,$E$6=INT($E$6)),FALSE)),O23=0,R23=0,T23&gt;0,AND(P23&lt;&gt;"DIMENSIONES",P23&lt;&gt;"DIRECTA",P23&lt;&gt;"SIN LÍNEAS",P23&lt;&gt;"CABECERA"),AND(OR(P23="DIRECTA",P23="DIMENSIONES"),U23=0),AND(OR(P23="SIN LÍNEAS",P23="CABECERA"),COUNTA(G23:J23)&gt;0)),2,IF(OR(P23="SIN LÍNEAS",Y23&gt;0,Z23&gt;0,AA23&gt;0,SUMPRODUCT(--('LÉEME'!$B$65:$B$86=AC23))&lt;&gt;1),1,0)))</f>
      </c>
      <c r="Y23" s="0" t="n">
        <f>IF(AND(P23="DIMENSIONES",S23="m²",COUNT(H23:J23)=3),1,0)</f>
        <v>0</v>
      </c>
      <c r="Z23" s="0" t="n">
        <f>IF(IF(ISNUMBER($E$6),AND($E$6&gt;=0,$E$6&lt;=6,$E$6=INT($E$6)),FALSE),IF(SUM(IF(ISNUMBER(F23),IF(ABS(F23-ROUND(F23,$E$6))&gt;0.00000001,1,0),0),IF(ISNUMBER(G23),IF(ABS(G23-ROUND(G23,$E$6))&gt;0.00000001,1,0),0),IF(ISNUMBER(H23),IF(ABS(H23-ROUND(H23,$E$6))&gt;0.00000001,1,0),0),IF(ISNUMBER(I23),IF(ABS(I23-ROUND(I23,$E$6))&gt;0.00000001,1,0),0),IF(ISNUMBER(J23),IF(ABS(J23-ROUND(J23,$E$6))&gt;0.00000001,1,0),0),IF(ISNUMBER(M23),IF(ABS(M23-ROUND(M23,$E$6))&gt;0.00000001,1,0),0))&gt;0,1,0),0)</f>
        <v>0</v>
      </c>
      <c r="AA23" s="0" t="n">
        <f>IF(COUNTA(B23:L23)=0,0,IF(OR(AND(ISNUMBER(F23),F23&lt;0),AND(U23=1,OR(SUM(IF(ISNUMBER(G23),IF(G23=0,1,0),0),IF(ISNUMBER(H23),IF(H23=0,1,0),0),IF(ISNUMBER(I23),IF(I23=0,1,0),0),IF(ISNUMBER(J23),IF(J23=0,1,0),0))&gt;0,COUNTIFS(G23:J23,"&lt;0")&gt;0)),AND(P23="DIMENSIONES",U23=1,OR(AND(S23="m",COUNT(H23:J23)&lt;&gt;1),AND(S23="m²",COUNT(H23:J23)&lt;&gt;2,Y23=0),AND(S23="m³",COUNT(H23:J23)&lt;&gt;3),AND(S23="ud",COUNT(H23:J23)&gt;0))),AND(P23="DIRECTA",OR(S23="m",S23="m²",S23="m³"))),1,0))</f>
        <v>0</v>
      </c>
      <c r="AB23" s="0">
        <f>IF(LEN(TRIM(E23&amp;""))&gt;0,E23,IF(R23&gt;0,INDEX($E$13:$E$512,R23),""))</f>
      </c>
      <c r="AC23" s="0">
        <f>UPPER(SUBSTITUTE(SUBSTITUTE(SUBSTITUTE(SUBSTITUTE(SUBSTITUTE(TRIM(AB23),"²","2"),"³","3"),"^",""),".","")," ",""))</f>
      </c>
    </row>
    <row r="24" ht="35" customHeight="1">
      <c r="B24" s="35"/>
      <c r="C24" s="35"/>
      <c r="D24" s="37"/>
      <c r="E24" s="35"/>
      <c r="F24" s="38"/>
      <c r="G24" s="38"/>
      <c r="H24" s="38"/>
      <c r="I24" s="38"/>
      <c r="J24" s="38"/>
      <c r="K24" s="35"/>
      <c r="L24" s="35"/>
      <c r="M24" s="39">
        <f>IF(U24&lt;&gt;1,"",IF(P24="DIRECTA",G24,IF(ISNUMBER(G24),G24,1)*IF(ISNUMBER(H24),H24,1)*IF(ISNUMBER(I24),I24,1)*IF(ISNUMBER(J24),J24,1)))</f>
      </c>
      <c r="N24" s="30">
        <f>IF(COUNTA(B24:L24)=0,"",IF(X24=0,IF(P24="CABECERA","VERDE · Fila descriptiva; la suma usa las líneas del ID","VERDE · Datos numéricos interpretables"),IF(X24=2,"ROJO · ","ÁMBAR · ")&amp;IF(NOT(IF(ISNUMBER($E$6),AND($E$6&gt;=0,$E$6&lt;=6,$E$6=INT($E$6)),FALSE)),"Indicamos entre 0 y 6 decimales en E6. ","")&amp;IF(O24=0,"Falta un ID numérico. ","")&amp;IF(R24=0,"Faltan capítulo, código, unidad o total numérico del ID. ","")&amp;IF(T24&gt;0,"Los datos o el total del ID se contradicen. ","")&amp;IF(AND(P24&lt;&gt;"DIMENSIONES",P24&lt;&gt;"DIRECTA",P24&lt;&gt;"SIN LÍNEAS",P24&lt;&gt;"CABECERA"),"Tipo de fila no reconocido. ","")&amp;IF(AND(OR(P24="SIN LÍNEAS",P24="CABECERA"),COUNTA(G24:J24)&gt;0),"La fila dice que no mide, pero contiene medidas. ","")&amp;IF(AND(OR(P24="DIRECTA",P24="DIMENSIONES"),U24=0),"Línea incompleta o con medidas no numéricas. ","")&amp;IF(P24="SIN LÍNEAS","No constan medidas de esta fila. ","")&amp;IF(Y24&gt;0,"Parece m³: tres dimensiones bajo m². ","")&amp;IF(AND(AB24&lt;&gt;"",SUMPRODUCT(--('LÉEME'!$B$65:$B$86=AC24))&lt;&gt;1),"Revisamos el significado de la unidad. ","")&amp;IF(Z24&gt;0,"Más precisión que los decimales indicados: cotejamos el original. ","")&amp;IF(AA24&gt;0,"Revisamos dimensiones, cantidad directa, ceros o deducción. ","")))</f>
      </c>
      <c r="O24" s="0" t="n">
        <f>IF(ISNUMBER(K24),IF(AND(K24&gt;0,K24=INT(K24),K24&lt;=999999),K24,0),0)</f>
        <v>0</v>
      </c>
      <c r="P24" s="0">
        <f>IF(COUNTA(B24:L24)=0,"",IF(L24="",IF(COUNTA(G24:J24)&gt;0,"DIMENSIONES","SIN LÍNEAS"),UPPER(TRIM(L24))))</f>
      </c>
      <c r="Q24" s="0">
        <f>IF(AND(O24&gt;0,LEN(TRIM(B24&amp;""))&gt;0,LEN(TRIM(C24&amp;""))&gt;0,LEN(TRIM(E24&amp;""))&gt;0,ISNUMBER(F24)),O24,"")</f>
      </c>
      <c r="R24" s="0" t="n">
        <f>IF(O24=0,0,IF(COUNTIFS($Q$13:$Q$512,O24)&gt;0,MATCH(O24,$Q$13:$Q$512,0),0))</f>
        <v>0</v>
      </c>
      <c r="S24" s="0">
        <f>IF(AB24="","",IF(SUMPRODUCT(--('LÉEME'!$B$65:$B$86=AC24))=1,INDEX('LÉEME'!$C$65:$C$86,MATCH(AC24,'LÉEME'!$B$65:$B$86,0)),UPPER(TRIM(AB24))))</f>
      </c>
      <c r="T24" s="0" t="n">
        <f>IF(R24=0,0,IF(OR(AND(LEN(TRIM(B24&amp;""))&gt;0,UPPER(TRIM(B24&amp;""))&lt;&gt;UPPER(TRIM(INDEX($B$13:$B$512,R24)&amp;""))),AND(LEN(TRIM(C24&amp;""))&gt;0,UPPER(TRIM(C24&amp;""))&lt;&gt;UPPER(TRIM(INDEX($C$13:$C$512,R24)&amp;""))),AND(LEN(TRIM(E24&amp;""))&gt;0,S24&lt;&gt;INDEX($S$13:$S$512,R24)),AND(F24&lt;&gt;"",NOT(ISNUMBER(F24)))),1,IF(ISNUMBER(F24),IF(ABS(F24-INDEX($F$13:$F$512,R24))&gt;0.00000001,1,0),0)))</f>
        <v>0</v>
      </c>
      <c r="U24" s="0" t="n">
        <f>IF(P24="DIRECTA",IF(AND(ISNUMBER(G24),COUNTA(H24:J24)=0),1,0),IF(P24="DIMENSIONES",IF(AND(COUNT(G24:J24)&gt;0,COUNTA(G24:J24)=COUNT(G24:J24)),1,0),0))</f>
        <v>0</v>
      </c>
      <c r="V24" s="0" t="n">
        <f>IF(O24=0,0,IF(COUNTIFS($O$13:O24,O24)=1,1,0))</f>
        <v>0</v>
      </c>
      <c r="W24" s="0">
        <f>IF(V24=1,COUNTIFS($V$13:V24,1),"")</f>
      </c>
      <c r="X24" s="0">
        <f>IF(COUNTA(B24:L24)=0,"",IF(OR(NOT(IF(ISNUMBER($E$6),AND($E$6&gt;=0,$E$6&lt;=6,$E$6=INT($E$6)),FALSE)),O24=0,R24=0,T24&gt;0,AND(P24&lt;&gt;"DIMENSIONES",P24&lt;&gt;"DIRECTA",P24&lt;&gt;"SIN LÍNEAS",P24&lt;&gt;"CABECERA"),AND(OR(P24="DIRECTA",P24="DIMENSIONES"),U24=0),AND(OR(P24="SIN LÍNEAS",P24="CABECERA"),COUNTA(G24:J24)&gt;0)),2,IF(OR(P24="SIN LÍNEAS",Y24&gt;0,Z24&gt;0,AA24&gt;0,SUMPRODUCT(--('LÉEME'!$B$65:$B$86=AC24))&lt;&gt;1),1,0)))</f>
      </c>
      <c r="Y24" s="0" t="n">
        <f>IF(AND(P24="DIMENSIONES",S24="m²",COUNT(H24:J24)=3),1,0)</f>
        <v>0</v>
      </c>
      <c r="Z24" s="0" t="n">
        <f>IF(IF(ISNUMBER($E$6),AND($E$6&gt;=0,$E$6&lt;=6,$E$6=INT($E$6)),FALSE),IF(SUM(IF(ISNUMBER(F24),IF(ABS(F24-ROUND(F24,$E$6))&gt;0.00000001,1,0),0),IF(ISNUMBER(G24),IF(ABS(G24-ROUND(G24,$E$6))&gt;0.00000001,1,0),0),IF(ISNUMBER(H24),IF(ABS(H24-ROUND(H24,$E$6))&gt;0.00000001,1,0),0),IF(ISNUMBER(I24),IF(ABS(I24-ROUND(I24,$E$6))&gt;0.00000001,1,0),0),IF(ISNUMBER(J24),IF(ABS(J24-ROUND(J24,$E$6))&gt;0.00000001,1,0),0),IF(ISNUMBER(M24),IF(ABS(M24-ROUND(M24,$E$6))&gt;0.00000001,1,0),0))&gt;0,1,0),0)</f>
        <v>0</v>
      </c>
      <c r="AA24" s="0" t="n">
        <f>IF(COUNTA(B24:L24)=0,0,IF(OR(AND(ISNUMBER(F24),F24&lt;0),AND(U24=1,OR(SUM(IF(ISNUMBER(G24),IF(G24=0,1,0),0),IF(ISNUMBER(H24),IF(H24=0,1,0),0),IF(ISNUMBER(I24),IF(I24=0,1,0),0),IF(ISNUMBER(J24),IF(J24=0,1,0),0))&gt;0,COUNTIFS(G24:J24,"&lt;0")&gt;0)),AND(P24="DIMENSIONES",U24=1,OR(AND(S24="m",COUNT(H24:J24)&lt;&gt;1),AND(S24="m²",COUNT(H24:J24)&lt;&gt;2,Y24=0),AND(S24="m³",COUNT(H24:J24)&lt;&gt;3),AND(S24="ud",COUNT(H24:J24)&gt;0))),AND(P24="DIRECTA",OR(S24="m",S24="m²",S24="m³"))),1,0))</f>
        <v>0</v>
      </c>
      <c r="AB24" s="0">
        <f>IF(LEN(TRIM(E24&amp;""))&gt;0,E24,IF(R24&gt;0,INDEX($E$13:$E$512,R24),""))</f>
      </c>
      <c r="AC24" s="0">
        <f>UPPER(SUBSTITUTE(SUBSTITUTE(SUBSTITUTE(SUBSTITUTE(SUBSTITUTE(TRIM(AB24),"²","2"),"³","3"),"^",""),".","")," ",""))</f>
      </c>
    </row>
    <row r="25" ht="35" customHeight="1">
      <c r="B25" s="35"/>
      <c r="C25" s="35"/>
      <c r="D25" s="37"/>
      <c r="E25" s="35"/>
      <c r="F25" s="38"/>
      <c r="G25" s="38"/>
      <c r="H25" s="38"/>
      <c r="I25" s="38"/>
      <c r="J25" s="38"/>
      <c r="K25" s="35"/>
      <c r="L25" s="35"/>
      <c r="M25" s="39">
        <f>IF(U25&lt;&gt;1,"",IF(P25="DIRECTA",G25,IF(ISNUMBER(G25),G25,1)*IF(ISNUMBER(H25),H25,1)*IF(ISNUMBER(I25),I25,1)*IF(ISNUMBER(J25),J25,1)))</f>
      </c>
      <c r="N25" s="30">
        <f>IF(COUNTA(B25:L25)=0,"",IF(X25=0,IF(P25="CABECERA","VERDE · Fila descriptiva; la suma usa las líneas del ID","VERDE · Datos numéricos interpretables"),IF(X25=2,"ROJO · ","ÁMBAR · ")&amp;IF(NOT(IF(ISNUMBER($E$6),AND($E$6&gt;=0,$E$6&lt;=6,$E$6=INT($E$6)),FALSE)),"Indicamos entre 0 y 6 decimales en E6. ","")&amp;IF(O25=0,"Falta un ID numérico. ","")&amp;IF(R25=0,"Faltan capítulo, código, unidad o total numérico del ID. ","")&amp;IF(T25&gt;0,"Los datos o el total del ID se contradicen. ","")&amp;IF(AND(P25&lt;&gt;"DIMENSIONES",P25&lt;&gt;"DIRECTA",P25&lt;&gt;"SIN LÍNEAS",P25&lt;&gt;"CABECERA"),"Tipo de fila no reconocido. ","")&amp;IF(AND(OR(P25="SIN LÍNEAS",P25="CABECERA"),COUNTA(G25:J25)&gt;0),"La fila dice que no mide, pero contiene medidas. ","")&amp;IF(AND(OR(P25="DIRECTA",P25="DIMENSIONES"),U25=0),"Línea incompleta o con medidas no numéricas. ","")&amp;IF(P25="SIN LÍNEAS","No constan medidas de esta fila. ","")&amp;IF(Y25&gt;0,"Parece m³: tres dimensiones bajo m². ","")&amp;IF(AND(AB25&lt;&gt;"",SUMPRODUCT(--('LÉEME'!$B$65:$B$86=AC25))&lt;&gt;1),"Revisamos el significado de la unidad. ","")&amp;IF(Z25&gt;0,"Más precisión que los decimales indicados: cotejamos el original. ","")&amp;IF(AA25&gt;0,"Revisamos dimensiones, cantidad directa, ceros o deducción. ","")))</f>
      </c>
      <c r="O25" s="0" t="n">
        <f>IF(ISNUMBER(K25),IF(AND(K25&gt;0,K25=INT(K25),K25&lt;=999999),K25,0),0)</f>
        <v>0</v>
      </c>
      <c r="P25" s="0">
        <f>IF(COUNTA(B25:L25)=0,"",IF(L25="",IF(COUNTA(G25:J25)&gt;0,"DIMENSIONES","SIN LÍNEAS"),UPPER(TRIM(L25))))</f>
      </c>
      <c r="Q25" s="0">
        <f>IF(AND(O25&gt;0,LEN(TRIM(B25&amp;""))&gt;0,LEN(TRIM(C25&amp;""))&gt;0,LEN(TRIM(E25&amp;""))&gt;0,ISNUMBER(F25)),O25,"")</f>
      </c>
      <c r="R25" s="0" t="n">
        <f>IF(O25=0,0,IF(COUNTIFS($Q$13:$Q$512,O25)&gt;0,MATCH(O25,$Q$13:$Q$512,0),0))</f>
        <v>0</v>
      </c>
      <c r="S25" s="0">
        <f>IF(AB25="","",IF(SUMPRODUCT(--('LÉEME'!$B$65:$B$86=AC25))=1,INDEX('LÉEME'!$C$65:$C$86,MATCH(AC25,'LÉEME'!$B$65:$B$86,0)),UPPER(TRIM(AB25))))</f>
      </c>
      <c r="T25" s="0" t="n">
        <f>IF(R25=0,0,IF(OR(AND(LEN(TRIM(B25&amp;""))&gt;0,UPPER(TRIM(B25&amp;""))&lt;&gt;UPPER(TRIM(INDEX($B$13:$B$512,R25)&amp;""))),AND(LEN(TRIM(C25&amp;""))&gt;0,UPPER(TRIM(C25&amp;""))&lt;&gt;UPPER(TRIM(INDEX($C$13:$C$512,R25)&amp;""))),AND(LEN(TRIM(E25&amp;""))&gt;0,S25&lt;&gt;INDEX($S$13:$S$512,R25)),AND(F25&lt;&gt;"",NOT(ISNUMBER(F25)))),1,IF(ISNUMBER(F25),IF(ABS(F25-INDEX($F$13:$F$512,R25))&gt;0.00000001,1,0),0)))</f>
        <v>0</v>
      </c>
      <c r="U25" s="0" t="n">
        <f>IF(P25="DIRECTA",IF(AND(ISNUMBER(G25),COUNTA(H25:J25)=0),1,0),IF(P25="DIMENSIONES",IF(AND(COUNT(G25:J25)&gt;0,COUNTA(G25:J25)=COUNT(G25:J25)),1,0),0))</f>
        <v>0</v>
      </c>
      <c r="V25" s="0" t="n">
        <f>IF(O25=0,0,IF(COUNTIFS($O$13:O25,O25)=1,1,0))</f>
        <v>0</v>
      </c>
      <c r="W25" s="0">
        <f>IF(V25=1,COUNTIFS($V$13:V25,1),"")</f>
      </c>
      <c r="X25" s="0">
        <f>IF(COUNTA(B25:L25)=0,"",IF(OR(NOT(IF(ISNUMBER($E$6),AND($E$6&gt;=0,$E$6&lt;=6,$E$6=INT($E$6)),FALSE)),O25=0,R25=0,T25&gt;0,AND(P25&lt;&gt;"DIMENSIONES",P25&lt;&gt;"DIRECTA",P25&lt;&gt;"SIN LÍNEAS",P25&lt;&gt;"CABECERA"),AND(OR(P25="DIRECTA",P25="DIMENSIONES"),U25=0),AND(OR(P25="SIN LÍNEAS",P25="CABECERA"),COUNTA(G25:J25)&gt;0)),2,IF(OR(P25="SIN LÍNEAS",Y25&gt;0,Z25&gt;0,AA25&gt;0,SUMPRODUCT(--('LÉEME'!$B$65:$B$86=AC25))&lt;&gt;1),1,0)))</f>
      </c>
      <c r="Y25" s="0" t="n">
        <f>IF(AND(P25="DIMENSIONES",S25="m²",COUNT(H25:J25)=3),1,0)</f>
        <v>0</v>
      </c>
      <c r="Z25" s="0" t="n">
        <f>IF(IF(ISNUMBER($E$6),AND($E$6&gt;=0,$E$6&lt;=6,$E$6=INT($E$6)),FALSE),IF(SUM(IF(ISNUMBER(F25),IF(ABS(F25-ROUND(F25,$E$6))&gt;0.00000001,1,0),0),IF(ISNUMBER(G25),IF(ABS(G25-ROUND(G25,$E$6))&gt;0.00000001,1,0),0),IF(ISNUMBER(H25),IF(ABS(H25-ROUND(H25,$E$6))&gt;0.00000001,1,0),0),IF(ISNUMBER(I25),IF(ABS(I25-ROUND(I25,$E$6))&gt;0.00000001,1,0),0),IF(ISNUMBER(J25),IF(ABS(J25-ROUND(J25,$E$6))&gt;0.00000001,1,0),0),IF(ISNUMBER(M25),IF(ABS(M25-ROUND(M25,$E$6))&gt;0.00000001,1,0),0))&gt;0,1,0),0)</f>
        <v>0</v>
      </c>
      <c r="AA25" s="0" t="n">
        <f>IF(COUNTA(B25:L25)=0,0,IF(OR(AND(ISNUMBER(F25),F25&lt;0),AND(U25=1,OR(SUM(IF(ISNUMBER(G25),IF(G25=0,1,0),0),IF(ISNUMBER(H25),IF(H25=0,1,0),0),IF(ISNUMBER(I25),IF(I25=0,1,0),0),IF(ISNUMBER(J25),IF(J25=0,1,0),0))&gt;0,COUNTIFS(G25:J25,"&lt;0")&gt;0)),AND(P25="DIMENSIONES",U25=1,OR(AND(S25="m",COUNT(H25:J25)&lt;&gt;1),AND(S25="m²",COUNT(H25:J25)&lt;&gt;2,Y25=0),AND(S25="m³",COUNT(H25:J25)&lt;&gt;3),AND(S25="ud",COUNT(H25:J25)&gt;0))),AND(P25="DIRECTA",OR(S25="m",S25="m²",S25="m³"))),1,0))</f>
        <v>0</v>
      </c>
      <c r="AB25" s="0">
        <f>IF(LEN(TRIM(E25&amp;""))&gt;0,E25,IF(R25&gt;0,INDEX($E$13:$E$512,R25),""))</f>
      </c>
      <c r="AC25" s="0">
        <f>UPPER(SUBSTITUTE(SUBSTITUTE(SUBSTITUTE(SUBSTITUTE(SUBSTITUTE(TRIM(AB25),"²","2"),"³","3"),"^",""),".","")," ",""))</f>
      </c>
    </row>
    <row r="26" ht="35" customHeight="1">
      <c r="B26" s="35"/>
      <c r="C26" s="35"/>
      <c r="D26" s="37"/>
      <c r="E26" s="35"/>
      <c r="F26" s="38"/>
      <c r="G26" s="38"/>
      <c r="H26" s="38"/>
      <c r="I26" s="38"/>
      <c r="J26" s="38"/>
      <c r="K26" s="35"/>
      <c r="L26" s="35"/>
      <c r="M26" s="39">
        <f>IF(U26&lt;&gt;1,"",IF(P26="DIRECTA",G26,IF(ISNUMBER(G26),G26,1)*IF(ISNUMBER(H26),H26,1)*IF(ISNUMBER(I26),I26,1)*IF(ISNUMBER(J26),J26,1)))</f>
      </c>
      <c r="N26" s="30">
        <f>IF(COUNTA(B26:L26)=0,"",IF(X26=0,IF(P26="CABECERA","VERDE · Fila descriptiva; la suma usa las líneas del ID","VERDE · Datos numéricos interpretables"),IF(X26=2,"ROJO · ","ÁMBAR · ")&amp;IF(NOT(IF(ISNUMBER($E$6),AND($E$6&gt;=0,$E$6&lt;=6,$E$6=INT($E$6)),FALSE)),"Indicamos entre 0 y 6 decimales en E6. ","")&amp;IF(O26=0,"Falta un ID numérico. ","")&amp;IF(R26=0,"Faltan capítulo, código, unidad o total numérico del ID. ","")&amp;IF(T26&gt;0,"Los datos o el total del ID se contradicen. ","")&amp;IF(AND(P26&lt;&gt;"DIMENSIONES",P26&lt;&gt;"DIRECTA",P26&lt;&gt;"SIN LÍNEAS",P26&lt;&gt;"CABECERA"),"Tipo de fila no reconocido. ","")&amp;IF(AND(OR(P26="SIN LÍNEAS",P26="CABECERA"),COUNTA(G26:J26)&gt;0),"La fila dice que no mide, pero contiene medidas. ","")&amp;IF(AND(OR(P26="DIRECTA",P26="DIMENSIONES"),U26=0),"Línea incompleta o con medidas no numéricas. ","")&amp;IF(P26="SIN LÍNEAS","No constan medidas de esta fila. ","")&amp;IF(Y26&gt;0,"Parece m³: tres dimensiones bajo m². ","")&amp;IF(AND(AB26&lt;&gt;"",SUMPRODUCT(--('LÉEME'!$B$65:$B$86=AC26))&lt;&gt;1),"Revisamos el significado de la unidad. ","")&amp;IF(Z26&gt;0,"Más precisión que los decimales indicados: cotejamos el original. ","")&amp;IF(AA26&gt;0,"Revisamos dimensiones, cantidad directa, ceros o deducción. ","")))</f>
      </c>
      <c r="O26" s="0" t="n">
        <f>IF(ISNUMBER(K26),IF(AND(K26&gt;0,K26=INT(K26),K26&lt;=999999),K26,0),0)</f>
        <v>0</v>
      </c>
      <c r="P26" s="0">
        <f>IF(COUNTA(B26:L26)=0,"",IF(L26="",IF(COUNTA(G26:J26)&gt;0,"DIMENSIONES","SIN LÍNEAS"),UPPER(TRIM(L26))))</f>
      </c>
      <c r="Q26" s="0">
        <f>IF(AND(O26&gt;0,LEN(TRIM(B26&amp;""))&gt;0,LEN(TRIM(C26&amp;""))&gt;0,LEN(TRIM(E26&amp;""))&gt;0,ISNUMBER(F26)),O26,"")</f>
      </c>
      <c r="R26" s="0" t="n">
        <f>IF(O26=0,0,IF(COUNTIFS($Q$13:$Q$512,O26)&gt;0,MATCH(O26,$Q$13:$Q$512,0),0))</f>
        <v>0</v>
      </c>
      <c r="S26" s="0">
        <f>IF(AB26="","",IF(SUMPRODUCT(--('LÉEME'!$B$65:$B$86=AC26))=1,INDEX('LÉEME'!$C$65:$C$86,MATCH(AC26,'LÉEME'!$B$65:$B$86,0)),UPPER(TRIM(AB26))))</f>
      </c>
      <c r="T26" s="0" t="n">
        <f>IF(R26=0,0,IF(OR(AND(LEN(TRIM(B26&amp;""))&gt;0,UPPER(TRIM(B26&amp;""))&lt;&gt;UPPER(TRIM(INDEX($B$13:$B$512,R26)&amp;""))),AND(LEN(TRIM(C26&amp;""))&gt;0,UPPER(TRIM(C26&amp;""))&lt;&gt;UPPER(TRIM(INDEX($C$13:$C$512,R26)&amp;""))),AND(LEN(TRIM(E26&amp;""))&gt;0,S26&lt;&gt;INDEX($S$13:$S$512,R26)),AND(F26&lt;&gt;"",NOT(ISNUMBER(F26)))),1,IF(ISNUMBER(F26),IF(ABS(F26-INDEX($F$13:$F$512,R26))&gt;0.00000001,1,0),0)))</f>
        <v>0</v>
      </c>
      <c r="U26" s="0" t="n">
        <f>IF(P26="DIRECTA",IF(AND(ISNUMBER(G26),COUNTA(H26:J26)=0),1,0),IF(P26="DIMENSIONES",IF(AND(COUNT(G26:J26)&gt;0,COUNTA(G26:J26)=COUNT(G26:J26)),1,0),0))</f>
        <v>0</v>
      </c>
      <c r="V26" s="0" t="n">
        <f>IF(O26=0,0,IF(COUNTIFS($O$13:O26,O26)=1,1,0))</f>
        <v>0</v>
      </c>
      <c r="W26" s="0">
        <f>IF(V26=1,COUNTIFS($V$13:V26,1),"")</f>
      </c>
      <c r="X26" s="0">
        <f>IF(COUNTA(B26:L26)=0,"",IF(OR(NOT(IF(ISNUMBER($E$6),AND($E$6&gt;=0,$E$6&lt;=6,$E$6=INT($E$6)),FALSE)),O26=0,R26=0,T26&gt;0,AND(P26&lt;&gt;"DIMENSIONES",P26&lt;&gt;"DIRECTA",P26&lt;&gt;"SIN LÍNEAS",P26&lt;&gt;"CABECERA"),AND(OR(P26="DIRECTA",P26="DIMENSIONES"),U26=0),AND(OR(P26="SIN LÍNEAS",P26="CABECERA"),COUNTA(G26:J26)&gt;0)),2,IF(OR(P26="SIN LÍNEAS",Y26&gt;0,Z26&gt;0,AA26&gt;0,SUMPRODUCT(--('LÉEME'!$B$65:$B$86=AC26))&lt;&gt;1),1,0)))</f>
      </c>
      <c r="Y26" s="0" t="n">
        <f>IF(AND(P26="DIMENSIONES",S26="m²",COUNT(H26:J26)=3),1,0)</f>
        <v>0</v>
      </c>
      <c r="Z26" s="0" t="n">
        <f>IF(IF(ISNUMBER($E$6),AND($E$6&gt;=0,$E$6&lt;=6,$E$6=INT($E$6)),FALSE),IF(SUM(IF(ISNUMBER(F26),IF(ABS(F26-ROUND(F26,$E$6))&gt;0.00000001,1,0),0),IF(ISNUMBER(G26),IF(ABS(G26-ROUND(G26,$E$6))&gt;0.00000001,1,0),0),IF(ISNUMBER(H26),IF(ABS(H26-ROUND(H26,$E$6))&gt;0.00000001,1,0),0),IF(ISNUMBER(I26),IF(ABS(I26-ROUND(I26,$E$6))&gt;0.00000001,1,0),0),IF(ISNUMBER(J26),IF(ABS(J26-ROUND(J26,$E$6))&gt;0.00000001,1,0),0),IF(ISNUMBER(M26),IF(ABS(M26-ROUND(M26,$E$6))&gt;0.00000001,1,0),0))&gt;0,1,0),0)</f>
        <v>0</v>
      </c>
      <c r="AA26" s="0" t="n">
        <f>IF(COUNTA(B26:L26)=0,0,IF(OR(AND(ISNUMBER(F26),F26&lt;0),AND(U26=1,OR(SUM(IF(ISNUMBER(G26),IF(G26=0,1,0),0),IF(ISNUMBER(H26),IF(H26=0,1,0),0),IF(ISNUMBER(I26),IF(I26=0,1,0),0),IF(ISNUMBER(J26),IF(J26=0,1,0),0))&gt;0,COUNTIFS(G26:J26,"&lt;0")&gt;0)),AND(P26="DIMENSIONES",U26=1,OR(AND(S26="m",COUNT(H26:J26)&lt;&gt;1),AND(S26="m²",COUNT(H26:J26)&lt;&gt;2,Y26=0),AND(S26="m³",COUNT(H26:J26)&lt;&gt;3),AND(S26="ud",COUNT(H26:J26)&gt;0))),AND(P26="DIRECTA",OR(S26="m",S26="m²",S26="m³"))),1,0))</f>
        <v>0</v>
      </c>
      <c r="AB26" s="0">
        <f>IF(LEN(TRIM(E26&amp;""))&gt;0,E26,IF(R26&gt;0,INDEX($E$13:$E$512,R26),""))</f>
      </c>
      <c r="AC26" s="0">
        <f>UPPER(SUBSTITUTE(SUBSTITUTE(SUBSTITUTE(SUBSTITUTE(SUBSTITUTE(TRIM(AB26),"²","2"),"³","3"),"^",""),".","")," ",""))</f>
      </c>
    </row>
    <row r="27" ht="35" customHeight="1">
      <c r="B27" s="35"/>
      <c r="C27" s="35"/>
      <c r="D27" s="37"/>
      <c r="E27" s="35"/>
      <c r="F27" s="38"/>
      <c r="G27" s="38"/>
      <c r="H27" s="38"/>
      <c r="I27" s="38"/>
      <c r="J27" s="38"/>
      <c r="K27" s="35"/>
      <c r="L27" s="35"/>
      <c r="M27" s="39">
        <f>IF(U27&lt;&gt;1,"",IF(P27="DIRECTA",G27,IF(ISNUMBER(G27),G27,1)*IF(ISNUMBER(H27),H27,1)*IF(ISNUMBER(I27),I27,1)*IF(ISNUMBER(J27),J27,1)))</f>
      </c>
      <c r="N27" s="30">
        <f>IF(COUNTA(B27:L27)=0,"",IF(X27=0,IF(P27="CABECERA","VERDE · Fila descriptiva; la suma usa las líneas del ID","VERDE · Datos numéricos interpretables"),IF(X27=2,"ROJO · ","ÁMBAR · ")&amp;IF(NOT(IF(ISNUMBER($E$6),AND($E$6&gt;=0,$E$6&lt;=6,$E$6=INT($E$6)),FALSE)),"Indicamos entre 0 y 6 decimales en E6. ","")&amp;IF(O27=0,"Falta un ID numérico. ","")&amp;IF(R27=0,"Faltan capítulo, código, unidad o total numérico del ID. ","")&amp;IF(T27&gt;0,"Los datos o el total del ID se contradicen. ","")&amp;IF(AND(P27&lt;&gt;"DIMENSIONES",P27&lt;&gt;"DIRECTA",P27&lt;&gt;"SIN LÍNEAS",P27&lt;&gt;"CABECERA"),"Tipo de fila no reconocido. ","")&amp;IF(AND(OR(P27="SIN LÍNEAS",P27="CABECERA"),COUNTA(G27:J27)&gt;0),"La fila dice que no mide, pero contiene medidas. ","")&amp;IF(AND(OR(P27="DIRECTA",P27="DIMENSIONES"),U27=0),"Línea incompleta o con medidas no numéricas. ","")&amp;IF(P27="SIN LÍNEAS","No constan medidas de esta fila. ","")&amp;IF(Y27&gt;0,"Parece m³: tres dimensiones bajo m². ","")&amp;IF(AND(AB27&lt;&gt;"",SUMPRODUCT(--('LÉEME'!$B$65:$B$86=AC27))&lt;&gt;1),"Revisamos el significado de la unidad. ","")&amp;IF(Z27&gt;0,"Más precisión que los decimales indicados: cotejamos el original. ","")&amp;IF(AA27&gt;0,"Revisamos dimensiones, cantidad directa, ceros o deducción. ","")))</f>
      </c>
      <c r="O27" s="0" t="n">
        <f>IF(ISNUMBER(K27),IF(AND(K27&gt;0,K27=INT(K27),K27&lt;=999999),K27,0),0)</f>
        <v>0</v>
      </c>
      <c r="P27" s="0">
        <f>IF(COUNTA(B27:L27)=0,"",IF(L27="",IF(COUNTA(G27:J27)&gt;0,"DIMENSIONES","SIN LÍNEAS"),UPPER(TRIM(L27))))</f>
      </c>
      <c r="Q27" s="0">
        <f>IF(AND(O27&gt;0,LEN(TRIM(B27&amp;""))&gt;0,LEN(TRIM(C27&amp;""))&gt;0,LEN(TRIM(E27&amp;""))&gt;0,ISNUMBER(F27)),O27,"")</f>
      </c>
      <c r="R27" s="0" t="n">
        <f>IF(O27=0,0,IF(COUNTIFS($Q$13:$Q$512,O27)&gt;0,MATCH(O27,$Q$13:$Q$512,0),0))</f>
        <v>0</v>
      </c>
      <c r="S27" s="0">
        <f>IF(AB27="","",IF(SUMPRODUCT(--('LÉEME'!$B$65:$B$86=AC27))=1,INDEX('LÉEME'!$C$65:$C$86,MATCH(AC27,'LÉEME'!$B$65:$B$86,0)),UPPER(TRIM(AB27))))</f>
      </c>
      <c r="T27" s="0" t="n">
        <f>IF(R27=0,0,IF(OR(AND(LEN(TRIM(B27&amp;""))&gt;0,UPPER(TRIM(B27&amp;""))&lt;&gt;UPPER(TRIM(INDEX($B$13:$B$512,R27)&amp;""))),AND(LEN(TRIM(C27&amp;""))&gt;0,UPPER(TRIM(C27&amp;""))&lt;&gt;UPPER(TRIM(INDEX($C$13:$C$512,R27)&amp;""))),AND(LEN(TRIM(E27&amp;""))&gt;0,S27&lt;&gt;INDEX($S$13:$S$512,R27)),AND(F27&lt;&gt;"",NOT(ISNUMBER(F27)))),1,IF(ISNUMBER(F27),IF(ABS(F27-INDEX($F$13:$F$512,R27))&gt;0.00000001,1,0),0)))</f>
        <v>0</v>
      </c>
      <c r="U27" s="0" t="n">
        <f>IF(P27="DIRECTA",IF(AND(ISNUMBER(G27),COUNTA(H27:J27)=0),1,0),IF(P27="DIMENSIONES",IF(AND(COUNT(G27:J27)&gt;0,COUNTA(G27:J27)=COUNT(G27:J27)),1,0),0))</f>
        <v>0</v>
      </c>
      <c r="V27" s="0" t="n">
        <f>IF(O27=0,0,IF(COUNTIFS($O$13:O27,O27)=1,1,0))</f>
        <v>0</v>
      </c>
      <c r="W27" s="0">
        <f>IF(V27=1,COUNTIFS($V$13:V27,1),"")</f>
      </c>
      <c r="X27" s="0">
        <f>IF(COUNTA(B27:L27)=0,"",IF(OR(NOT(IF(ISNUMBER($E$6),AND($E$6&gt;=0,$E$6&lt;=6,$E$6=INT($E$6)),FALSE)),O27=0,R27=0,T27&gt;0,AND(P27&lt;&gt;"DIMENSIONES",P27&lt;&gt;"DIRECTA",P27&lt;&gt;"SIN LÍNEAS",P27&lt;&gt;"CABECERA"),AND(OR(P27="DIRECTA",P27="DIMENSIONES"),U27=0),AND(OR(P27="SIN LÍNEAS",P27="CABECERA"),COUNTA(G27:J27)&gt;0)),2,IF(OR(P27="SIN LÍNEAS",Y27&gt;0,Z27&gt;0,AA27&gt;0,SUMPRODUCT(--('LÉEME'!$B$65:$B$86=AC27))&lt;&gt;1),1,0)))</f>
      </c>
      <c r="Y27" s="0" t="n">
        <f>IF(AND(P27="DIMENSIONES",S27="m²",COUNT(H27:J27)=3),1,0)</f>
        <v>0</v>
      </c>
      <c r="Z27" s="0" t="n">
        <f>IF(IF(ISNUMBER($E$6),AND($E$6&gt;=0,$E$6&lt;=6,$E$6=INT($E$6)),FALSE),IF(SUM(IF(ISNUMBER(F27),IF(ABS(F27-ROUND(F27,$E$6))&gt;0.00000001,1,0),0),IF(ISNUMBER(G27),IF(ABS(G27-ROUND(G27,$E$6))&gt;0.00000001,1,0),0),IF(ISNUMBER(H27),IF(ABS(H27-ROUND(H27,$E$6))&gt;0.00000001,1,0),0),IF(ISNUMBER(I27),IF(ABS(I27-ROUND(I27,$E$6))&gt;0.00000001,1,0),0),IF(ISNUMBER(J27),IF(ABS(J27-ROUND(J27,$E$6))&gt;0.00000001,1,0),0),IF(ISNUMBER(M27),IF(ABS(M27-ROUND(M27,$E$6))&gt;0.00000001,1,0),0))&gt;0,1,0),0)</f>
        <v>0</v>
      </c>
      <c r="AA27" s="0" t="n">
        <f>IF(COUNTA(B27:L27)=0,0,IF(OR(AND(ISNUMBER(F27),F27&lt;0),AND(U27=1,OR(SUM(IF(ISNUMBER(G27),IF(G27=0,1,0),0),IF(ISNUMBER(H27),IF(H27=0,1,0),0),IF(ISNUMBER(I27),IF(I27=0,1,0),0),IF(ISNUMBER(J27),IF(J27=0,1,0),0))&gt;0,COUNTIFS(G27:J27,"&lt;0")&gt;0)),AND(P27="DIMENSIONES",U27=1,OR(AND(S27="m",COUNT(H27:J27)&lt;&gt;1),AND(S27="m²",COUNT(H27:J27)&lt;&gt;2,Y27=0),AND(S27="m³",COUNT(H27:J27)&lt;&gt;3),AND(S27="ud",COUNT(H27:J27)&gt;0))),AND(P27="DIRECTA",OR(S27="m",S27="m²",S27="m³"))),1,0))</f>
        <v>0</v>
      </c>
      <c r="AB27" s="0">
        <f>IF(LEN(TRIM(E27&amp;""))&gt;0,E27,IF(R27&gt;0,INDEX($E$13:$E$512,R27),""))</f>
      </c>
      <c r="AC27" s="0">
        <f>UPPER(SUBSTITUTE(SUBSTITUTE(SUBSTITUTE(SUBSTITUTE(SUBSTITUTE(TRIM(AB27),"²","2"),"³","3"),"^",""),".","")," ",""))</f>
      </c>
    </row>
    <row r="28" ht="35" customHeight="1">
      <c r="B28" s="35"/>
      <c r="C28" s="35"/>
      <c r="D28" s="37"/>
      <c r="E28" s="35"/>
      <c r="F28" s="38"/>
      <c r="G28" s="38"/>
      <c r="H28" s="38"/>
      <c r="I28" s="38"/>
      <c r="J28" s="38"/>
      <c r="K28" s="35"/>
      <c r="L28" s="35"/>
      <c r="M28" s="39">
        <f>IF(U28&lt;&gt;1,"",IF(P28="DIRECTA",G28,IF(ISNUMBER(G28),G28,1)*IF(ISNUMBER(H28),H28,1)*IF(ISNUMBER(I28),I28,1)*IF(ISNUMBER(J28),J28,1)))</f>
      </c>
      <c r="N28" s="30">
        <f>IF(COUNTA(B28:L28)=0,"",IF(X28=0,IF(P28="CABECERA","VERDE · Fila descriptiva; la suma usa las líneas del ID","VERDE · Datos numéricos interpretables"),IF(X28=2,"ROJO · ","ÁMBAR · ")&amp;IF(NOT(IF(ISNUMBER($E$6),AND($E$6&gt;=0,$E$6&lt;=6,$E$6=INT($E$6)),FALSE)),"Indicamos entre 0 y 6 decimales en E6. ","")&amp;IF(O28=0,"Falta un ID numérico. ","")&amp;IF(R28=0,"Faltan capítulo, código, unidad o total numérico del ID. ","")&amp;IF(T28&gt;0,"Los datos o el total del ID se contradicen. ","")&amp;IF(AND(P28&lt;&gt;"DIMENSIONES",P28&lt;&gt;"DIRECTA",P28&lt;&gt;"SIN LÍNEAS",P28&lt;&gt;"CABECERA"),"Tipo de fila no reconocido. ","")&amp;IF(AND(OR(P28="SIN LÍNEAS",P28="CABECERA"),COUNTA(G28:J28)&gt;0),"La fila dice que no mide, pero contiene medidas. ","")&amp;IF(AND(OR(P28="DIRECTA",P28="DIMENSIONES"),U28=0),"Línea incompleta o con medidas no numéricas. ","")&amp;IF(P28="SIN LÍNEAS","No constan medidas de esta fila. ","")&amp;IF(Y28&gt;0,"Parece m³: tres dimensiones bajo m². ","")&amp;IF(AND(AB28&lt;&gt;"",SUMPRODUCT(--('LÉEME'!$B$65:$B$86=AC28))&lt;&gt;1),"Revisamos el significado de la unidad. ","")&amp;IF(Z28&gt;0,"Más precisión que los decimales indicados: cotejamos el original. ","")&amp;IF(AA28&gt;0,"Revisamos dimensiones, cantidad directa, ceros o deducción. ","")))</f>
      </c>
      <c r="O28" s="0" t="n">
        <f>IF(ISNUMBER(K28),IF(AND(K28&gt;0,K28=INT(K28),K28&lt;=999999),K28,0),0)</f>
        <v>0</v>
      </c>
      <c r="P28" s="0">
        <f>IF(COUNTA(B28:L28)=0,"",IF(L28="",IF(COUNTA(G28:J28)&gt;0,"DIMENSIONES","SIN LÍNEAS"),UPPER(TRIM(L28))))</f>
      </c>
      <c r="Q28" s="0">
        <f>IF(AND(O28&gt;0,LEN(TRIM(B28&amp;""))&gt;0,LEN(TRIM(C28&amp;""))&gt;0,LEN(TRIM(E28&amp;""))&gt;0,ISNUMBER(F28)),O28,"")</f>
      </c>
      <c r="R28" s="0" t="n">
        <f>IF(O28=0,0,IF(COUNTIFS($Q$13:$Q$512,O28)&gt;0,MATCH(O28,$Q$13:$Q$512,0),0))</f>
        <v>0</v>
      </c>
      <c r="S28" s="0">
        <f>IF(AB28="","",IF(SUMPRODUCT(--('LÉEME'!$B$65:$B$86=AC28))=1,INDEX('LÉEME'!$C$65:$C$86,MATCH(AC28,'LÉEME'!$B$65:$B$86,0)),UPPER(TRIM(AB28))))</f>
      </c>
      <c r="T28" s="0" t="n">
        <f>IF(R28=0,0,IF(OR(AND(LEN(TRIM(B28&amp;""))&gt;0,UPPER(TRIM(B28&amp;""))&lt;&gt;UPPER(TRIM(INDEX($B$13:$B$512,R28)&amp;""))),AND(LEN(TRIM(C28&amp;""))&gt;0,UPPER(TRIM(C28&amp;""))&lt;&gt;UPPER(TRIM(INDEX($C$13:$C$512,R28)&amp;""))),AND(LEN(TRIM(E28&amp;""))&gt;0,S28&lt;&gt;INDEX($S$13:$S$512,R28)),AND(F28&lt;&gt;"",NOT(ISNUMBER(F28)))),1,IF(ISNUMBER(F28),IF(ABS(F28-INDEX($F$13:$F$512,R28))&gt;0.00000001,1,0),0)))</f>
        <v>0</v>
      </c>
      <c r="U28" s="0" t="n">
        <f>IF(P28="DIRECTA",IF(AND(ISNUMBER(G28),COUNTA(H28:J28)=0),1,0),IF(P28="DIMENSIONES",IF(AND(COUNT(G28:J28)&gt;0,COUNTA(G28:J28)=COUNT(G28:J28)),1,0),0))</f>
        <v>0</v>
      </c>
      <c r="V28" s="0" t="n">
        <f>IF(O28=0,0,IF(COUNTIFS($O$13:O28,O28)=1,1,0))</f>
        <v>0</v>
      </c>
      <c r="W28" s="0">
        <f>IF(V28=1,COUNTIFS($V$13:V28,1),"")</f>
      </c>
      <c r="X28" s="0">
        <f>IF(COUNTA(B28:L28)=0,"",IF(OR(NOT(IF(ISNUMBER($E$6),AND($E$6&gt;=0,$E$6&lt;=6,$E$6=INT($E$6)),FALSE)),O28=0,R28=0,T28&gt;0,AND(P28&lt;&gt;"DIMENSIONES",P28&lt;&gt;"DIRECTA",P28&lt;&gt;"SIN LÍNEAS",P28&lt;&gt;"CABECERA"),AND(OR(P28="DIRECTA",P28="DIMENSIONES"),U28=0),AND(OR(P28="SIN LÍNEAS",P28="CABECERA"),COUNTA(G28:J28)&gt;0)),2,IF(OR(P28="SIN LÍNEAS",Y28&gt;0,Z28&gt;0,AA28&gt;0,SUMPRODUCT(--('LÉEME'!$B$65:$B$86=AC28))&lt;&gt;1),1,0)))</f>
      </c>
      <c r="Y28" s="0" t="n">
        <f>IF(AND(P28="DIMENSIONES",S28="m²",COUNT(H28:J28)=3),1,0)</f>
        <v>0</v>
      </c>
      <c r="Z28" s="0" t="n">
        <f>IF(IF(ISNUMBER($E$6),AND($E$6&gt;=0,$E$6&lt;=6,$E$6=INT($E$6)),FALSE),IF(SUM(IF(ISNUMBER(F28),IF(ABS(F28-ROUND(F28,$E$6))&gt;0.00000001,1,0),0),IF(ISNUMBER(G28),IF(ABS(G28-ROUND(G28,$E$6))&gt;0.00000001,1,0),0),IF(ISNUMBER(H28),IF(ABS(H28-ROUND(H28,$E$6))&gt;0.00000001,1,0),0),IF(ISNUMBER(I28),IF(ABS(I28-ROUND(I28,$E$6))&gt;0.00000001,1,0),0),IF(ISNUMBER(J28),IF(ABS(J28-ROUND(J28,$E$6))&gt;0.00000001,1,0),0),IF(ISNUMBER(M28),IF(ABS(M28-ROUND(M28,$E$6))&gt;0.00000001,1,0),0))&gt;0,1,0),0)</f>
        <v>0</v>
      </c>
      <c r="AA28" s="0" t="n">
        <f>IF(COUNTA(B28:L28)=0,0,IF(OR(AND(ISNUMBER(F28),F28&lt;0),AND(U28=1,OR(SUM(IF(ISNUMBER(G28),IF(G28=0,1,0),0),IF(ISNUMBER(H28),IF(H28=0,1,0),0),IF(ISNUMBER(I28),IF(I28=0,1,0),0),IF(ISNUMBER(J28),IF(J28=0,1,0),0))&gt;0,COUNTIFS(G28:J28,"&lt;0")&gt;0)),AND(P28="DIMENSIONES",U28=1,OR(AND(S28="m",COUNT(H28:J28)&lt;&gt;1),AND(S28="m²",COUNT(H28:J28)&lt;&gt;2,Y28=0),AND(S28="m³",COUNT(H28:J28)&lt;&gt;3),AND(S28="ud",COUNT(H28:J28)&gt;0))),AND(P28="DIRECTA",OR(S28="m",S28="m²",S28="m³"))),1,0))</f>
        <v>0</v>
      </c>
      <c r="AB28" s="0">
        <f>IF(LEN(TRIM(E28&amp;""))&gt;0,E28,IF(R28&gt;0,INDEX($E$13:$E$512,R28),""))</f>
      </c>
      <c r="AC28" s="0">
        <f>UPPER(SUBSTITUTE(SUBSTITUTE(SUBSTITUTE(SUBSTITUTE(SUBSTITUTE(TRIM(AB28),"²","2"),"³","3"),"^",""),".","")," ",""))</f>
      </c>
    </row>
    <row r="29" ht="35" customHeight="1">
      <c r="B29" s="35"/>
      <c r="C29" s="35"/>
      <c r="D29" s="37"/>
      <c r="E29" s="35"/>
      <c r="F29" s="38"/>
      <c r="G29" s="38"/>
      <c r="H29" s="38"/>
      <c r="I29" s="38"/>
      <c r="J29" s="38"/>
      <c r="K29" s="35"/>
      <c r="L29" s="35"/>
      <c r="M29" s="39">
        <f>IF(U29&lt;&gt;1,"",IF(P29="DIRECTA",G29,IF(ISNUMBER(G29),G29,1)*IF(ISNUMBER(H29),H29,1)*IF(ISNUMBER(I29),I29,1)*IF(ISNUMBER(J29),J29,1)))</f>
      </c>
      <c r="N29" s="30">
        <f>IF(COUNTA(B29:L29)=0,"",IF(X29=0,IF(P29="CABECERA","VERDE · Fila descriptiva; la suma usa las líneas del ID","VERDE · Datos numéricos interpretables"),IF(X29=2,"ROJO · ","ÁMBAR · ")&amp;IF(NOT(IF(ISNUMBER($E$6),AND($E$6&gt;=0,$E$6&lt;=6,$E$6=INT($E$6)),FALSE)),"Indicamos entre 0 y 6 decimales en E6. ","")&amp;IF(O29=0,"Falta un ID numérico. ","")&amp;IF(R29=0,"Faltan capítulo, código, unidad o total numérico del ID. ","")&amp;IF(T29&gt;0,"Los datos o el total del ID se contradicen. ","")&amp;IF(AND(P29&lt;&gt;"DIMENSIONES",P29&lt;&gt;"DIRECTA",P29&lt;&gt;"SIN LÍNEAS",P29&lt;&gt;"CABECERA"),"Tipo de fila no reconocido. ","")&amp;IF(AND(OR(P29="SIN LÍNEAS",P29="CABECERA"),COUNTA(G29:J29)&gt;0),"La fila dice que no mide, pero contiene medidas. ","")&amp;IF(AND(OR(P29="DIRECTA",P29="DIMENSIONES"),U29=0),"Línea incompleta o con medidas no numéricas. ","")&amp;IF(P29="SIN LÍNEAS","No constan medidas de esta fila. ","")&amp;IF(Y29&gt;0,"Parece m³: tres dimensiones bajo m². ","")&amp;IF(AND(AB29&lt;&gt;"",SUMPRODUCT(--('LÉEME'!$B$65:$B$86=AC29))&lt;&gt;1),"Revisamos el significado de la unidad. ","")&amp;IF(Z29&gt;0,"Más precisión que los decimales indicados: cotejamos el original. ","")&amp;IF(AA29&gt;0,"Revisamos dimensiones, cantidad directa, ceros o deducción. ","")))</f>
      </c>
      <c r="O29" s="0" t="n">
        <f>IF(ISNUMBER(K29),IF(AND(K29&gt;0,K29=INT(K29),K29&lt;=999999),K29,0),0)</f>
        <v>0</v>
      </c>
      <c r="P29" s="0">
        <f>IF(COUNTA(B29:L29)=0,"",IF(L29="",IF(COUNTA(G29:J29)&gt;0,"DIMENSIONES","SIN LÍNEAS"),UPPER(TRIM(L29))))</f>
      </c>
      <c r="Q29" s="0">
        <f>IF(AND(O29&gt;0,LEN(TRIM(B29&amp;""))&gt;0,LEN(TRIM(C29&amp;""))&gt;0,LEN(TRIM(E29&amp;""))&gt;0,ISNUMBER(F29)),O29,"")</f>
      </c>
      <c r="R29" s="0" t="n">
        <f>IF(O29=0,0,IF(COUNTIFS($Q$13:$Q$512,O29)&gt;0,MATCH(O29,$Q$13:$Q$512,0),0))</f>
        <v>0</v>
      </c>
      <c r="S29" s="0">
        <f>IF(AB29="","",IF(SUMPRODUCT(--('LÉEME'!$B$65:$B$86=AC29))=1,INDEX('LÉEME'!$C$65:$C$86,MATCH(AC29,'LÉEME'!$B$65:$B$86,0)),UPPER(TRIM(AB29))))</f>
      </c>
      <c r="T29" s="0" t="n">
        <f>IF(R29=0,0,IF(OR(AND(LEN(TRIM(B29&amp;""))&gt;0,UPPER(TRIM(B29&amp;""))&lt;&gt;UPPER(TRIM(INDEX($B$13:$B$512,R29)&amp;""))),AND(LEN(TRIM(C29&amp;""))&gt;0,UPPER(TRIM(C29&amp;""))&lt;&gt;UPPER(TRIM(INDEX($C$13:$C$512,R29)&amp;""))),AND(LEN(TRIM(E29&amp;""))&gt;0,S29&lt;&gt;INDEX($S$13:$S$512,R29)),AND(F29&lt;&gt;"",NOT(ISNUMBER(F29)))),1,IF(ISNUMBER(F29),IF(ABS(F29-INDEX($F$13:$F$512,R29))&gt;0.00000001,1,0),0)))</f>
        <v>0</v>
      </c>
      <c r="U29" s="0" t="n">
        <f>IF(P29="DIRECTA",IF(AND(ISNUMBER(G29),COUNTA(H29:J29)=0),1,0),IF(P29="DIMENSIONES",IF(AND(COUNT(G29:J29)&gt;0,COUNTA(G29:J29)=COUNT(G29:J29)),1,0),0))</f>
        <v>0</v>
      </c>
      <c r="V29" s="0" t="n">
        <f>IF(O29=0,0,IF(COUNTIFS($O$13:O29,O29)=1,1,0))</f>
        <v>0</v>
      </c>
      <c r="W29" s="0">
        <f>IF(V29=1,COUNTIFS($V$13:V29,1),"")</f>
      </c>
      <c r="X29" s="0">
        <f>IF(COUNTA(B29:L29)=0,"",IF(OR(NOT(IF(ISNUMBER($E$6),AND($E$6&gt;=0,$E$6&lt;=6,$E$6=INT($E$6)),FALSE)),O29=0,R29=0,T29&gt;0,AND(P29&lt;&gt;"DIMENSIONES",P29&lt;&gt;"DIRECTA",P29&lt;&gt;"SIN LÍNEAS",P29&lt;&gt;"CABECERA"),AND(OR(P29="DIRECTA",P29="DIMENSIONES"),U29=0),AND(OR(P29="SIN LÍNEAS",P29="CABECERA"),COUNTA(G29:J29)&gt;0)),2,IF(OR(P29="SIN LÍNEAS",Y29&gt;0,Z29&gt;0,AA29&gt;0,SUMPRODUCT(--('LÉEME'!$B$65:$B$86=AC29))&lt;&gt;1),1,0)))</f>
      </c>
      <c r="Y29" s="0" t="n">
        <f>IF(AND(P29="DIMENSIONES",S29="m²",COUNT(H29:J29)=3),1,0)</f>
        <v>0</v>
      </c>
      <c r="Z29" s="0" t="n">
        <f>IF(IF(ISNUMBER($E$6),AND($E$6&gt;=0,$E$6&lt;=6,$E$6=INT($E$6)),FALSE),IF(SUM(IF(ISNUMBER(F29),IF(ABS(F29-ROUND(F29,$E$6))&gt;0.00000001,1,0),0),IF(ISNUMBER(G29),IF(ABS(G29-ROUND(G29,$E$6))&gt;0.00000001,1,0),0),IF(ISNUMBER(H29),IF(ABS(H29-ROUND(H29,$E$6))&gt;0.00000001,1,0),0),IF(ISNUMBER(I29),IF(ABS(I29-ROUND(I29,$E$6))&gt;0.00000001,1,0),0),IF(ISNUMBER(J29),IF(ABS(J29-ROUND(J29,$E$6))&gt;0.00000001,1,0),0),IF(ISNUMBER(M29),IF(ABS(M29-ROUND(M29,$E$6))&gt;0.00000001,1,0),0))&gt;0,1,0),0)</f>
        <v>0</v>
      </c>
      <c r="AA29" s="0" t="n">
        <f>IF(COUNTA(B29:L29)=0,0,IF(OR(AND(ISNUMBER(F29),F29&lt;0),AND(U29=1,OR(SUM(IF(ISNUMBER(G29),IF(G29=0,1,0),0),IF(ISNUMBER(H29),IF(H29=0,1,0),0),IF(ISNUMBER(I29),IF(I29=0,1,0),0),IF(ISNUMBER(J29),IF(J29=0,1,0),0))&gt;0,COUNTIFS(G29:J29,"&lt;0")&gt;0)),AND(P29="DIMENSIONES",U29=1,OR(AND(S29="m",COUNT(H29:J29)&lt;&gt;1),AND(S29="m²",COUNT(H29:J29)&lt;&gt;2,Y29=0),AND(S29="m³",COUNT(H29:J29)&lt;&gt;3),AND(S29="ud",COUNT(H29:J29)&gt;0))),AND(P29="DIRECTA",OR(S29="m",S29="m²",S29="m³"))),1,0))</f>
        <v>0</v>
      </c>
      <c r="AB29" s="0">
        <f>IF(LEN(TRIM(E29&amp;""))&gt;0,E29,IF(R29&gt;0,INDEX($E$13:$E$512,R29),""))</f>
      </c>
      <c r="AC29" s="0">
        <f>UPPER(SUBSTITUTE(SUBSTITUTE(SUBSTITUTE(SUBSTITUTE(SUBSTITUTE(TRIM(AB29),"²","2"),"³","3"),"^",""),".","")," ",""))</f>
      </c>
    </row>
    <row r="30" ht="35" customHeight="1">
      <c r="B30" s="35"/>
      <c r="C30" s="35"/>
      <c r="D30" s="37"/>
      <c r="E30" s="35"/>
      <c r="F30" s="38"/>
      <c r="G30" s="38"/>
      <c r="H30" s="38"/>
      <c r="I30" s="38"/>
      <c r="J30" s="38"/>
      <c r="K30" s="35"/>
      <c r="L30" s="35"/>
      <c r="M30" s="39">
        <f>IF(U30&lt;&gt;1,"",IF(P30="DIRECTA",G30,IF(ISNUMBER(G30),G30,1)*IF(ISNUMBER(H30),H30,1)*IF(ISNUMBER(I30),I30,1)*IF(ISNUMBER(J30),J30,1)))</f>
      </c>
      <c r="N30" s="30">
        <f>IF(COUNTA(B30:L30)=0,"",IF(X30=0,IF(P30="CABECERA","VERDE · Fila descriptiva; la suma usa las líneas del ID","VERDE · Datos numéricos interpretables"),IF(X30=2,"ROJO · ","ÁMBAR · ")&amp;IF(NOT(IF(ISNUMBER($E$6),AND($E$6&gt;=0,$E$6&lt;=6,$E$6=INT($E$6)),FALSE)),"Indicamos entre 0 y 6 decimales en E6. ","")&amp;IF(O30=0,"Falta un ID numérico. ","")&amp;IF(R30=0,"Faltan capítulo, código, unidad o total numérico del ID. ","")&amp;IF(T30&gt;0,"Los datos o el total del ID se contradicen. ","")&amp;IF(AND(P30&lt;&gt;"DIMENSIONES",P30&lt;&gt;"DIRECTA",P30&lt;&gt;"SIN LÍNEAS",P30&lt;&gt;"CABECERA"),"Tipo de fila no reconocido. ","")&amp;IF(AND(OR(P30="SIN LÍNEAS",P30="CABECERA"),COUNTA(G30:J30)&gt;0),"La fila dice que no mide, pero contiene medidas. ","")&amp;IF(AND(OR(P30="DIRECTA",P30="DIMENSIONES"),U30=0),"Línea incompleta o con medidas no numéricas. ","")&amp;IF(P30="SIN LÍNEAS","No constan medidas de esta fila. ","")&amp;IF(Y30&gt;0,"Parece m³: tres dimensiones bajo m². ","")&amp;IF(AND(AB30&lt;&gt;"",SUMPRODUCT(--('LÉEME'!$B$65:$B$86=AC30))&lt;&gt;1),"Revisamos el significado de la unidad. ","")&amp;IF(Z30&gt;0,"Más precisión que los decimales indicados: cotejamos el original. ","")&amp;IF(AA30&gt;0,"Revisamos dimensiones, cantidad directa, ceros o deducción. ","")))</f>
      </c>
      <c r="O30" s="0" t="n">
        <f>IF(ISNUMBER(K30),IF(AND(K30&gt;0,K30=INT(K30),K30&lt;=999999),K30,0),0)</f>
        <v>0</v>
      </c>
      <c r="P30" s="0">
        <f>IF(COUNTA(B30:L30)=0,"",IF(L30="",IF(COUNTA(G30:J30)&gt;0,"DIMENSIONES","SIN LÍNEAS"),UPPER(TRIM(L30))))</f>
      </c>
      <c r="Q30" s="0">
        <f>IF(AND(O30&gt;0,LEN(TRIM(B30&amp;""))&gt;0,LEN(TRIM(C30&amp;""))&gt;0,LEN(TRIM(E30&amp;""))&gt;0,ISNUMBER(F30)),O30,"")</f>
      </c>
      <c r="R30" s="0" t="n">
        <f>IF(O30=0,0,IF(COUNTIFS($Q$13:$Q$512,O30)&gt;0,MATCH(O30,$Q$13:$Q$512,0),0))</f>
        <v>0</v>
      </c>
      <c r="S30" s="0">
        <f>IF(AB30="","",IF(SUMPRODUCT(--('LÉEME'!$B$65:$B$86=AC30))=1,INDEX('LÉEME'!$C$65:$C$86,MATCH(AC30,'LÉEME'!$B$65:$B$86,0)),UPPER(TRIM(AB30))))</f>
      </c>
      <c r="T30" s="0" t="n">
        <f>IF(R30=0,0,IF(OR(AND(LEN(TRIM(B30&amp;""))&gt;0,UPPER(TRIM(B30&amp;""))&lt;&gt;UPPER(TRIM(INDEX($B$13:$B$512,R30)&amp;""))),AND(LEN(TRIM(C30&amp;""))&gt;0,UPPER(TRIM(C30&amp;""))&lt;&gt;UPPER(TRIM(INDEX($C$13:$C$512,R30)&amp;""))),AND(LEN(TRIM(E30&amp;""))&gt;0,S30&lt;&gt;INDEX($S$13:$S$512,R30)),AND(F30&lt;&gt;"",NOT(ISNUMBER(F30)))),1,IF(ISNUMBER(F30),IF(ABS(F30-INDEX($F$13:$F$512,R30))&gt;0.00000001,1,0),0)))</f>
        <v>0</v>
      </c>
      <c r="U30" s="0" t="n">
        <f>IF(P30="DIRECTA",IF(AND(ISNUMBER(G30),COUNTA(H30:J30)=0),1,0),IF(P30="DIMENSIONES",IF(AND(COUNT(G30:J30)&gt;0,COUNTA(G30:J30)=COUNT(G30:J30)),1,0),0))</f>
        <v>0</v>
      </c>
      <c r="V30" s="0" t="n">
        <f>IF(O30=0,0,IF(COUNTIFS($O$13:O30,O30)=1,1,0))</f>
        <v>0</v>
      </c>
      <c r="W30" s="0">
        <f>IF(V30=1,COUNTIFS($V$13:V30,1),"")</f>
      </c>
      <c r="X30" s="0">
        <f>IF(COUNTA(B30:L30)=0,"",IF(OR(NOT(IF(ISNUMBER($E$6),AND($E$6&gt;=0,$E$6&lt;=6,$E$6=INT($E$6)),FALSE)),O30=0,R30=0,T30&gt;0,AND(P30&lt;&gt;"DIMENSIONES",P30&lt;&gt;"DIRECTA",P30&lt;&gt;"SIN LÍNEAS",P30&lt;&gt;"CABECERA"),AND(OR(P30="DIRECTA",P30="DIMENSIONES"),U30=0),AND(OR(P30="SIN LÍNEAS",P30="CABECERA"),COUNTA(G30:J30)&gt;0)),2,IF(OR(P30="SIN LÍNEAS",Y30&gt;0,Z30&gt;0,AA30&gt;0,SUMPRODUCT(--('LÉEME'!$B$65:$B$86=AC30))&lt;&gt;1),1,0)))</f>
      </c>
      <c r="Y30" s="0" t="n">
        <f>IF(AND(P30="DIMENSIONES",S30="m²",COUNT(H30:J30)=3),1,0)</f>
        <v>0</v>
      </c>
      <c r="Z30" s="0" t="n">
        <f>IF(IF(ISNUMBER($E$6),AND($E$6&gt;=0,$E$6&lt;=6,$E$6=INT($E$6)),FALSE),IF(SUM(IF(ISNUMBER(F30),IF(ABS(F30-ROUND(F30,$E$6))&gt;0.00000001,1,0),0),IF(ISNUMBER(G30),IF(ABS(G30-ROUND(G30,$E$6))&gt;0.00000001,1,0),0),IF(ISNUMBER(H30),IF(ABS(H30-ROUND(H30,$E$6))&gt;0.00000001,1,0),0),IF(ISNUMBER(I30),IF(ABS(I30-ROUND(I30,$E$6))&gt;0.00000001,1,0),0),IF(ISNUMBER(J30),IF(ABS(J30-ROUND(J30,$E$6))&gt;0.00000001,1,0),0),IF(ISNUMBER(M30),IF(ABS(M30-ROUND(M30,$E$6))&gt;0.00000001,1,0),0))&gt;0,1,0),0)</f>
        <v>0</v>
      </c>
      <c r="AA30" s="0" t="n">
        <f>IF(COUNTA(B30:L30)=0,0,IF(OR(AND(ISNUMBER(F30),F30&lt;0),AND(U30=1,OR(SUM(IF(ISNUMBER(G30),IF(G30=0,1,0),0),IF(ISNUMBER(H30),IF(H30=0,1,0),0),IF(ISNUMBER(I30),IF(I30=0,1,0),0),IF(ISNUMBER(J30),IF(J30=0,1,0),0))&gt;0,COUNTIFS(G30:J30,"&lt;0")&gt;0)),AND(P30="DIMENSIONES",U30=1,OR(AND(S30="m",COUNT(H30:J30)&lt;&gt;1),AND(S30="m²",COUNT(H30:J30)&lt;&gt;2,Y30=0),AND(S30="m³",COUNT(H30:J30)&lt;&gt;3),AND(S30="ud",COUNT(H30:J30)&gt;0))),AND(P30="DIRECTA",OR(S30="m",S30="m²",S30="m³"))),1,0))</f>
        <v>0</v>
      </c>
      <c r="AB30" s="0">
        <f>IF(LEN(TRIM(E30&amp;""))&gt;0,E30,IF(R30&gt;0,INDEX($E$13:$E$512,R30),""))</f>
      </c>
      <c r="AC30" s="0">
        <f>UPPER(SUBSTITUTE(SUBSTITUTE(SUBSTITUTE(SUBSTITUTE(SUBSTITUTE(TRIM(AB30),"²","2"),"³","3"),"^",""),".","")," ",""))</f>
      </c>
    </row>
    <row r="31" ht="35" customHeight="1">
      <c r="B31" s="35"/>
      <c r="C31" s="35"/>
      <c r="D31" s="37"/>
      <c r="E31" s="35"/>
      <c r="F31" s="38"/>
      <c r="G31" s="38"/>
      <c r="H31" s="38"/>
      <c r="I31" s="38"/>
      <c r="J31" s="38"/>
      <c r="K31" s="35"/>
      <c r="L31" s="35"/>
      <c r="M31" s="39">
        <f>IF(U31&lt;&gt;1,"",IF(P31="DIRECTA",G31,IF(ISNUMBER(G31),G31,1)*IF(ISNUMBER(H31),H31,1)*IF(ISNUMBER(I31),I31,1)*IF(ISNUMBER(J31),J31,1)))</f>
      </c>
      <c r="N31" s="30">
        <f>IF(COUNTA(B31:L31)=0,"",IF(X31=0,IF(P31="CABECERA","VERDE · Fila descriptiva; la suma usa las líneas del ID","VERDE · Datos numéricos interpretables"),IF(X31=2,"ROJO · ","ÁMBAR · ")&amp;IF(NOT(IF(ISNUMBER($E$6),AND($E$6&gt;=0,$E$6&lt;=6,$E$6=INT($E$6)),FALSE)),"Indicamos entre 0 y 6 decimales en E6. ","")&amp;IF(O31=0,"Falta un ID numérico. ","")&amp;IF(R31=0,"Faltan capítulo, código, unidad o total numérico del ID. ","")&amp;IF(T31&gt;0,"Los datos o el total del ID se contradicen. ","")&amp;IF(AND(P31&lt;&gt;"DIMENSIONES",P31&lt;&gt;"DIRECTA",P31&lt;&gt;"SIN LÍNEAS",P31&lt;&gt;"CABECERA"),"Tipo de fila no reconocido. ","")&amp;IF(AND(OR(P31="SIN LÍNEAS",P31="CABECERA"),COUNTA(G31:J31)&gt;0),"La fila dice que no mide, pero contiene medidas. ","")&amp;IF(AND(OR(P31="DIRECTA",P31="DIMENSIONES"),U31=0),"Línea incompleta o con medidas no numéricas. ","")&amp;IF(P31="SIN LÍNEAS","No constan medidas de esta fila. ","")&amp;IF(Y31&gt;0,"Parece m³: tres dimensiones bajo m². ","")&amp;IF(AND(AB31&lt;&gt;"",SUMPRODUCT(--('LÉEME'!$B$65:$B$86=AC31))&lt;&gt;1),"Revisamos el significado de la unidad. ","")&amp;IF(Z31&gt;0,"Más precisión que los decimales indicados: cotejamos el original. ","")&amp;IF(AA31&gt;0,"Revisamos dimensiones, cantidad directa, ceros o deducción. ","")))</f>
      </c>
      <c r="O31" s="0" t="n">
        <f>IF(ISNUMBER(K31),IF(AND(K31&gt;0,K31=INT(K31),K31&lt;=999999),K31,0),0)</f>
        <v>0</v>
      </c>
      <c r="P31" s="0">
        <f>IF(COUNTA(B31:L31)=0,"",IF(L31="",IF(COUNTA(G31:J31)&gt;0,"DIMENSIONES","SIN LÍNEAS"),UPPER(TRIM(L31))))</f>
      </c>
      <c r="Q31" s="0">
        <f>IF(AND(O31&gt;0,LEN(TRIM(B31&amp;""))&gt;0,LEN(TRIM(C31&amp;""))&gt;0,LEN(TRIM(E31&amp;""))&gt;0,ISNUMBER(F31)),O31,"")</f>
      </c>
      <c r="R31" s="0" t="n">
        <f>IF(O31=0,0,IF(COUNTIFS($Q$13:$Q$512,O31)&gt;0,MATCH(O31,$Q$13:$Q$512,0),0))</f>
        <v>0</v>
      </c>
      <c r="S31" s="0">
        <f>IF(AB31="","",IF(SUMPRODUCT(--('LÉEME'!$B$65:$B$86=AC31))=1,INDEX('LÉEME'!$C$65:$C$86,MATCH(AC31,'LÉEME'!$B$65:$B$86,0)),UPPER(TRIM(AB31))))</f>
      </c>
      <c r="T31" s="0" t="n">
        <f>IF(R31=0,0,IF(OR(AND(LEN(TRIM(B31&amp;""))&gt;0,UPPER(TRIM(B31&amp;""))&lt;&gt;UPPER(TRIM(INDEX($B$13:$B$512,R31)&amp;""))),AND(LEN(TRIM(C31&amp;""))&gt;0,UPPER(TRIM(C31&amp;""))&lt;&gt;UPPER(TRIM(INDEX($C$13:$C$512,R31)&amp;""))),AND(LEN(TRIM(E31&amp;""))&gt;0,S31&lt;&gt;INDEX($S$13:$S$512,R31)),AND(F31&lt;&gt;"",NOT(ISNUMBER(F31)))),1,IF(ISNUMBER(F31),IF(ABS(F31-INDEX($F$13:$F$512,R31))&gt;0.00000001,1,0),0)))</f>
        <v>0</v>
      </c>
      <c r="U31" s="0" t="n">
        <f>IF(P31="DIRECTA",IF(AND(ISNUMBER(G31),COUNTA(H31:J31)=0),1,0),IF(P31="DIMENSIONES",IF(AND(COUNT(G31:J31)&gt;0,COUNTA(G31:J31)=COUNT(G31:J31)),1,0),0))</f>
        <v>0</v>
      </c>
      <c r="V31" s="0" t="n">
        <f>IF(O31=0,0,IF(COUNTIFS($O$13:O31,O31)=1,1,0))</f>
        <v>0</v>
      </c>
      <c r="W31" s="0">
        <f>IF(V31=1,COUNTIFS($V$13:V31,1),"")</f>
      </c>
      <c r="X31" s="0">
        <f>IF(COUNTA(B31:L31)=0,"",IF(OR(NOT(IF(ISNUMBER($E$6),AND($E$6&gt;=0,$E$6&lt;=6,$E$6=INT($E$6)),FALSE)),O31=0,R31=0,T31&gt;0,AND(P31&lt;&gt;"DIMENSIONES",P31&lt;&gt;"DIRECTA",P31&lt;&gt;"SIN LÍNEAS",P31&lt;&gt;"CABECERA"),AND(OR(P31="DIRECTA",P31="DIMENSIONES"),U31=0),AND(OR(P31="SIN LÍNEAS",P31="CABECERA"),COUNTA(G31:J31)&gt;0)),2,IF(OR(P31="SIN LÍNEAS",Y31&gt;0,Z31&gt;0,AA31&gt;0,SUMPRODUCT(--('LÉEME'!$B$65:$B$86=AC31))&lt;&gt;1),1,0)))</f>
      </c>
      <c r="Y31" s="0" t="n">
        <f>IF(AND(P31="DIMENSIONES",S31="m²",COUNT(H31:J31)=3),1,0)</f>
        <v>0</v>
      </c>
      <c r="Z31" s="0" t="n">
        <f>IF(IF(ISNUMBER($E$6),AND($E$6&gt;=0,$E$6&lt;=6,$E$6=INT($E$6)),FALSE),IF(SUM(IF(ISNUMBER(F31),IF(ABS(F31-ROUND(F31,$E$6))&gt;0.00000001,1,0),0),IF(ISNUMBER(G31),IF(ABS(G31-ROUND(G31,$E$6))&gt;0.00000001,1,0),0),IF(ISNUMBER(H31),IF(ABS(H31-ROUND(H31,$E$6))&gt;0.00000001,1,0),0),IF(ISNUMBER(I31),IF(ABS(I31-ROUND(I31,$E$6))&gt;0.00000001,1,0),0),IF(ISNUMBER(J31),IF(ABS(J31-ROUND(J31,$E$6))&gt;0.00000001,1,0),0),IF(ISNUMBER(M31),IF(ABS(M31-ROUND(M31,$E$6))&gt;0.00000001,1,0),0))&gt;0,1,0),0)</f>
        <v>0</v>
      </c>
      <c r="AA31" s="0" t="n">
        <f>IF(COUNTA(B31:L31)=0,0,IF(OR(AND(ISNUMBER(F31),F31&lt;0),AND(U31=1,OR(SUM(IF(ISNUMBER(G31),IF(G31=0,1,0),0),IF(ISNUMBER(H31),IF(H31=0,1,0),0),IF(ISNUMBER(I31),IF(I31=0,1,0),0),IF(ISNUMBER(J31),IF(J31=0,1,0),0))&gt;0,COUNTIFS(G31:J31,"&lt;0")&gt;0)),AND(P31="DIMENSIONES",U31=1,OR(AND(S31="m",COUNT(H31:J31)&lt;&gt;1),AND(S31="m²",COUNT(H31:J31)&lt;&gt;2,Y31=0),AND(S31="m³",COUNT(H31:J31)&lt;&gt;3),AND(S31="ud",COUNT(H31:J31)&gt;0))),AND(P31="DIRECTA",OR(S31="m",S31="m²",S31="m³"))),1,0))</f>
        <v>0</v>
      </c>
      <c r="AB31" s="0">
        <f>IF(LEN(TRIM(E31&amp;""))&gt;0,E31,IF(R31&gt;0,INDEX($E$13:$E$512,R31),""))</f>
      </c>
      <c r="AC31" s="0">
        <f>UPPER(SUBSTITUTE(SUBSTITUTE(SUBSTITUTE(SUBSTITUTE(SUBSTITUTE(TRIM(AB31),"²","2"),"³","3"),"^",""),".","")," ",""))</f>
      </c>
    </row>
    <row r="32" ht="35" customHeight="1">
      <c r="B32" s="35"/>
      <c r="C32" s="35"/>
      <c r="D32" s="37"/>
      <c r="E32" s="35"/>
      <c r="F32" s="38"/>
      <c r="G32" s="38"/>
      <c r="H32" s="38"/>
      <c r="I32" s="38"/>
      <c r="J32" s="38"/>
      <c r="K32" s="35"/>
      <c r="L32" s="35"/>
      <c r="M32" s="39">
        <f>IF(U32&lt;&gt;1,"",IF(P32="DIRECTA",G32,IF(ISNUMBER(G32),G32,1)*IF(ISNUMBER(H32),H32,1)*IF(ISNUMBER(I32),I32,1)*IF(ISNUMBER(J32),J32,1)))</f>
      </c>
      <c r="N32" s="30">
        <f>IF(COUNTA(B32:L32)=0,"",IF(X32=0,IF(P32="CABECERA","VERDE · Fila descriptiva; la suma usa las líneas del ID","VERDE · Datos numéricos interpretables"),IF(X32=2,"ROJO · ","ÁMBAR · ")&amp;IF(NOT(IF(ISNUMBER($E$6),AND($E$6&gt;=0,$E$6&lt;=6,$E$6=INT($E$6)),FALSE)),"Indicamos entre 0 y 6 decimales en E6. ","")&amp;IF(O32=0,"Falta un ID numérico. ","")&amp;IF(R32=0,"Faltan capítulo, código, unidad o total numérico del ID. ","")&amp;IF(T32&gt;0,"Los datos o el total del ID se contradicen. ","")&amp;IF(AND(P32&lt;&gt;"DIMENSIONES",P32&lt;&gt;"DIRECTA",P32&lt;&gt;"SIN LÍNEAS",P32&lt;&gt;"CABECERA"),"Tipo de fila no reconocido. ","")&amp;IF(AND(OR(P32="SIN LÍNEAS",P32="CABECERA"),COUNTA(G32:J32)&gt;0),"La fila dice que no mide, pero contiene medidas. ","")&amp;IF(AND(OR(P32="DIRECTA",P32="DIMENSIONES"),U32=0),"Línea incompleta o con medidas no numéricas. ","")&amp;IF(P32="SIN LÍNEAS","No constan medidas de esta fila. ","")&amp;IF(Y32&gt;0,"Parece m³: tres dimensiones bajo m². ","")&amp;IF(AND(AB32&lt;&gt;"",SUMPRODUCT(--('LÉEME'!$B$65:$B$86=AC32))&lt;&gt;1),"Revisamos el significado de la unidad. ","")&amp;IF(Z32&gt;0,"Más precisión que los decimales indicados: cotejamos el original. ","")&amp;IF(AA32&gt;0,"Revisamos dimensiones, cantidad directa, ceros o deducción. ","")))</f>
      </c>
      <c r="O32" s="0" t="n">
        <f>IF(ISNUMBER(K32),IF(AND(K32&gt;0,K32=INT(K32),K32&lt;=999999),K32,0),0)</f>
        <v>0</v>
      </c>
      <c r="P32" s="0">
        <f>IF(COUNTA(B32:L32)=0,"",IF(L32="",IF(COUNTA(G32:J32)&gt;0,"DIMENSIONES","SIN LÍNEAS"),UPPER(TRIM(L32))))</f>
      </c>
      <c r="Q32" s="0">
        <f>IF(AND(O32&gt;0,LEN(TRIM(B32&amp;""))&gt;0,LEN(TRIM(C32&amp;""))&gt;0,LEN(TRIM(E32&amp;""))&gt;0,ISNUMBER(F32)),O32,"")</f>
      </c>
      <c r="R32" s="0" t="n">
        <f>IF(O32=0,0,IF(COUNTIFS($Q$13:$Q$512,O32)&gt;0,MATCH(O32,$Q$13:$Q$512,0),0))</f>
        <v>0</v>
      </c>
      <c r="S32" s="0">
        <f>IF(AB32="","",IF(SUMPRODUCT(--('LÉEME'!$B$65:$B$86=AC32))=1,INDEX('LÉEME'!$C$65:$C$86,MATCH(AC32,'LÉEME'!$B$65:$B$86,0)),UPPER(TRIM(AB32))))</f>
      </c>
      <c r="T32" s="0" t="n">
        <f>IF(R32=0,0,IF(OR(AND(LEN(TRIM(B32&amp;""))&gt;0,UPPER(TRIM(B32&amp;""))&lt;&gt;UPPER(TRIM(INDEX($B$13:$B$512,R32)&amp;""))),AND(LEN(TRIM(C32&amp;""))&gt;0,UPPER(TRIM(C32&amp;""))&lt;&gt;UPPER(TRIM(INDEX($C$13:$C$512,R32)&amp;""))),AND(LEN(TRIM(E32&amp;""))&gt;0,S32&lt;&gt;INDEX($S$13:$S$512,R32)),AND(F32&lt;&gt;"",NOT(ISNUMBER(F32)))),1,IF(ISNUMBER(F32),IF(ABS(F32-INDEX($F$13:$F$512,R32))&gt;0.00000001,1,0),0)))</f>
        <v>0</v>
      </c>
      <c r="U32" s="0" t="n">
        <f>IF(P32="DIRECTA",IF(AND(ISNUMBER(G32),COUNTA(H32:J32)=0),1,0),IF(P32="DIMENSIONES",IF(AND(COUNT(G32:J32)&gt;0,COUNTA(G32:J32)=COUNT(G32:J32)),1,0),0))</f>
        <v>0</v>
      </c>
      <c r="V32" s="0" t="n">
        <f>IF(O32=0,0,IF(COUNTIFS($O$13:O32,O32)=1,1,0))</f>
        <v>0</v>
      </c>
      <c r="W32" s="0">
        <f>IF(V32=1,COUNTIFS($V$13:V32,1),"")</f>
      </c>
      <c r="X32" s="0">
        <f>IF(COUNTA(B32:L32)=0,"",IF(OR(NOT(IF(ISNUMBER($E$6),AND($E$6&gt;=0,$E$6&lt;=6,$E$6=INT($E$6)),FALSE)),O32=0,R32=0,T32&gt;0,AND(P32&lt;&gt;"DIMENSIONES",P32&lt;&gt;"DIRECTA",P32&lt;&gt;"SIN LÍNEAS",P32&lt;&gt;"CABECERA"),AND(OR(P32="DIRECTA",P32="DIMENSIONES"),U32=0),AND(OR(P32="SIN LÍNEAS",P32="CABECERA"),COUNTA(G32:J32)&gt;0)),2,IF(OR(P32="SIN LÍNEAS",Y32&gt;0,Z32&gt;0,AA32&gt;0,SUMPRODUCT(--('LÉEME'!$B$65:$B$86=AC32))&lt;&gt;1),1,0)))</f>
      </c>
      <c r="Y32" s="0" t="n">
        <f>IF(AND(P32="DIMENSIONES",S32="m²",COUNT(H32:J32)=3),1,0)</f>
        <v>0</v>
      </c>
      <c r="Z32" s="0" t="n">
        <f>IF(IF(ISNUMBER($E$6),AND($E$6&gt;=0,$E$6&lt;=6,$E$6=INT($E$6)),FALSE),IF(SUM(IF(ISNUMBER(F32),IF(ABS(F32-ROUND(F32,$E$6))&gt;0.00000001,1,0),0),IF(ISNUMBER(G32),IF(ABS(G32-ROUND(G32,$E$6))&gt;0.00000001,1,0),0),IF(ISNUMBER(H32),IF(ABS(H32-ROUND(H32,$E$6))&gt;0.00000001,1,0),0),IF(ISNUMBER(I32),IF(ABS(I32-ROUND(I32,$E$6))&gt;0.00000001,1,0),0),IF(ISNUMBER(J32),IF(ABS(J32-ROUND(J32,$E$6))&gt;0.00000001,1,0),0),IF(ISNUMBER(M32),IF(ABS(M32-ROUND(M32,$E$6))&gt;0.00000001,1,0),0))&gt;0,1,0),0)</f>
        <v>0</v>
      </c>
      <c r="AA32" s="0" t="n">
        <f>IF(COUNTA(B32:L32)=0,0,IF(OR(AND(ISNUMBER(F32),F32&lt;0),AND(U32=1,OR(SUM(IF(ISNUMBER(G32),IF(G32=0,1,0),0),IF(ISNUMBER(H32),IF(H32=0,1,0),0),IF(ISNUMBER(I32),IF(I32=0,1,0),0),IF(ISNUMBER(J32),IF(J32=0,1,0),0))&gt;0,COUNTIFS(G32:J32,"&lt;0")&gt;0)),AND(P32="DIMENSIONES",U32=1,OR(AND(S32="m",COUNT(H32:J32)&lt;&gt;1),AND(S32="m²",COUNT(H32:J32)&lt;&gt;2,Y32=0),AND(S32="m³",COUNT(H32:J32)&lt;&gt;3),AND(S32="ud",COUNT(H32:J32)&gt;0))),AND(P32="DIRECTA",OR(S32="m",S32="m²",S32="m³"))),1,0))</f>
        <v>0</v>
      </c>
      <c r="AB32" s="0">
        <f>IF(LEN(TRIM(E32&amp;""))&gt;0,E32,IF(R32&gt;0,INDEX($E$13:$E$512,R32),""))</f>
      </c>
      <c r="AC32" s="0">
        <f>UPPER(SUBSTITUTE(SUBSTITUTE(SUBSTITUTE(SUBSTITUTE(SUBSTITUTE(TRIM(AB32),"²","2"),"³","3"),"^",""),".","")," ",""))</f>
      </c>
    </row>
    <row r="33" ht="35" customHeight="1">
      <c r="B33" s="35"/>
      <c r="C33" s="35"/>
      <c r="D33" s="37"/>
      <c r="E33" s="35"/>
      <c r="F33" s="38"/>
      <c r="G33" s="38"/>
      <c r="H33" s="38"/>
      <c r="I33" s="38"/>
      <c r="J33" s="38"/>
      <c r="K33" s="35"/>
      <c r="L33" s="35"/>
      <c r="M33" s="39">
        <f>IF(U33&lt;&gt;1,"",IF(P33="DIRECTA",G33,IF(ISNUMBER(G33),G33,1)*IF(ISNUMBER(H33),H33,1)*IF(ISNUMBER(I33),I33,1)*IF(ISNUMBER(J33),J33,1)))</f>
      </c>
      <c r="N33" s="30">
        <f>IF(COUNTA(B33:L33)=0,"",IF(X33=0,IF(P33="CABECERA","VERDE · Fila descriptiva; la suma usa las líneas del ID","VERDE · Datos numéricos interpretables"),IF(X33=2,"ROJO · ","ÁMBAR · ")&amp;IF(NOT(IF(ISNUMBER($E$6),AND($E$6&gt;=0,$E$6&lt;=6,$E$6=INT($E$6)),FALSE)),"Indicamos entre 0 y 6 decimales en E6. ","")&amp;IF(O33=0,"Falta un ID numérico. ","")&amp;IF(R33=0,"Faltan capítulo, código, unidad o total numérico del ID. ","")&amp;IF(T33&gt;0,"Los datos o el total del ID se contradicen. ","")&amp;IF(AND(P33&lt;&gt;"DIMENSIONES",P33&lt;&gt;"DIRECTA",P33&lt;&gt;"SIN LÍNEAS",P33&lt;&gt;"CABECERA"),"Tipo de fila no reconocido. ","")&amp;IF(AND(OR(P33="SIN LÍNEAS",P33="CABECERA"),COUNTA(G33:J33)&gt;0),"La fila dice que no mide, pero contiene medidas. ","")&amp;IF(AND(OR(P33="DIRECTA",P33="DIMENSIONES"),U33=0),"Línea incompleta o con medidas no numéricas. ","")&amp;IF(P33="SIN LÍNEAS","No constan medidas de esta fila. ","")&amp;IF(Y33&gt;0,"Parece m³: tres dimensiones bajo m². ","")&amp;IF(AND(AB33&lt;&gt;"",SUMPRODUCT(--('LÉEME'!$B$65:$B$86=AC33))&lt;&gt;1),"Revisamos el significado de la unidad. ","")&amp;IF(Z33&gt;0,"Más precisión que los decimales indicados: cotejamos el original. ","")&amp;IF(AA33&gt;0,"Revisamos dimensiones, cantidad directa, ceros o deducción. ","")))</f>
      </c>
      <c r="O33" s="0" t="n">
        <f>IF(ISNUMBER(K33),IF(AND(K33&gt;0,K33=INT(K33),K33&lt;=999999),K33,0),0)</f>
        <v>0</v>
      </c>
      <c r="P33" s="0">
        <f>IF(COUNTA(B33:L33)=0,"",IF(L33="",IF(COUNTA(G33:J33)&gt;0,"DIMENSIONES","SIN LÍNEAS"),UPPER(TRIM(L33))))</f>
      </c>
      <c r="Q33" s="0">
        <f>IF(AND(O33&gt;0,LEN(TRIM(B33&amp;""))&gt;0,LEN(TRIM(C33&amp;""))&gt;0,LEN(TRIM(E33&amp;""))&gt;0,ISNUMBER(F33)),O33,"")</f>
      </c>
      <c r="R33" s="0" t="n">
        <f>IF(O33=0,0,IF(COUNTIFS($Q$13:$Q$512,O33)&gt;0,MATCH(O33,$Q$13:$Q$512,0),0))</f>
        <v>0</v>
      </c>
      <c r="S33" s="0">
        <f>IF(AB33="","",IF(SUMPRODUCT(--('LÉEME'!$B$65:$B$86=AC33))=1,INDEX('LÉEME'!$C$65:$C$86,MATCH(AC33,'LÉEME'!$B$65:$B$86,0)),UPPER(TRIM(AB33))))</f>
      </c>
      <c r="T33" s="0" t="n">
        <f>IF(R33=0,0,IF(OR(AND(LEN(TRIM(B33&amp;""))&gt;0,UPPER(TRIM(B33&amp;""))&lt;&gt;UPPER(TRIM(INDEX($B$13:$B$512,R33)&amp;""))),AND(LEN(TRIM(C33&amp;""))&gt;0,UPPER(TRIM(C33&amp;""))&lt;&gt;UPPER(TRIM(INDEX($C$13:$C$512,R33)&amp;""))),AND(LEN(TRIM(E33&amp;""))&gt;0,S33&lt;&gt;INDEX($S$13:$S$512,R33)),AND(F33&lt;&gt;"",NOT(ISNUMBER(F33)))),1,IF(ISNUMBER(F33),IF(ABS(F33-INDEX($F$13:$F$512,R33))&gt;0.00000001,1,0),0)))</f>
        <v>0</v>
      </c>
      <c r="U33" s="0" t="n">
        <f>IF(P33="DIRECTA",IF(AND(ISNUMBER(G33),COUNTA(H33:J33)=0),1,0),IF(P33="DIMENSIONES",IF(AND(COUNT(G33:J33)&gt;0,COUNTA(G33:J33)=COUNT(G33:J33)),1,0),0))</f>
        <v>0</v>
      </c>
      <c r="V33" s="0" t="n">
        <f>IF(O33=0,0,IF(COUNTIFS($O$13:O33,O33)=1,1,0))</f>
        <v>0</v>
      </c>
      <c r="W33" s="0">
        <f>IF(V33=1,COUNTIFS($V$13:V33,1),"")</f>
      </c>
      <c r="X33" s="0">
        <f>IF(COUNTA(B33:L33)=0,"",IF(OR(NOT(IF(ISNUMBER($E$6),AND($E$6&gt;=0,$E$6&lt;=6,$E$6=INT($E$6)),FALSE)),O33=0,R33=0,T33&gt;0,AND(P33&lt;&gt;"DIMENSIONES",P33&lt;&gt;"DIRECTA",P33&lt;&gt;"SIN LÍNEAS",P33&lt;&gt;"CABECERA"),AND(OR(P33="DIRECTA",P33="DIMENSIONES"),U33=0),AND(OR(P33="SIN LÍNEAS",P33="CABECERA"),COUNTA(G33:J33)&gt;0)),2,IF(OR(P33="SIN LÍNEAS",Y33&gt;0,Z33&gt;0,AA33&gt;0,SUMPRODUCT(--('LÉEME'!$B$65:$B$86=AC33))&lt;&gt;1),1,0)))</f>
      </c>
      <c r="Y33" s="0" t="n">
        <f>IF(AND(P33="DIMENSIONES",S33="m²",COUNT(H33:J33)=3),1,0)</f>
        <v>0</v>
      </c>
      <c r="Z33" s="0" t="n">
        <f>IF(IF(ISNUMBER($E$6),AND($E$6&gt;=0,$E$6&lt;=6,$E$6=INT($E$6)),FALSE),IF(SUM(IF(ISNUMBER(F33),IF(ABS(F33-ROUND(F33,$E$6))&gt;0.00000001,1,0),0),IF(ISNUMBER(G33),IF(ABS(G33-ROUND(G33,$E$6))&gt;0.00000001,1,0),0),IF(ISNUMBER(H33),IF(ABS(H33-ROUND(H33,$E$6))&gt;0.00000001,1,0),0),IF(ISNUMBER(I33),IF(ABS(I33-ROUND(I33,$E$6))&gt;0.00000001,1,0),0),IF(ISNUMBER(J33),IF(ABS(J33-ROUND(J33,$E$6))&gt;0.00000001,1,0),0),IF(ISNUMBER(M33),IF(ABS(M33-ROUND(M33,$E$6))&gt;0.00000001,1,0),0))&gt;0,1,0),0)</f>
        <v>0</v>
      </c>
      <c r="AA33" s="0" t="n">
        <f>IF(COUNTA(B33:L33)=0,0,IF(OR(AND(ISNUMBER(F33),F33&lt;0),AND(U33=1,OR(SUM(IF(ISNUMBER(G33),IF(G33=0,1,0),0),IF(ISNUMBER(H33),IF(H33=0,1,0),0),IF(ISNUMBER(I33),IF(I33=0,1,0),0),IF(ISNUMBER(J33),IF(J33=0,1,0),0))&gt;0,COUNTIFS(G33:J33,"&lt;0")&gt;0)),AND(P33="DIMENSIONES",U33=1,OR(AND(S33="m",COUNT(H33:J33)&lt;&gt;1),AND(S33="m²",COUNT(H33:J33)&lt;&gt;2,Y33=0),AND(S33="m³",COUNT(H33:J33)&lt;&gt;3),AND(S33="ud",COUNT(H33:J33)&gt;0))),AND(P33="DIRECTA",OR(S33="m",S33="m²",S33="m³"))),1,0))</f>
        <v>0</v>
      </c>
      <c r="AB33" s="0">
        <f>IF(LEN(TRIM(E33&amp;""))&gt;0,E33,IF(R33&gt;0,INDEX($E$13:$E$512,R33),""))</f>
      </c>
      <c r="AC33" s="0">
        <f>UPPER(SUBSTITUTE(SUBSTITUTE(SUBSTITUTE(SUBSTITUTE(SUBSTITUTE(TRIM(AB33),"²","2"),"³","3"),"^",""),".","")," ",""))</f>
      </c>
    </row>
    <row r="34" ht="35" customHeight="1">
      <c r="B34" s="35"/>
      <c r="C34" s="35"/>
      <c r="D34" s="37"/>
      <c r="E34" s="35"/>
      <c r="F34" s="38"/>
      <c r="G34" s="38"/>
      <c r="H34" s="38"/>
      <c r="I34" s="38"/>
      <c r="J34" s="38"/>
      <c r="K34" s="35"/>
      <c r="L34" s="35"/>
      <c r="M34" s="39">
        <f>IF(U34&lt;&gt;1,"",IF(P34="DIRECTA",G34,IF(ISNUMBER(G34),G34,1)*IF(ISNUMBER(H34),H34,1)*IF(ISNUMBER(I34),I34,1)*IF(ISNUMBER(J34),J34,1)))</f>
      </c>
      <c r="N34" s="30">
        <f>IF(COUNTA(B34:L34)=0,"",IF(X34=0,IF(P34="CABECERA","VERDE · Fila descriptiva; la suma usa las líneas del ID","VERDE · Datos numéricos interpretables"),IF(X34=2,"ROJO · ","ÁMBAR · ")&amp;IF(NOT(IF(ISNUMBER($E$6),AND($E$6&gt;=0,$E$6&lt;=6,$E$6=INT($E$6)),FALSE)),"Indicamos entre 0 y 6 decimales en E6. ","")&amp;IF(O34=0,"Falta un ID numérico. ","")&amp;IF(R34=0,"Faltan capítulo, código, unidad o total numérico del ID. ","")&amp;IF(T34&gt;0,"Los datos o el total del ID se contradicen. ","")&amp;IF(AND(P34&lt;&gt;"DIMENSIONES",P34&lt;&gt;"DIRECTA",P34&lt;&gt;"SIN LÍNEAS",P34&lt;&gt;"CABECERA"),"Tipo de fila no reconocido. ","")&amp;IF(AND(OR(P34="SIN LÍNEAS",P34="CABECERA"),COUNTA(G34:J34)&gt;0),"La fila dice que no mide, pero contiene medidas. ","")&amp;IF(AND(OR(P34="DIRECTA",P34="DIMENSIONES"),U34=0),"Línea incompleta o con medidas no numéricas. ","")&amp;IF(P34="SIN LÍNEAS","No constan medidas de esta fila. ","")&amp;IF(Y34&gt;0,"Parece m³: tres dimensiones bajo m². ","")&amp;IF(AND(AB34&lt;&gt;"",SUMPRODUCT(--('LÉEME'!$B$65:$B$86=AC34))&lt;&gt;1),"Revisamos el significado de la unidad. ","")&amp;IF(Z34&gt;0,"Más precisión que los decimales indicados: cotejamos el original. ","")&amp;IF(AA34&gt;0,"Revisamos dimensiones, cantidad directa, ceros o deducción. ","")))</f>
      </c>
      <c r="O34" s="0" t="n">
        <f>IF(ISNUMBER(K34),IF(AND(K34&gt;0,K34=INT(K34),K34&lt;=999999),K34,0),0)</f>
        <v>0</v>
      </c>
      <c r="P34" s="0">
        <f>IF(COUNTA(B34:L34)=0,"",IF(L34="",IF(COUNTA(G34:J34)&gt;0,"DIMENSIONES","SIN LÍNEAS"),UPPER(TRIM(L34))))</f>
      </c>
      <c r="Q34" s="0">
        <f>IF(AND(O34&gt;0,LEN(TRIM(B34&amp;""))&gt;0,LEN(TRIM(C34&amp;""))&gt;0,LEN(TRIM(E34&amp;""))&gt;0,ISNUMBER(F34)),O34,"")</f>
      </c>
      <c r="R34" s="0" t="n">
        <f>IF(O34=0,0,IF(COUNTIFS($Q$13:$Q$512,O34)&gt;0,MATCH(O34,$Q$13:$Q$512,0),0))</f>
        <v>0</v>
      </c>
      <c r="S34" s="0">
        <f>IF(AB34="","",IF(SUMPRODUCT(--('LÉEME'!$B$65:$B$86=AC34))=1,INDEX('LÉEME'!$C$65:$C$86,MATCH(AC34,'LÉEME'!$B$65:$B$86,0)),UPPER(TRIM(AB34))))</f>
      </c>
      <c r="T34" s="0" t="n">
        <f>IF(R34=0,0,IF(OR(AND(LEN(TRIM(B34&amp;""))&gt;0,UPPER(TRIM(B34&amp;""))&lt;&gt;UPPER(TRIM(INDEX($B$13:$B$512,R34)&amp;""))),AND(LEN(TRIM(C34&amp;""))&gt;0,UPPER(TRIM(C34&amp;""))&lt;&gt;UPPER(TRIM(INDEX($C$13:$C$512,R34)&amp;""))),AND(LEN(TRIM(E34&amp;""))&gt;0,S34&lt;&gt;INDEX($S$13:$S$512,R34)),AND(F34&lt;&gt;"",NOT(ISNUMBER(F34)))),1,IF(ISNUMBER(F34),IF(ABS(F34-INDEX($F$13:$F$512,R34))&gt;0.00000001,1,0),0)))</f>
        <v>0</v>
      </c>
      <c r="U34" s="0" t="n">
        <f>IF(P34="DIRECTA",IF(AND(ISNUMBER(G34),COUNTA(H34:J34)=0),1,0),IF(P34="DIMENSIONES",IF(AND(COUNT(G34:J34)&gt;0,COUNTA(G34:J34)=COUNT(G34:J34)),1,0),0))</f>
        <v>0</v>
      </c>
      <c r="V34" s="0" t="n">
        <f>IF(O34=0,0,IF(COUNTIFS($O$13:O34,O34)=1,1,0))</f>
        <v>0</v>
      </c>
      <c r="W34" s="0">
        <f>IF(V34=1,COUNTIFS($V$13:V34,1),"")</f>
      </c>
      <c r="X34" s="0">
        <f>IF(COUNTA(B34:L34)=0,"",IF(OR(NOT(IF(ISNUMBER($E$6),AND($E$6&gt;=0,$E$6&lt;=6,$E$6=INT($E$6)),FALSE)),O34=0,R34=0,T34&gt;0,AND(P34&lt;&gt;"DIMENSIONES",P34&lt;&gt;"DIRECTA",P34&lt;&gt;"SIN LÍNEAS",P34&lt;&gt;"CABECERA"),AND(OR(P34="DIRECTA",P34="DIMENSIONES"),U34=0),AND(OR(P34="SIN LÍNEAS",P34="CABECERA"),COUNTA(G34:J34)&gt;0)),2,IF(OR(P34="SIN LÍNEAS",Y34&gt;0,Z34&gt;0,AA34&gt;0,SUMPRODUCT(--('LÉEME'!$B$65:$B$86=AC34))&lt;&gt;1),1,0)))</f>
      </c>
      <c r="Y34" s="0" t="n">
        <f>IF(AND(P34="DIMENSIONES",S34="m²",COUNT(H34:J34)=3),1,0)</f>
        <v>0</v>
      </c>
      <c r="Z34" s="0" t="n">
        <f>IF(IF(ISNUMBER($E$6),AND($E$6&gt;=0,$E$6&lt;=6,$E$6=INT($E$6)),FALSE),IF(SUM(IF(ISNUMBER(F34),IF(ABS(F34-ROUND(F34,$E$6))&gt;0.00000001,1,0),0),IF(ISNUMBER(G34),IF(ABS(G34-ROUND(G34,$E$6))&gt;0.00000001,1,0),0),IF(ISNUMBER(H34),IF(ABS(H34-ROUND(H34,$E$6))&gt;0.00000001,1,0),0),IF(ISNUMBER(I34),IF(ABS(I34-ROUND(I34,$E$6))&gt;0.00000001,1,0),0),IF(ISNUMBER(J34),IF(ABS(J34-ROUND(J34,$E$6))&gt;0.00000001,1,0),0),IF(ISNUMBER(M34),IF(ABS(M34-ROUND(M34,$E$6))&gt;0.00000001,1,0),0))&gt;0,1,0),0)</f>
        <v>0</v>
      </c>
      <c r="AA34" s="0" t="n">
        <f>IF(COUNTA(B34:L34)=0,0,IF(OR(AND(ISNUMBER(F34),F34&lt;0),AND(U34=1,OR(SUM(IF(ISNUMBER(G34),IF(G34=0,1,0),0),IF(ISNUMBER(H34),IF(H34=0,1,0),0),IF(ISNUMBER(I34),IF(I34=0,1,0),0),IF(ISNUMBER(J34),IF(J34=0,1,0),0))&gt;0,COUNTIFS(G34:J34,"&lt;0")&gt;0)),AND(P34="DIMENSIONES",U34=1,OR(AND(S34="m",COUNT(H34:J34)&lt;&gt;1),AND(S34="m²",COUNT(H34:J34)&lt;&gt;2,Y34=0),AND(S34="m³",COUNT(H34:J34)&lt;&gt;3),AND(S34="ud",COUNT(H34:J34)&gt;0))),AND(P34="DIRECTA",OR(S34="m",S34="m²",S34="m³"))),1,0))</f>
        <v>0</v>
      </c>
      <c r="AB34" s="0">
        <f>IF(LEN(TRIM(E34&amp;""))&gt;0,E34,IF(R34&gt;0,INDEX($E$13:$E$512,R34),""))</f>
      </c>
      <c r="AC34" s="0">
        <f>UPPER(SUBSTITUTE(SUBSTITUTE(SUBSTITUTE(SUBSTITUTE(SUBSTITUTE(TRIM(AB34),"²","2"),"³","3"),"^",""),".","")," ",""))</f>
      </c>
    </row>
    <row r="35" ht="35" customHeight="1">
      <c r="B35" s="35"/>
      <c r="C35" s="35"/>
      <c r="D35" s="37"/>
      <c r="E35" s="35"/>
      <c r="F35" s="38"/>
      <c r="G35" s="38"/>
      <c r="H35" s="38"/>
      <c r="I35" s="38"/>
      <c r="J35" s="38"/>
      <c r="K35" s="35"/>
      <c r="L35" s="35"/>
      <c r="M35" s="39">
        <f>IF(U35&lt;&gt;1,"",IF(P35="DIRECTA",G35,IF(ISNUMBER(G35),G35,1)*IF(ISNUMBER(H35),H35,1)*IF(ISNUMBER(I35),I35,1)*IF(ISNUMBER(J35),J35,1)))</f>
      </c>
      <c r="N35" s="30">
        <f>IF(COUNTA(B35:L35)=0,"",IF(X35=0,IF(P35="CABECERA","VERDE · Fila descriptiva; la suma usa las líneas del ID","VERDE · Datos numéricos interpretables"),IF(X35=2,"ROJO · ","ÁMBAR · ")&amp;IF(NOT(IF(ISNUMBER($E$6),AND($E$6&gt;=0,$E$6&lt;=6,$E$6=INT($E$6)),FALSE)),"Indicamos entre 0 y 6 decimales en E6. ","")&amp;IF(O35=0,"Falta un ID numérico. ","")&amp;IF(R35=0,"Faltan capítulo, código, unidad o total numérico del ID. ","")&amp;IF(T35&gt;0,"Los datos o el total del ID se contradicen. ","")&amp;IF(AND(P35&lt;&gt;"DIMENSIONES",P35&lt;&gt;"DIRECTA",P35&lt;&gt;"SIN LÍNEAS",P35&lt;&gt;"CABECERA"),"Tipo de fila no reconocido. ","")&amp;IF(AND(OR(P35="SIN LÍNEAS",P35="CABECERA"),COUNTA(G35:J35)&gt;0),"La fila dice que no mide, pero contiene medidas. ","")&amp;IF(AND(OR(P35="DIRECTA",P35="DIMENSIONES"),U35=0),"Línea incompleta o con medidas no numéricas. ","")&amp;IF(P35="SIN LÍNEAS","No constan medidas de esta fila. ","")&amp;IF(Y35&gt;0,"Parece m³: tres dimensiones bajo m². ","")&amp;IF(AND(AB35&lt;&gt;"",SUMPRODUCT(--('LÉEME'!$B$65:$B$86=AC35))&lt;&gt;1),"Revisamos el significado de la unidad. ","")&amp;IF(Z35&gt;0,"Más precisión que los decimales indicados: cotejamos el original. ","")&amp;IF(AA35&gt;0,"Revisamos dimensiones, cantidad directa, ceros o deducción. ","")))</f>
      </c>
      <c r="O35" s="0" t="n">
        <f>IF(ISNUMBER(K35),IF(AND(K35&gt;0,K35=INT(K35),K35&lt;=999999),K35,0),0)</f>
        <v>0</v>
      </c>
      <c r="P35" s="0">
        <f>IF(COUNTA(B35:L35)=0,"",IF(L35="",IF(COUNTA(G35:J35)&gt;0,"DIMENSIONES","SIN LÍNEAS"),UPPER(TRIM(L35))))</f>
      </c>
      <c r="Q35" s="0">
        <f>IF(AND(O35&gt;0,LEN(TRIM(B35&amp;""))&gt;0,LEN(TRIM(C35&amp;""))&gt;0,LEN(TRIM(E35&amp;""))&gt;0,ISNUMBER(F35)),O35,"")</f>
      </c>
      <c r="R35" s="0" t="n">
        <f>IF(O35=0,0,IF(COUNTIFS($Q$13:$Q$512,O35)&gt;0,MATCH(O35,$Q$13:$Q$512,0),0))</f>
        <v>0</v>
      </c>
      <c r="S35" s="0">
        <f>IF(AB35="","",IF(SUMPRODUCT(--('LÉEME'!$B$65:$B$86=AC35))=1,INDEX('LÉEME'!$C$65:$C$86,MATCH(AC35,'LÉEME'!$B$65:$B$86,0)),UPPER(TRIM(AB35))))</f>
      </c>
      <c r="T35" s="0" t="n">
        <f>IF(R35=0,0,IF(OR(AND(LEN(TRIM(B35&amp;""))&gt;0,UPPER(TRIM(B35&amp;""))&lt;&gt;UPPER(TRIM(INDEX($B$13:$B$512,R35)&amp;""))),AND(LEN(TRIM(C35&amp;""))&gt;0,UPPER(TRIM(C35&amp;""))&lt;&gt;UPPER(TRIM(INDEX($C$13:$C$512,R35)&amp;""))),AND(LEN(TRIM(E35&amp;""))&gt;0,S35&lt;&gt;INDEX($S$13:$S$512,R35)),AND(F35&lt;&gt;"",NOT(ISNUMBER(F35)))),1,IF(ISNUMBER(F35),IF(ABS(F35-INDEX($F$13:$F$512,R35))&gt;0.00000001,1,0),0)))</f>
        <v>0</v>
      </c>
      <c r="U35" s="0" t="n">
        <f>IF(P35="DIRECTA",IF(AND(ISNUMBER(G35),COUNTA(H35:J35)=0),1,0),IF(P35="DIMENSIONES",IF(AND(COUNT(G35:J35)&gt;0,COUNTA(G35:J35)=COUNT(G35:J35)),1,0),0))</f>
        <v>0</v>
      </c>
      <c r="V35" s="0" t="n">
        <f>IF(O35=0,0,IF(COUNTIFS($O$13:O35,O35)=1,1,0))</f>
        <v>0</v>
      </c>
      <c r="W35" s="0">
        <f>IF(V35=1,COUNTIFS($V$13:V35,1),"")</f>
      </c>
      <c r="X35" s="0">
        <f>IF(COUNTA(B35:L35)=0,"",IF(OR(NOT(IF(ISNUMBER($E$6),AND($E$6&gt;=0,$E$6&lt;=6,$E$6=INT($E$6)),FALSE)),O35=0,R35=0,T35&gt;0,AND(P35&lt;&gt;"DIMENSIONES",P35&lt;&gt;"DIRECTA",P35&lt;&gt;"SIN LÍNEAS",P35&lt;&gt;"CABECERA"),AND(OR(P35="DIRECTA",P35="DIMENSIONES"),U35=0),AND(OR(P35="SIN LÍNEAS",P35="CABECERA"),COUNTA(G35:J35)&gt;0)),2,IF(OR(P35="SIN LÍNEAS",Y35&gt;0,Z35&gt;0,AA35&gt;0,SUMPRODUCT(--('LÉEME'!$B$65:$B$86=AC35))&lt;&gt;1),1,0)))</f>
      </c>
      <c r="Y35" s="0" t="n">
        <f>IF(AND(P35="DIMENSIONES",S35="m²",COUNT(H35:J35)=3),1,0)</f>
        <v>0</v>
      </c>
      <c r="Z35" s="0" t="n">
        <f>IF(IF(ISNUMBER($E$6),AND($E$6&gt;=0,$E$6&lt;=6,$E$6=INT($E$6)),FALSE),IF(SUM(IF(ISNUMBER(F35),IF(ABS(F35-ROUND(F35,$E$6))&gt;0.00000001,1,0),0),IF(ISNUMBER(G35),IF(ABS(G35-ROUND(G35,$E$6))&gt;0.00000001,1,0),0),IF(ISNUMBER(H35),IF(ABS(H35-ROUND(H35,$E$6))&gt;0.00000001,1,0),0),IF(ISNUMBER(I35),IF(ABS(I35-ROUND(I35,$E$6))&gt;0.00000001,1,0),0),IF(ISNUMBER(J35),IF(ABS(J35-ROUND(J35,$E$6))&gt;0.00000001,1,0),0),IF(ISNUMBER(M35),IF(ABS(M35-ROUND(M35,$E$6))&gt;0.00000001,1,0),0))&gt;0,1,0),0)</f>
        <v>0</v>
      </c>
      <c r="AA35" s="0" t="n">
        <f>IF(COUNTA(B35:L35)=0,0,IF(OR(AND(ISNUMBER(F35),F35&lt;0),AND(U35=1,OR(SUM(IF(ISNUMBER(G35),IF(G35=0,1,0),0),IF(ISNUMBER(H35),IF(H35=0,1,0),0),IF(ISNUMBER(I35),IF(I35=0,1,0),0),IF(ISNUMBER(J35),IF(J35=0,1,0),0))&gt;0,COUNTIFS(G35:J35,"&lt;0")&gt;0)),AND(P35="DIMENSIONES",U35=1,OR(AND(S35="m",COUNT(H35:J35)&lt;&gt;1),AND(S35="m²",COUNT(H35:J35)&lt;&gt;2,Y35=0),AND(S35="m³",COUNT(H35:J35)&lt;&gt;3),AND(S35="ud",COUNT(H35:J35)&gt;0))),AND(P35="DIRECTA",OR(S35="m",S35="m²",S35="m³"))),1,0))</f>
        <v>0</v>
      </c>
      <c r="AB35" s="0">
        <f>IF(LEN(TRIM(E35&amp;""))&gt;0,E35,IF(R35&gt;0,INDEX($E$13:$E$512,R35),""))</f>
      </c>
      <c r="AC35" s="0">
        <f>UPPER(SUBSTITUTE(SUBSTITUTE(SUBSTITUTE(SUBSTITUTE(SUBSTITUTE(TRIM(AB35),"²","2"),"³","3"),"^",""),".","")," ",""))</f>
      </c>
    </row>
    <row r="36" ht="35" customHeight="1">
      <c r="B36" s="35"/>
      <c r="C36" s="35"/>
      <c r="D36" s="37"/>
      <c r="E36" s="35"/>
      <c r="F36" s="38"/>
      <c r="G36" s="38"/>
      <c r="H36" s="38"/>
      <c r="I36" s="38"/>
      <c r="J36" s="38"/>
      <c r="K36" s="35"/>
      <c r="L36" s="35"/>
      <c r="M36" s="39">
        <f>IF(U36&lt;&gt;1,"",IF(P36="DIRECTA",G36,IF(ISNUMBER(G36),G36,1)*IF(ISNUMBER(H36),H36,1)*IF(ISNUMBER(I36),I36,1)*IF(ISNUMBER(J36),J36,1)))</f>
      </c>
      <c r="N36" s="30">
        <f>IF(COUNTA(B36:L36)=0,"",IF(X36=0,IF(P36="CABECERA","VERDE · Fila descriptiva; la suma usa las líneas del ID","VERDE · Datos numéricos interpretables"),IF(X36=2,"ROJO · ","ÁMBAR · ")&amp;IF(NOT(IF(ISNUMBER($E$6),AND($E$6&gt;=0,$E$6&lt;=6,$E$6=INT($E$6)),FALSE)),"Indicamos entre 0 y 6 decimales en E6. ","")&amp;IF(O36=0,"Falta un ID numérico. ","")&amp;IF(R36=0,"Faltan capítulo, código, unidad o total numérico del ID. ","")&amp;IF(T36&gt;0,"Los datos o el total del ID se contradicen. ","")&amp;IF(AND(P36&lt;&gt;"DIMENSIONES",P36&lt;&gt;"DIRECTA",P36&lt;&gt;"SIN LÍNEAS",P36&lt;&gt;"CABECERA"),"Tipo de fila no reconocido. ","")&amp;IF(AND(OR(P36="SIN LÍNEAS",P36="CABECERA"),COUNTA(G36:J36)&gt;0),"La fila dice que no mide, pero contiene medidas. ","")&amp;IF(AND(OR(P36="DIRECTA",P36="DIMENSIONES"),U36=0),"Línea incompleta o con medidas no numéricas. ","")&amp;IF(P36="SIN LÍNEAS","No constan medidas de esta fila. ","")&amp;IF(Y36&gt;0,"Parece m³: tres dimensiones bajo m². ","")&amp;IF(AND(AB36&lt;&gt;"",SUMPRODUCT(--('LÉEME'!$B$65:$B$86=AC36))&lt;&gt;1),"Revisamos el significado de la unidad. ","")&amp;IF(Z36&gt;0,"Más precisión que los decimales indicados: cotejamos el original. ","")&amp;IF(AA36&gt;0,"Revisamos dimensiones, cantidad directa, ceros o deducción. ","")))</f>
      </c>
      <c r="O36" s="0" t="n">
        <f>IF(ISNUMBER(K36),IF(AND(K36&gt;0,K36=INT(K36),K36&lt;=999999),K36,0),0)</f>
        <v>0</v>
      </c>
      <c r="P36" s="0">
        <f>IF(COUNTA(B36:L36)=0,"",IF(L36="",IF(COUNTA(G36:J36)&gt;0,"DIMENSIONES","SIN LÍNEAS"),UPPER(TRIM(L36))))</f>
      </c>
      <c r="Q36" s="0">
        <f>IF(AND(O36&gt;0,LEN(TRIM(B36&amp;""))&gt;0,LEN(TRIM(C36&amp;""))&gt;0,LEN(TRIM(E36&amp;""))&gt;0,ISNUMBER(F36)),O36,"")</f>
      </c>
      <c r="R36" s="0" t="n">
        <f>IF(O36=0,0,IF(COUNTIFS($Q$13:$Q$512,O36)&gt;0,MATCH(O36,$Q$13:$Q$512,0),0))</f>
        <v>0</v>
      </c>
      <c r="S36" s="0">
        <f>IF(AB36="","",IF(SUMPRODUCT(--('LÉEME'!$B$65:$B$86=AC36))=1,INDEX('LÉEME'!$C$65:$C$86,MATCH(AC36,'LÉEME'!$B$65:$B$86,0)),UPPER(TRIM(AB36))))</f>
      </c>
      <c r="T36" s="0" t="n">
        <f>IF(R36=0,0,IF(OR(AND(LEN(TRIM(B36&amp;""))&gt;0,UPPER(TRIM(B36&amp;""))&lt;&gt;UPPER(TRIM(INDEX($B$13:$B$512,R36)&amp;""))),AND(LEN(TRIM(C36&amp;""))&gt;0,UPPER(TRIM(C36&amp;""))&lt;&gt;UPPER(TRIM(INDEX($C$13:$C$512,R36)&amp;""))),AND(LEN(TRIM(E36&amp;""))&gt;0,S36&lt;&gt;INDEX($S$13:$S$512,R36)),AND(F36&lt;&gt;"",NOT(ISNUMBER(F36)))),1,IF(ISNUMBER(F36),IF(ABS(F36-INDEX($F$13:$F$512,R36))&gt;0.00000001,1,0),0)))</f>
        <v>0</v>
      </c>
      <c r="U36" s="0" t="n">
        <f>IF(P36="DIRECTA",IF(AND(ISNUMBER(G36),COUNTA(H36:J36)=0),1,0),IF(P36="DIMENSIONES",IF(AND(COUNT(G36:J36)&gt;0,COUNTA(G36:J36)=COUNT(G36:J36)),1,0),0))</f>
        <v>0</v>
      </c>
      <c r="V36" s="0" t="n">
        <f>IF(O36=0,0,IF(COUNTIFS($O$13:O36,O36)=1,1,0))</f>
        <v>0</v>
      </c>
      <c r="W36" s="0">
        <f>IF(V36=1,COUNTIFS($V$13:V36,1),"")</f>
      </c>
      <c r="X36" s="0">
        <f>IF(COUNTA(B36:L36)=0,"",IF(OR(NOT(IF(ISNUMBER($E$6),AND($E$6&gt;=0,$E$6&lt;=6,$E$6=INT($E$6)),FALSE)),O36=0,R36=0,T36&gt;0,AND(P36&lt;&gt;"DIMENSIONES",P36&lt;&gt;"DIRECTA",P36&lt;&gt;"SIN LÍNEAS",P36&lt;&gt;"CABECERA"),AND(OR(P36="DIRECTA",P36="DIMENSIONES"),U36=0),AND(OR(P36="SIN LÍNEAS",P36="CABECERA"),COUNTA(G36:J36)&gt;0)),2,IF(OR(P36="SIN LÍNEAS",Y36&gt;0,Z36&gt;0,AA36&gt;0,SUMPRODUCT(--('LÉEME'!$B$65:$B$86=AC36))&lt;&gt;1),1,0)))</f>
      </c>
      <c r="Y36" s="0" t="n">
        <f>IF(AND(P36="DIMENSIONES",S36="m²",COUNT(H36:J36)=3),1,0)</f>
        <v>0</v>
      </c>
      <c r="Z36" s="0" t="n">
        <f>IF(IF(ISNUMBER($E$6),AND($E$6&gt;=0,$E$6&lt;=6,$E$6=INT($E$6)),FALSE),IF(SUM(IF(ISNUMBER(F36),IF(ABS(F36-ROUND(F36,$E$6))&gt;0.00000001,1,0),0),IF(ISNUMBER(G36),IF(ABS(G36-ROUND(G36,$E$6))&gt;0.00000001,1,0),0),IF(ISNUMBER(H36),IF(ABS(H36-ROUND(H36,$E$6))&gt;0.00000001,1,0),0),IF(ISNUMBER(I36),IF(ABS(I36-ROUND(I36,$E$6))&gt;0.00000001,1,0),0),IF(ISNUMBER(J36),IF(ABS(J36-ROUND(J36,$E$6))&gt;0.00000001,1,0),0),IF(ISNUMBER(M36),IF(ABS(M36-ROUND(M36,$E$6))&gt;0.00000001,1,0),0))&gt;0,1,0),0)</f>
        <v>0</v>
      </c>
      <c r="AA36" s="0" t="n">
        <f>IF(COUNTA(B36:L36)=0,0,IF(OR(AND(ISNUMBER(F36),F36&lt;0),AND(U36=1,OR(SUM(IF(ISNUMBER(G36),IF(G36=0,1,0),0),IF(ISNUMBER(H36),IF(H36=0,1,0),0),IF(ISNUMBER(I36),IF(I36=0,1,0),0),IF(ISNUMBER(J36),IF(J36=0,1,0),0))&gt;0,COUNTIFS(G36:J36,"&lt;0")&gt;0)),AND(P36="DIMENSIONES",U36=1,OR(AND(S36="m",COUNT(H36:J36)&lt;&gt;1),AND(S36="m²",COUNT(H36:J36)&lt;&gt;2,Y36=0),AND(S36="m³",COUNT(H36:J36)&lt;&gt;3),AND(S36="ud",COUNT(H36:J36)&gt;0))),AND(P36="DIRECTA",OR(S36="m",S36="m²",S36="m³"))),1,0))</f>
        <v>0</v>
      </c>
      <c r="AB36" s="0">
        <f>IF(LEN(TRIM(E36&amp;""))&gt;0,E36,IF(R36&gt;0,INDEX($E$13:$E$512,R36),""))</f>
      </c>
      <c r="AC36" s="0">
        <f>UPPER(SUBSTITUTE(SUBSTITUTE(SUBSTITUTE(SUBSTITUTE(SUBSTITUTE(TRIM(AB36),"²","2"),"³","3"),"^",""),".","")," ",""))</f>
      </c>
    </row>
    <row r="37" ht="35" customHeight="1">
      <c r="B37" s="35"/>
      <c r="C37" s="35"/>
      <c r="D37" s="37"/>
      <c r="E37" s="35"/>
      <c r="F37" s="38"/>
      <c r="G37" s="38"/>
      <c r="H37" s="38"/>
      <c r="I37" s="38"/>
      <c r="J37" s="38"/>
      <c r="K37" s="35"/>
      <c r="L37" s="35"/>
      <c r="M37" s="39">
        <f>IF(U37&lt;&gt;1,"",IF(P37="DIRECTA",G37,IF(ISNUMBER(G37),G37,1)*IF(ISNUMBER(H37),H37,1)*IF(ISNUMBER(I37),I37,1)*IF(ISNUMBER(J37),J37,1)))</f>
      </c>
      <c r="N37" s="30">
        <f>IF(COUNTA(B37:L37)=0,"",IF(X37=0,IF(P37="CABECERA","VERDE · Fila descriptiva; la suma usa las líneas del ID","VERDE · Datos numéricos interpretables"),IF(X37=2,"ROJO · ","ÁMBAR · ")&amp;IF(NOT(IF(ISNUMBER($E$6),AND($E$6&gt;=0,$E$6&lt;=6,$E$6=INT($E$6)),FALSE)),"Indicamos entre 0 y 6 decimales en E6. ","")&amp;IF(O37=0,"Falta un ID numérico. ","")&amp;IF(R37=0,"Faltan capítulo, código, unidad o total numérico del ID. ","")&amp;IF(T37&gt;0,"Los datos o el total del ID se contradicen. ","")&amp;IF(AND(P37&lt;&gt;"DIMENSIONES",P37&lt;&gt;"DIRECTA",P37&lt;&gt;"SIN LÍNEAS",P37&lt;&gt;"CABECERA"),"Tipo de fila no reconocido. ","")&amp;IF(AND(OR(P37="SIN LÍNEAS",P37="CABECERA"),COUNTA(G37:J37)&gt;0),"La fila dice que no mide, pero contiene medidas. ","")&amp;IF(AND(OR(P37="DIRECTA",P37="DIMENSIONES"),U37=0),"Línea incompleta o con medidas no numéricas. ","")&amp;IF(P37="SIN LÍNEAS","No constan medidas de esta fila. ","")&amp;IF(Y37&gt;0,"Parece m³: tres dimensiones bajo m². ","")&amp;IF(AND(AB37&lt;&gt;"",SUMPRODUCT(--('LÉEME'!$B$65:$B$86=AC37))&lt;&gt;1),"Revisamos el significado de la unidad. ","")&amp;IF(Z37&gt;0,"Más precisión que los decimales indicados: cotejamos el original. ","")&amp;IF(AA37&gt;0,"Revisamos dimensiones, cantidad directa, ceros o deducción. ","")))</f>
      </c>
      <c r="O37" s="0" t="n">
        <f>IF(ISNUMBER(K37),IF(AND(K37&gt;0,K37=INT(K37),K37&lt;=999999),K37,0),0)</f>
        <v>0</v>
      </c>
      <c r="P37" s="0">
        <f>IF(COUNTA(B37:L37)=0,"",IF(L37="",IF(COUNTA(G37:J37)&gt;0,"DIMENSIONES","SIN LÍNEAS"),UPPER(TRIM(L37))))</f>
      </c>
      <c r="Q37" s="0">
        <f>IF(AND(O37&gt;0,LEN(TRIM(B37&amp;""))&gt;0,LEN(TRIM(C37&amp;""))&gt;0,LEN(TRIM(E37&amp;""))&gt;0,ISNUMBER(F37)),O37,"")</f>
      </c>
      <c r="R37" s="0" t="n">
        <f>IF(O37=0,0,IF(COUNTIFS($Q$13:$Q$512,O37)&gt;0,MATCH(O37,$Q$13:$Q$512,0),0))</f>
        <v>0</v>
      </c>
      <c r="S37" s="0">
        <f>IF(AB37="","",IF(SUMPRODUCT(--('LÉEME'!$B$65:$B$86=AC37))=1,INDEX('LÉEME'!$C$65:$C$86,MATCH(AC37,'LÉEME'!$B$65:$B$86,0)),UPPER(TRIM(AB37))))</f>
      </c>
      <c r="T37" s="0" t="n">
        <f>IF(R37=0,0,IF(OR(AND(LEN(TRIM(B37&amp;""))&gt;0,UPPER(TRIM(B37&amp;""))&lt;&gt;UPPER(TRIM(INDEX($B$13:$B$512,R37)&amp;""))),AND(LEN(TRIM(C37&amp;""))&gt;0,UPPER(TRIM(C37&amp;""))&lt;&gt;UPPER(TRIM(INDEX($C$13:$C$512,R37)&amp;""))),AND(LEN(TRIM(E37&amp;""))&gt;0,S37&lt;&gt;INDEX($S$13:$S$512,R37)),AND(F37&lt;&gt;"",NOT(ISNUMBER(F37)))),1,IF(ISNUMBER(F37),IF(ABS(F37-INDEX($F$13:$F$512,R37))&gt;0.00000001,1,0),0)))</f>
        <v>0</v>
      </c>
      <c r="U37" s="0" t="n">
        <f>IF(P37="DIRECTA",IF(AND(ISNUMBER(G37),COUNTA(H37:J37)=0),1,0),IF(P37="DIMENSIONES",IF(AND(COUNT(G37:J37)&gt;0,COUNTA(G37:J37)=COUNT(G37:J37)),1,0),0))</f>
        <v>0</v>
      </c>
      <c r="V37" s="0" t="n">
        <f>IF(O37=0,0,IF(COUNTIFS($O$13:O37,O37)=1,1,0))</f>
        <v>0</v>
      </c>
      <c r="W37" s="0">
        <f>IF(V37=1,COUNTIFS($V$13:V37,1),"")</f>
      </c>
      <c r="X37" s="0">
        <f>IF(COUNTA(B37:L37)=0,"",IF(OR(NOT(IF(ISNUMBER($E$6),AND($E$6&gt;=0,$E$6&lt;=6,$E$6=INT($E$6)),FALSE)),O37=0,R37=0,T37&gt;0,AND(P37&lt;&gt;"DIMENSIONES",P37&lt;&gt;"DIRECTA",P37&lt;&gt;"SIN LÍNEAS",P37&lt;&gt;"CABECERA"),AND(OR(P37="DIRECTA",P37="DIMENSIONES"),U37=0),AND(OR(P37="SIN LÍNEAS",P37="CABECERA"),COUNTA(G37:J37)&gt;0)),2,IF(OR(P37="SIN LÍNEAS",Y37&gt;0,Z37&gt;0,AA37&gt;0,SUMPRODUCT(--('LÉEME'!$B$65:$B$86=AC37))&lt;&gt;1),1,0)))</f>
      </c>
      <c r="Y37" s="0" t="n">
        <f>IF(AND(P37="DIMENSIONES",S37="m²",COUNT(H37:J37)=3),1,0)</f>
        <v>0</v>
      </c>
      <c r="Z37" s="0" t="n">
        <f>IF(IF(ISNUMBER($E$6),AND($E$6&gt;=0,$E$6&lt;=6,$E$6=INT($E$6)),FALSE),IF(SUM(IF(ISNUMBER(F37),IF(ABS(F37-ROUND(F37,$E$6))&gt;0.00000001,1,0),0),IF(ISNUMBER(G37),IF(ABS(G37-ROUND(G37,$E$6))&gt;0.00000001,1,0),0),IF(ISNUMBER(H37),IF(ABS(H37-ROUND(H37,$E$6))&gt;0.00000001,1,0),0),IF(ISNUMBER(I37),IF(ABS(I37-ROUND(I37,$E$6))&gt;0.00000001,1,0),0),IF(ISNUMBER(J37),IF(ABS(J37-ROUND(J37,$E$6))&gt;0.00000001,1,0),0),IF(ISNUMBER(M37),IF(ABS(M37-ROUND(M37,$E$6))&gt;0.00000001,1,0),0))&gt;0,1,0),0)</f>
        <v>0</v>
      </c>
      <c r="AA37" s="0" t="n">
        <f>IF(COUNTA(B37:L37)=0,0,IF(OR(AND(ISNUMBER(F37),F37&lt;0),AND(U37=1,OR(SUM(IF(ISNUMBER(G37),IF(G37=0,1,0),0),IF(ISNUMBER(H37),IF(H37=0,1,0),0),IF(ISNUMBER(I37),IF(I37=0,1,0),0),IF(ISNUMBER(J37),IF(J37=0,1,0),0))&gt;0,COUNTIFS(G37:J37,"&lt;0")&gt;0)),AND(P37="DIMENSIONES",U37=1,OR(AND(S37="m",COUNT(H37:J37)&lt;&gt;1),AND(S37="m²",COUNT(H37:J37)&lt;&gt;2,Y37=0),AND(S37="m³",COUNT(H37:J37)&lt;&gt;3),AND(S37="ud",COUNT(H37:J37)&gt;0))),AND(P37="DIRECTA",OR(S37="m",S37="m²",S37="m³"))),1,0))</f>
        <v>0</v>
      </c>
      <c r="AB37" s="0">
        <f>IF(LEN(TRIM(E37&amp;""))&gt;0,E37,IF(R37&gt;0,INDEX($E$13:$E$512,R37),""))</f>
      </c>
      <c r="AC37" s="0">
        <f>UPPER(SUBSTITUTE(SUBSTITUTE(SUBSTITUTE(SUBSTITUTE(SUBSTITUTE(TRIM(AB37),"²","2"),"³","3"),"^",""),".","")," ",""))</f>
      </c>
    </row>
    <row r="38" ht="35" customHeight="1">
      <c r="B38" s="35"/>
      <c r="C38" s="35"/>
      <c r="D38" s="37"/>
      <c r="E38" s="35"/>
      <c r="F38" s="38"/>
      <c r="G38" s="38"/>
      <c r="H38" s="38"/>
      <c r="I38" s="38"/>
      <c r="J38" s="38"/>
      <c r="K38" s="35"/>
      <c r="L38" s="35"/>
      <c r="M38" s="39">
        <f>IF(U38&lt;&gt;1,"",IF(P38="DIRECTA",G38,IF(ISNUMBER(G38),G38,1)*IF(ISNUMBER(H38),H38,1)*IF(ISNUMBER(I38),I38,1)*IF(ISNUMBER(J38),J38,1)))</f>
      </c>
      <c r="N38" s="30">
        <f>IF(COUNTA(B38:L38)=0,"",IF(X38=0,IF(P38="CABECERA","VERDE · Fila descriptiva; la suma usa las líneas del ID","VERDE · Datos numéricos interpretables"),IF(X38=2,"ROJO · ","ÁMBAR · ")&amp;IF(NOT(IF(ISNUMBER($E$6),AND($E$6&gt;=0,$E$6&lt;=6,$E$6=INT($E$6)),FALSE)),"Indicamos entre 0 y 6 decimales en E6. ","")&amp;IF(O38=0,"Falta un ID numérico. ","")&amp;IF(R38=0,"Faltan capítulo, código, unidad o total numérico del ID. ","")&amp;IF(T38&gt;0,"Los datos o el total del ID se contradicen. ","")&amp;IF(AND(P38&lt;&gt;"DIMENSIONES",P38&lt;&gt;"DIRECTA",P38&lt;&gt;"SIN LÍNEAS",P38&lt;&gt;"CABECERA"),"Tipo de fila no reconocido. ","")&amp;IF(AND(OR(P38="SIN LÍNEAS",P38="CABECERA"),COUNTA(G38:J38)&gt;0),"La fila dice que no mide, pero contiene medidas. ","")&amp;IF(AND(OR(P38="DIRECTA",P38="DIMENSIONES"),U38=0),"Línea incompleta o con medidas no numéricas. ","")&amp;IF(P38="SIN LÍNEAS","No constan medidas de esta fila. ","")&amp;IF(Y38&gt;0,"Parece m³: tres dimensiones bajo m². ","")&amp;IF(AND(AB38&lt;&gt;"",SUMPRODUCT(--('LÉEME'!$B$65:$B$86=AC38))&lt;&gt;1),"Revisamos el significado de la unidad. ","")&amp;IF(Z38&gt;0,"Más precisión que los decimales indicados: cotejamos el original. ","")&amp;IF(AA38&gt;0,"Revisamos dimensiones, cantidad directa, ceros o deducción. ","")))</f>
      </c>
      <c r="O38" s="0" t="n">
        <f>IF(ISNUMBER(K38),IF(AND(K38&gt;0,K38=INT(K38),K38&lt;=999999),K38,0),0)</f>
        <v>0</v>
      </c>
      <c r="P38" s="0">
        <f>IF(COUNTA(B38:L38)=0,"",IF(L38="",IF(COUNTA(G38:J38)&gt;0,"DIMENSIONES","SIN LÍNEAS"),UPPER(TRIM(L38))))</f>
      </c>
      <c r="Q38" s="0">
        <f>IF(AND(O38&gt;0,LEN(TRIM(B38&amp;""))&gt;0,LEN(TRIM(C38&amp;""))&gt;0,LEN(TRIM(E38&amp;""))&gt;0,ISNUMBER(F38)),O38,"")</f>
      </c>
      <c r="R38" s="0" t="n">
        <f>IF(O38=0,0,IF(COUNTIFS($Q$13:$Q$512,O38)&gt;0,MATCH(O38,$Q$13:$Q$512,0),0))</f>
        <v>0</v>
      </c>
      <c r="S38" s="0">
        <f>IF(AB38="","",IF(SUMPRODUCT(--('LÉEME'!$B$65:$B$86=AC38))=1,INDEX('LÉEME'!$C$65:$C$86,MATCH(AC38,'LÉEME'!$B$65:$B$86,0)),UPPER(TRIM(AB38))))</f>
      </c>
      <c r="T38" s="0" t="n">
        <f>IF(R38=0,0,IF(OR(AND(LEN(TRIM(B38&amp;""))&gt;0,UPPER(TRIM(B38&amp;""))&lt;&gt;UPPER(TRIM(INDEX($B$13:$B$512,R38)&amp;""))),AND(LEN(TRIM(C38&amp;""))&gt;0,UPPER(TRIM(C38&amp;""))&lt;&gt;UPPER(TRIM(INDEX($C$13:$C$512,R38)&amp;""))),AND(LEN(TRIM(E38&amp;""))&gt;0,S38&lt;&gt;INDEX($S$13:$S$512,R38)),AND(F38&lt;&gt;"",NOT(ISNUMBER(F38)))),1,IF(ISNUMBER(F38),IF(ABS(F38-INDEX($F$13:$F$512,R38))&gt;0.00000001,1,0),0)))</f>
        <v>0</v>
      </c>
      <c r="U38" s="0" t="n">
        <f>IF(P38="DIRECTA",IF(AND(ISNUMBER(G38),COUNTA(H38:J38)=0),1,0),IF(P38="DIMENSIONES",IF(AND(COUNT(G38:J38)&gt;0,COUNTA(G38:J38)=COUNT(G38:J38)),1,0),0))</f>
        <v>0</v>
      </c>
      <c r="V38" s="0" t="n">
        <f>IF(O38=0,0,IF(COUNTIFS($O$13:O38,O38)=1,1,0))</f>
        <v>0</v>
      </c>
      <c r="W38" s="0">
        <f>IF(V38=1,COUNTIFS($V$13:V38,1),"")</f>
      </c>
      <c r="X38" s="0">
        <f>IF(COUNTA(B38:L38)=0,"",IF(OR(NOT(IF(ISNUMBER($E$6),AND($E$6&gt;=0,$E$6&lt;=6,$E$6=INT($E$6)),FALSE)),O38=0,R38=0,T38&gt;0,AND(P38&lt;&gt;"DIMENSIONES",P38&lt;&gt;"DIRECTA",P38&lt;&gt;"SIN LÍNEAS",P38&lt;&gt;"CABECERA"),AND(OR(P38="DIRECTA",P38="DIMENSIONES"),U38=0),AND(OR(P38="SIN LÍNEAS",P38="CABECERA"),COUNTA(G38:J38)&gt;0)),2,IF(OR(P38="SIN LÍNEAS",Y38&gt;0,Z38&gt;0,AA38&gt;0,SUMPRODUCT(--('LÉEME'!$B$65:$B$86=AC38))&lt;&gt;1),1,0)))</f>
      </c>
      <c r="Y38" s="0" t="n">
        <f>IF(AND(P38="DIMENSIONES",S38="m²",COUNT(H38:J38)=3),1,0)</f>
        <v>0</v>
      </c>
      <c r="Z38" s="0" t="n">
        <f>IF(IF(ISNUMBER($E$6),AND($E$6&gt;=0,$E$6&lt;=6,$E$6=INT($E$6)),FALSE),IF(SUM(IF(ISNUMBER(F38),IF(ABS(F38-ROUND(F38,$E$6))&gt;0.00000001,1,0),0),IF(ISNUMBER(G38),IF(ABS(G38-ROUND(G38,$E$6))&gt;0.00000001,1,0),0),IF(ISNUMBER(H38),IF(ABS(H38-ROUND(H38,$E$6))&gt;0.00000001,1,0),0),IF(ISNUMBER(I38),IF(ABS(I38-ROUND(I38,$E$6))&gt;0.00000001,1,0),0),IF(ISNUMBER(J38),IF(ABS(J38-ROUND(J38,$E$6))&gt;0.00000001,1,0),0),IF(ISNUMBER(M38),IF(ABS(M38-ROUND(M38,$E$6))&gt;0.00000001,1,0),0))&gt;0,1,0),0)</f>
        <v>0</v>
      </c>
      <c r="AA38" s="0" t="n">
        <f>IF(COUNTA(B38:L38)=0,0,IF(OR(AND(ISNUMBER(F38),F38&lt;0),AND(U38=1,OR(SUM(IF(ISNUMBER(G38),IF(G38=0,1,0),0),IF(ISNUMBER(H38),IF(H38=0,1,0),0),IF(ISNUMBER(I38),IF(I38=0,1,0),0),IF(ISNUMBER(J38),IF(J38=0,1,0),0))&gt;0,COUNTIFS(G38:J38,"&lt;0")&gt;0)),AND(P38="DIMENSIONES",U38=1,OR(AND(S38="m",COUNT(H38:J38)&lt;&gt;1),AND(S38="m²",COUNT(H38:J38)&lt;&gt;2,Y38=0),AND(S38="m³",COUNT(H38:J38)&lt;&gt;3),AND(S38="ud",COUNT(H38:J38)&gt;0))),AND(P38="DIRECTA",OR(S38="m",S38="m²",S38="m³"))),1,0))</f>
        <v>0</v>
      </c>
      <c r="AB38" s="0">
        <f>IF(LEN(TRIM(E38&amp;""))&gt;0,E38,IF(R38&gt;0,INDEX($E$13:$E$512,R38),""))</f>
      </c>
      <c r="AC38" s="0">
        <f>UPPER(SUBSTITUTE(SUBSTITUTE(SUBSTITUTE(SUBSTITUTE(SUBSTITUTE(TRIM(AB38),"²","2"),"³","3"),"^",""),".","")," ",""))</f>
      </c>
    </row>
    <row r="39" ht="35" customHeight="1">
      <c r="B39" s="35"/>
      <c r="C39" s="35"/>
      <c r="D39" s="37"/>
      <c r="E39" s="35"/>
      <c r="F39" s="38"/>
      <c r="G39" s="38"/>
      <c r="H39" s="38"/>
      <c r="I39" s="38"/>
      <c r="J39" s="38"/>
      <c r="K39" s="35"/>
      <c r="L39" s="35"/>
      <c r="M39" s="39">
        <f>IF(U39&lt;&gt;1,"",IF(P39="DIRECTA",G39,IF(ISNUMBER(G39),G39,1)*IF(ISNUMBER(H39),H39,1)*IF(ISNUMBER(I39),I39,1)*IF(ISNUMBER(J39),J39,1)))</f>
      </c>
      <c r="N39" s="30">
        <f>IF(COUNTA(B39:L39)=0,"",IF(X39=0,IF(P39="CABECERA","VERDE · Fila descriptiva; la suma usa las líneas del ID","VERDE · Datos numéricos interpretables"),IF(X39=2,"ROJO · ","ÁMBAR · ")&amp;IF(NOT(IF(ISNUMBER($E$6),AND($E$6&gt;=0,$E$6&lt;=6,$E$6=INT($E$6)),FALSE)),"Indicamos entre 0 y 6 decimales en E6. ","")&amp;IF(O39=0,"Falta un ID numérico. ","")&amp;IF(R39=0,"Faltan capítulo, código, unidad o total numérico del ID. ","")&amp;IF(T39&gt;0,"Los datos o el total del ID se contradicen. ","")&amp;IF(AND(P39&lt;&gt;"DIMENSIONES",P39&lt;&gt;"DIRECTA",P39&lt;&gt;"SIN LÍNEAS",P39&lt;&gt;"CABECERA"),"Tipo de fila no reconocido. ","")&amp;IF(AND(OR(P39="SIN LÍNEAS",P39="CABECERA"),COUNTA(G39:J39)&gt;0),"La fila dice que no mide, pero contiene medidas. ","")&amp;IF(AND(OR(P39="DIRECTA",P39="DIMENSIONES"),U39=0),"Línea incompleta o con medidas no numéricas. ","")&amp;IF(P39="SIN LÍNEAS","No constan medidas de esta fila. ","")&amp;IF(Y39&gt;0,"Parece m³: tres dimensiones bajo m². ","")&amp;IF(AND(AB39&lt;&gt;"",SUMPRODUCT(--('LÉEME'!$B$65:$B$86=AC39))&lt;&gt;1),"Revisamos el significado de la unidad. ","")&amp;IF(Z39&gt;0,"Más precisión que los decimales indicados: cotejamos el original. ","")&amp;IF(AA39&gt;0,"Revisamos dimensiones, cantidad directa, ceros o deducción. ","")))</f>
      </c>
      <c r="O39" s="0" t="n">
        <f>IF(ISNUMBER(K39),IF(AND(K39&gt;0,K39=INT(K39),K39&lt;=999999),K39,0),0)</f>
        <v>0</v>
      </c>
      <c r="P39" s="0">
        <f>IF(COUNTA(B39:L39)=0,"",IF(L39="",IF(COUNTA(G39:J39)&gt;0,"DIMENSIONES","SIN LÍNEAS"),UPPER(TRIM(L39))))</f>
      </c>
      <c r="Q39" s="0">
        <f>IF(AND(O39&gt;0,LEN(TRIM(B39&amp;""))&gt;0,LEN(TRIM(C39&amp;""))&gt;0,LEN(TRIM(E39&amp;""))&gt;0,ISNUMBER(F39)),O39,"")</f>
      </c>
      <c r="R39" s="0" t="n">
        <f>IF(O39=0,0,IF(COUNTIFS($Q$13:$Q$512,O39)&gt;0,MATCH(O39,$Q$13:$Q$512,0),0))</f>
        <v>0</v>
      </c>
      <c r="S39" s="0">
        <f>IF(AB39="","",IF(SUMPRODUCT(--('LÉEME'!$B$65:$B$86=AC39))=1,INDEX('LÉEME'!$C$65:$C$86,MATCH(AC39,'LÉEME'!$B$65:$B$86,0)),UPPER(TRIM(AB39))))</f>
      </c>
      <c r="T39" s="0" t="n">
        <f>IF(R39=0,0,IF(OR(AND(LEN(TRIM(B39&amp;""))&gt;0,UPPER(TRIM(B39&amp;""))&lt;&gt;UPPER(TRIM(INDEX($B$13:$B$512,R39)&amp;""))),AND(LEN(TRIM(C39&amp;""))&gt;0,UPPER(TRIM(C39&amp;""))&lt;&gt;UPPER(TRIM(INDEX($C$13:$C$512,R39)&amp;""))),AND(LEN(TRIM(E39&amp;""))&gt;0,S39&lt;&gt;INDEX($S$13:$S$512,R39)),AND(F39&lt;&gt;"",NOT(ISNUMBER(F39)))),1,IF(ISNUMBER(F39),IF(ABS(F39-INDEX($F$13:$F$512,R39))&gt;0.00000001,1,0),0)))</f>
        <v>0</v>
      </c>
      <c r="U39" s="0" t="n">
        <f>IF(P39="DIRECTA",IF(AND(ISNUMBER(G39),COUNTA(H39:J39)=0),1,0),IF(P39="DIMENSIONES",IF(AND(COUNT(G39:J39)&gt;0,COUNTA(G39:J39)=COUNT(G39:J39)),1,0),0))</f>
        <v>0</v>
      </c>
      <c r="V39" s="0" t="n">
        <f>IF(O39=0,0,IF(COUNTIFS($O$13:O39,O39)=1,1,0))</f>
        <v>0</v>
      </c>
      <c r="W39" s="0">
        <f>IF(V39=1,COUNTIFS($V$13:V39,1),"")</f>
      </c>
      <c r="X39" s="0">
        <f>IF(COUNTA(B39:L39)=0,"",IF(OR(NOT(IF(ISNUMBER($E$6),AND($E$6&gt;=0,$E$6&lt;=6,$E$6=INT($E$6)),FALSE)),O39=0,R39=0,T39&gt;0,AND(P39&lt;&gt;"DIMENSIONES",P39&lt;&gt;"DIRECTA",P39&lt;&gt;"SIN LÍNEAS",P39&lt;&gt;"CABECERA"),AND(OR(P39="DIRECTA",P39="DIMENSIONES"),U39=0),AND(OR(P39="SIN LÍNEAS",P39="CABECERA"),COUNTA(G39:J39)&gt;0)),2,IF(OR(P39="SIN LÍNEAS",Y39&gt;0,Z39&gt;0,AA39&gt;0,SUMPRODUCT(--('LÉEME'!$B$65:$B$86=AC39))&lt;&gt;1),1,0)))</f>
      </c>
      <c r="Y39" s="0" t="n">
        <f>IF(AND(P39="DIMENSIONES",S39="m²",COUNT(H39:J39)=3),1,0)</f>
        <v>0</v>
      </c>
      <c r="Z39" s="0" t="n">
        <f>IF(IF(ISNUMBER($E$6),AND($E$6&gt;=0,$E$6&lt;=6,$E$6=INT($E$6)),FALSE),IF(SUM(IF(ISNUMBER(F39),IF(ABS(F39-ROUND(F39,$E$6))&gt;0.00000001,1,0),0),IF(ISNUMBER(G39),IF(ABS(G39-ROUND(G39,$E$6))&gt;0.00000001,1,0),0),IF(ISNUMBER(H39),IF(ABS(H39-ROUND(H39,$E$6))&gt;0.00000001,1,0),0),IF(ISNUMBER(I39),IF(ABS(I39-ROUND(I39,$E$6))&gt;0.00000001,1,0),0),IF(ISNUMBER(J39),IF(ABS(J39-ROUND(J39,$E$6))&gt;0.00000001,1,0),0),IF(ISNUMBER(M39),IF(ABS(M39-ROUND(M39,$E$6))&gt;0.00000001,1,0),0))&gt;0,1,0),0)</f>
        <v>0</v>
      </c>
      <c r="AA39" s="0" t="n">
        <f>IF(COUNTA(B39:L39)=0,0,IF(OR(AND(ISNUMBER(F39),F39&lt;0),AND(U39=1,OR(SUM(IF(ISNUMBER(G39),IF(G39=0,1,0),0),IF(ISNUMBER(H39),IF(H39=0,1,0),0),IF(ISNUMBER(I39),IF(I39=0,1,0),0),IF(ISNUMBER(J39),IF(J39=0,1,0),0))&gt;0,COUNTIFS(G39:J39,"&lt;0")&gt;0)),AND(P39="DIMENSIONES",U39=1,OR(AND(S39="m",COUNT(H39:J39)&lt;&gt;1),AND(S39="m²",COUNT(H39:J39)&lt;&gt;2,Y39=0),AND(S39="m³",COUNT(H39:J39)&lt;&gt;3),AND(S39="ud",COUNT(H39:J39)&gt;0))),AND(P39="DIRECTA",OR(S39="m",S39="m²",S39="m³"))),1,0))</f>
        <v>0</v>
      </c>
      <c r="AB39" s="0">
        <f>IF(LEN(TRIM(E39&amp;""))&gt;0,E39,IF(R39&gt;0,INDEX($E$13:$E$512,R39),""))</f>
      </c>
      <c r="AC39" s="0">
        <f>UPPER(SUBSTITUTE(SUBSTITUTE(SUBSTITUTE(SUBSTITUTE(SUBSTITUTE(TRIM(AB39),"²","2"),"³","3"),"^",""),".","")," ",""))</f>
      </c>
    </row>
    <row r="40" ht="35" customHeight="1">
      <c r="B40" s="35"/>
      <c r="C40" s="35"/>
      <c r="D40" s="37"/>
      <c r="E40" s="35"/>
      <c r="F40" s="38"/>
      <c r="G40" s="38"/>
      <c r="H40" s="38"/>
      <c r="I40" s="38"/>
      <c r="J40" s="38"/>
      <c r="K40" s="35"/>
      <c r="L40" s="35"/>
      <c r="M40" s="39">
        <f>IF(U40&lt;&gt;1,"",IF(P40="DIRECTA",G40,IF(ISNUMBER(G40),G40,1)*IF(ISNUMBER(H40),H40,1)*IF(ISNUMBER(I40),I40,1)*IF(ISNUMBER(J40),J40,1)))</f>
      </c>
      <c r="N40" s="30">
        <f>IF(COUNTA(B40:L40)=0,"",IF(X40=0,IF(P40="CABECERA","VERDE · Fila descriptiva; la suma usa las líneas del ID","VERDE · Datos numéricos interpretables"),IF(X40=2,"ROJO · ","ÁMBAR · ")&amp;IF(NOT(IF(ISNUMBER($E$6),AND($E$6&gt;=0,$E$6&lt;=6,$E$6=INT($E$6)),FALSE)),"Indicamos entre 0 y 6 decimales en E6. ","")&amp;IF(O40=0,"Falta un ID numérico. ","")&amp;IF(R40=0,"Faltan capítulo, código, unidad o total numérico del ID. ","")&amp;IF(T40&gt;0,"Los datos o el total del ID se contradicen. ","")&amp;IF(AND(P40&lt;&gt;"DIMENSIONES",P40&lt;&gt;"DIRECTA",P40&lt;&gt;"SIN LÍNEAS",P40&lt;&gt;"CABECERA"),"Tipo de fila no reconocido. ","")&amp;IF(AND(OR(P40="SIN LÍNEAS",P40="CABECERA"),COUNTA(G40:J40)&gt;0),"La fila dice que no mide, pero contiene medidas. ","")&amp;IF(AND(OR(P40="DIRECTA",P40="DIMENSIONES"),U40=0),"Línea incompleta o con medidas no numéricas. ","")&amp;IF(P40="SIN LÍNEAS","No constan medidas de esta fila. ","")&amp;IF(Y40&gt;0,"Parece m³: tres dimensiones bajo m². ","")&amp;IF(AND(AB40&lt;&gt;"",SUMPRODUCT(--('LÉEME'!$B$65:$B$86=AC40))&lt;&gt;1),"Revisamos el significado de la unidad. ","")&amp;IF(Z40&gt;0,"Más precisión que los decimales indicados: cotejamos el original. ","")&amp;IF(AA40&gt;0,"Revisamos dimensiones, cantidad directa, ceros o deducción. ","")))</f>
      </c>
      <c r="O40" s="0" t="n">
        <f>IF(ISNUMBER(K40),IF(AND(K40&gt;0,K40=INT(K40),K40&lt;=999999),K40,0),0)</f>
        <v>0</v>
      </c>
      <c r="P40" s="0">
        <f>IF(COUNTA(B40:L40)=0,"",IF(L40="",IF(COUNTA(G40:J40)&gt;0,"DIMENSIONES","SIN LÍNEAS"),UPPER(TRIM(L40))))</f>
      </c>
      <c r="Q40" s="0">
        <f>IF(AND(O40&gt;0,LEN(TRIM(B40&amp;""))&gt;0,LEN(TRIM(C40&amp;""))&gt;0,LEN(TRIM(E40&amp;""))&gt;0,ISNUMBER(F40)),O40,"")</f>
      </c>
      <c r="R40" s="0" t="n">
        <f>IF(O40=0,0,IF(COUNTIFS($Q$13:$Q$512,O40)&gt;0,MATCH(O40,$Q$13:$Q$512,0),0))</f>
        <v>0</v>
      </c>
      <c r="S40" s="0">
        <f>IF(AB40="","",IF(SUMPRODUCT(--('LÉEME'!$B$65:$B$86=AC40))=1,INDEX('LÉEME'!$C$65:$C$86,MATCH(AC40,'LÉEME'!$B$65:$B$86,0)),UPPER(TRIM(AB40))))</f>
      </c>
      <c r="T40" s="0" t="n">
        <f>IF(R40=0,0,IF(OR(AND(LEN(TRIM(B40&amp;""))&gt;0,UPPER(TRIM(B40&amp;""))&lt;&gt;UPPER(TRIM(INDEX($B$13:$B$512,R40)&amp;""))),AND(LEN(TRIM(C40&amp;""))&gt;0,UPPER(TRIM(C40&amp;""))&lt;&gt;UPPER(TRIM(INDEX($C$13:$C$512,R40)&amp;""))),AND(LEN(TRIM(E40&amp;""))&gt;0,S40&lt;&gt;INDEX($S$13:$S$512,R40)),AND(F40&lt;&gt;"",NOT(ISNUMBER(F40)))),1,IF(ISNUMBER(F40),IF(ABS(F40-INDEX($F$13:$F$512,R40))&gt;0.00000001,1,0),0)))</f>
        <v>0</v>
      </c>
      <c r="U40" s="0" t="n">
        <f>IF(P40="DIRECTA",IF(AND(ISNUMBER(G40),COUNTA(H40:J40)=0),1,0),IF(P40="DIMENSIONES",IF(AND(COUNT(G40:J40)&gt;0,COUNTA(G40:J40)=COUNT(G40:J40)),1,0),0))</f>
        <v>0</v>
      </c>
      <c r="V40" s="0" t="n">
        <f>IF(O40=0,0,IF(COUNTIFS($O$13:O40,O40)=1,1,0))</f>
        <v>0</v>
      </c>
      <c r="W40" s="0">
        <f>IF(V40=1,COUNTIFS($V$13:V40,1),"")</f>
      </c>
      <c r="X40" s="0">
        <f>IF(COUNTA(B40:L40)=0,"",IF(OR(NOT(IF(ISNUMBER($E$6),AND($E$6&gt;=0,$E$6&lt;=6,$E$6=INT($E$6)),FALSE)),O40=0,R40=0,T40&gt;0,AND(P40&lt;&gt;"DIMENSIONES",P40&lt;&gt;"DIRECTA",P40&lt;&gt;"SIN LÍNEAS",P40&lt;&gt;"CABECERA"),AND(OR(P40="DIRECTA",P40="DIMENSIONES"),U40=0),AND(OR(P40="SIN LÍNEAS",P40="CABECERA"),COUNTA(G40:J40)&gt;0)),2,IF(OR(P40="SIN LÍNEAS",Y40&gt;0,Z40&gt;0,AA40&gt;0,SUMPRODUCT(--('LÉEME'!$B$65:$B$86=AC40))&lt;&gt;1),1,0)))</f>
      </c>
      <c r="Y40" s="0" t="n">
        <f>IF(AND(P40="DIMENSIONES",S40="m²",COUNT(H40:J40)=3),1,0)</f>
        <v>0</v>
      </c>
      <c r="Z40" s="0" t="n">
        <f>IF(IF(ISNUMBER($E$6),AND($E$6&gt;=0,$E$6&lt;=6,$E$6=INT($E$6)),FALSE),IF(SUM(IF(ISNUMBER(F40),IF(ABS(F40-ROUND(F40,$E$6))&gt;0.00000001,1,0),0),IF(ISNUMBER(G40),IF(ABS(G40-ROUND(G40,$E$6))&gt;0.00000001,1,0),0),IF(ISNUMBER(H40),IF(ABS(H40-ROUND(H40,$E$6))&gt;0.00000001,1,0),0),IF(ISNUMBER(I40),IF(ABS(I40-ROUND(I40,$E$6))&gt;0.00000001,1,0),0),IF(ISNUMBER(J40),IF(ABS(J40-ROUND(J40,$E$6))&gt;0.00000001,1,0),0),IF(ISNUMBER(M40),IF(ABS(M40-ROUND(M40,$E$6))&gt;0.00000001,1,0),0))&gt;0,1,0),0)</f>
        <v>0</v>
      </c>
      <c r="AA40" s="0" t="n">
        <f>IF(COUNTA(B40:L40)=0,0,IF(OR(AND(ISNUMBER(F40),F40&lt;0),AND(U40=1,OR(SUM(IF(ISNUMBER(G40),IF(G40=0,1,0),0),IF(ISNUMBER(H40),IF(H40=0,1,0),0),IF(ISNUMBER(I40),IF(I40=0,1,0),0),IF(ISNUMBER(J40),IF(J40=0,1,0),0))&gt;0,COUNTIFS(G40:J40,"&lt;0")&gt;0)),AND(P40="DIMENSIONES",U40=1,OR(AND(S40="m",COUNT(H40:J40)&lt;&gt;1),AND(S40="m²",COUNT(H40:J40)&lt;&gt;2,Y40=0),AND(S40="m³",COUNT(H40:J40)&lt;&gt;3),AND(S40="ud",COUNT(H40:J40)&gt;0))),AND(P40="DIRECTA",OR(S40="m",S40="m²",S40="m³"))),1,0))</f>
        <v>0</v>
      </c>
      <c r="AB40" s="0">
        <f>IF(LEN(TRIM(E40&amp;""))&gt;0,E40,IF(R40&gt;0,INDEX($E$13:$E$512,R40),""))</f>
      </c>
      <c r="AC40" s="0">
        <f>UPPER(SUBSTITUTE(SUBSTITUTE(SUBSTITUTE(SUBSTITUTE(SUBSTITUTE(TRIM(AB40),"²","2"),"³","3"),"^",""),".","")," ",""))</f>
      </c>
    </row>
    <row r="41" ht="35" customHeight="1">
      <c r="B41" s="35"/>
      <c r="C41" s="35"/>
      <c r="D41" s="37"/>
      <c r="E41" s="35"/>
      <c r="F41" s="38"/>
      <c r="G41" s="38"/>
      <c r="H41" s="38"/>
      <c r="I41" s="38"/>
      <c r="J41" s="38"/>
      <c r="K41" s="35"/>
      <c r="L41" s="35"/>
      <c r="M41" s="39">
        <f>IF(U41&lt;&gt;1,"",IF(P41="DIRECTA",G41,IF(ISNUMBER(G41),G41,1)*IF(ISNUMBER(H41),H41,1)*IF(ISNUMBER(I41),I41,1)*IF(ISNUMBER(J41),J41,1)))</f>
      </c>
      <c r="N41" s="30">
        <f>IF(COUNTA(B41:L41)=0,"",IF(X41=0,IF(P41="CABECERA","VERDE · Fila descriptiva; la suma usa las líneas del ID","VERDE · Datos numéricos interpretables"),IF(X41=2,"ROJO · ","ÁMBAR · ")&amp;IF(NOT(IF(ISNUMBER($E$6),AND($E$6&gt;=0,$E$6&lt;=6,$E$6=INT($E$6)),FALSE)),"Indicamos entre 0 y 6 decimales en E6. ","")&amp;IF(O41=0,"Falta un ID numérico. ","")&amp;IF(R41=0,"Faltan capítulo, código, unidad o total numérico del ID. ","")&amp;IF(T41&gt;0,"Los datos o el total del ID se contradicen. ","")&amp;IF(AND(P41&lt;&gt;"DIMENSIONES",P41&lt;&gt;"DIRECTA",P41&lt;&gt;"SIN LÍNEAS",P41&lt;&gt;"CABECERA"),"Tipo de fila no reconocido. ","")&amp;IF(AND(OR(P41="SIN LÍNEAS",P41="CABECERA"),COUNTA(G41:J41)&gt;0),"La fila dice que no mide, pero contiene medidas. ","")&amp;IF(AND(OR(P41="DIRECTA",P41="DIMENSIONES"),U41=0),"Línea incompleta o con medidas no numéricas. ","")&amp;IF(P41="SIN LÍNEAS","No constan medidas de esta fila. ","")&amp;IF(Y41&gt;0,"Parece m³: tres dimensiones bajo m². ","")&amp;IF(AND(AB41&lt;&gt;"",SUMPRODUCT(--('LÉEME'!$B$65:$B$86=AC41))&lt;&gt;1),"Revisamos el significado de la unidad. ","")&amp;IF(Z41&gt;0,"Más precisión que los decimales indicados: cotejamos el original. ","")&amp;IF(AA41&gt;0,"Revisamos dimensiones, cantidad directa, ceros o deducción. ","")))</f>
      </c>
      <c r="O41" s="0" t="n">
        <f>IF(ISNUMBER(K41),IF(AND(K41&gt;0,K41=INT(K41),K41&lt;=999999),K41,0),0)</f>
        <v>0</v>
      </c>
      <c r="P41" s="0">
        <f>IF(COUNTA(B41:L41)=0,"",IF(L41="",IF(COUNTA(G41:J41)&gt;0,"DIMENSIONES","SIN LÍNEAS"),UPPER(TRIM(L41))))</f>
      </c>
      <c r="Q41" s="0">
        <f>IF(AND(O41&gt;0,LEN(TRIM(B41&amp;""))&gt;0,LEN(TRIM(C41&amp;""))&gt;0,LEN(TRIM(E41&amp;""))&gt;0,ISNUMBER(F41)),O41,"")</f>
      </c>
      <c r="R41" s="0" t="n">
        <f>IF(O41=0,0,IF(COUNTIFS($Q$13:$Q$512,O41)&gt;0,MATCH(O41,$Q$13:$Q$512,0),0))</f>
        <v>0</v>
      </c>
      <c r="S41" s="0">
        <f>IF(AB41="","",IF(SUMPRODUCT(--('LÉEME'!$B$65:$B$86=AC41))=1,INDEX('LÉEME'!$C$65:$C$86,MATCH(AC41,'LÉEME'!$B$65:$B$86,0)),UPPER(TRIM(AB41))))</f>
      </c>
      <c r="T41" s="0" t="n">
        <f>IF(R41=0,0,IF(OR(AND(LEN(TRIM(B41&amp;""))&gt;0,UPPER(TRIM(B41&amp;""))&lt;&gt;UPPER(TRIM(INDEX($B$13:$B$512,R41)&amp;""))),AND(LEN(TRIM(C41&amp;""))&gt;0,UPPER(TRIM(C41&amp;""))&lt;&gt;UPPER(TRIM(INDEX($C$13:$C$512,R41)&amp;""))),AND(LEN(TRIM(E41&amp;""))&gt;0,S41&lt;&gt;INDEX($S$13:$S$512,R41)),AND(F41&lt;&gt;"",NOT(ISNUMBER(F41)))),1,IF(ISNUMBER(F41),IF(ABS(F41-INDEX($F$13:$F$512,R41))&gt;0.00000001,1,0),0)))</f>
        <v>0</v>
      </c>
      <c r="U41" s="0" t="n">
        <f>IF(P41="DIRECTA",IF(AND(ISNUMBER(G41),COUNTA(H41:J41)=0),1,0),IF(P41="DIMENSIONES",IF(AND(COUNT(G41:J41)&gt;0,COUNTA(G41:J41)=COUNT(G41:J41)),1,0),0))</f>
        <v>0</v>
      </c>
      <c r="V41" s="0" t="n">
        <f>IF(O41=0,0,IF(COUNTIFS($O$13:O41,O41)=1,1,0))</f>
        <v>0</v>
      </c>
      <c r="W41" s="0">
        <f>IF(V41=1,COUNTIFS($V$13:V41,1),"")</f>
      </c>
      <c r="X41" s="0">
        <f>IF(COUNTA(B41:L41)=0,"",IF(OR(NOT(IF(ISNUMBER($E$6),AND($E$6&gt;=0,$E$6&lt;=6,$E$6=INT($E$6)),FALSE)),O41=0,R41=0,T41&gt;0,AND(P41&lt;&gt;"DIMENSIONES",P41&lt;&gt;"DIRECTA",P41&lt;&gt;"SIN LÍNEAS",P41&lt;&gt;"CABECERA"),AND(OR(P41="DIRECTA",P41="DIMENSIONES"),U41=0),AND(OR(P41="SIN LÍNEAS",P41="CABECERA"),COUNTA(G41:J41)&gt;0)),2,IF(OR(P41="SIN LÍNEAS",Y41&gt;0,Z41&gt;0,AA41&gt;0,SUMPRODUCT(--('LÉEME'!$B$65:$B$86=AC41))&lt;&gt;1),1,0)))</f>
      </c>
      <c r="Y41" s="0" t="n">
        <f>IF(AND(P41="DIMENSIONES",S41="m²",COUNT(H41:J41)=3),1,0)</f>
        <v>0</v>
      </c>
      <c r="Z41" s="0" t="n">
        <f>IF(IF(ISNUMBER($E$6),AND($E$6&gt;=0,$E$6&lt;=6,$E$6=INT($E$6)),FALSE),IF(SUM(IF(ISNUMBER(F41),IF(ABS(F41-ROUND(F41,$E$6))&gt;0.00000001,1,0),0),IF(ISNUMBER(G41),IF(ABS(G41-ROUND(G41,$E$6))&gt;0.00000001,1,0),0),IF(ISNUMBER(H41),IF(ABS(H41-ROUND(H41,$E$6))&gt;0.00000001,1,0),0),IF(ISNUMBER(I41),IF(ABS(I41-ROUND(I41,$E$6))&gt;0.00000001,1,0),0),IF(ISNUMBER(J41),IF(ABS(J41-ROUND(J41,$E$6))&gt;0.00000001,1,0),0),IF(ISNUMBER(M41),IF(ABS(M41-ROUND(M41,$E$6))&gt;0.00000001,1,0),0))&gt;0,1,0),0)</f>
        <v>0</v>
      </c>
      <c r="AA41" s="0" t="n">
        <f>IF(COUNTA(B41:L41)=0,0,IF(OR(AND(ISNUMBER(F41),F41&lt;0),AND(U41=1,OR(SUM(IF(ISNUMBER(G41),IF(G41=0,1,0),0),IF(ISNUMBER(H41),IF(H41=0,1,0),0),IF(ISNUMBER(I41),IF(I41=0,1,0),0),IF(ISNUMBER(J41),IF(J41=0,1,0),0))&gt;0,COUNTIFS(G41:J41,"&lt;0")&gt;0)),AND(P41="DIMENSIONES",U41=1,OR(AND(S41="m",COUNT(H41:J41)&lt;&gt;1),AND(S41="m²",COUNT(H41:J41)&lt;&gt;2,Y41=0),AND(S41="m³",COUNT(H41:J41)&lt;&gt;3),AND(S41="ud",COUNT(H41:J41)&gt;0))),AND(P41="DIRECTA",OR(S41="m",S41="m²",S41="m³"))),1,0))</f>
        <v>0</v>
      </c>
      <c r="AB41" s="0">
        <f>IF(LEN(TRIM(E41&amp;""))&gt;0,E41,IF(R41&gt;0,INDEX($E$13:$E$512,R41),""))</f>
      </c>
      <c r="AC41" s="0">
        <f>UPPER(SUBSTITUTE(SUBSTITUTE(SUBSTITUTE(SUBSTITUTE(SUBSTITUTE(TRIM(AB41),"²","2"),"³","3"),"^",""),".","")," ",""))</f>
      </c>
    </row>
    <row r="42" ht="35" customHeight="1">
      <c r="B42" s="35"/>
      <c r="C42" s="35"/>
      <c r="D42" s="37"/>
      <c r="E42" s="35"/>
      <c r="F42" s="38"/>
      <c r="G42" s="38"/>
      <c r="H42" s="38"/>
      <c r="I42" s="38"/>
      <c r="J42" s="38"/>
      <c r="K42" s="35"/>
      <c r="L42" s="35"/>
      <c r="M42" s="39">
        <f>IF(U42&lt;&gt;1,"",IF(P42="DIRECTA",G42,IF(ISNUMBER(G42),G42,1)*IF(ISNUMBER(H42),H42,1)*IF(ISNUMBER(I42),I42,1)*IF(ISNUMBER(J42),J42,1)))</f>
      </c>
      <c r="N42" s="30">
        <f>IF(COUNTA(B42:L42)=0,"",IF(X42=0,IF(P42="CABECERA","VERDE · Fila descriptiva; la suma usa las líneas del ID","VERDE · Datos numéricos interpretables"),IF(X42=2,"ROJO · ","ÁMBAR · ")&amp;IF(NOT(IF(ISNUMBER($E$6),AND($E$6&gt;=0,$E$6&lt;=6,$E$6=INT($E$6)),FALSE)),"Indicamos entre 0 y 6 decimales en E6. ","")&amp;IF(O42=0,"Falta un ID numérico. ","")&amp;IF(R42=0,"Faltan capítulo, código, unidad o total numérico del ID. ","")&amp;IF(T42&gt;0,"Los datos o el total del ID se contradicen. ","")&amp;IF(AND(P42&lt;&gt;"DIMENSIONES",P42&lt;&gt;"DIRECTA",P42&lt;&gt;"SIN LÍNEAS",P42&lt;&gt;"CABECERA"),"Tipo de fila no reconocido. ","")&amp;IF(AND(OR(P42="SIN LÍNEAS",P42="CABECERA"),COUNTA(G42:J42)&gt;0),"La fila dice que no mide, pero contiene medidas. ","")&amp;IF(AND(OR(P42="DIRECTA",P42="DIMENSIONES"),U42=0),"Línea incompleta o con medidas no numéricas. ","")&amp;IF(P42="SIN LÍNEAS","No constan medidas de esta fila. ","")&amp;IF(Y42&gt;0,"Parece m³: tres dimensiones bajo m². ","")&amp;IF(AND(AB42&lt;&gt;"",SUMPRODUCT(--('LÉEME'!$B$65:$B$86=AC42))&lt;&gt;1),"Revisamos el significado de la unidad. ","")&amp;IF(Z42&gt;0,"Más precisión que los decimales indicados: cotejamos el original. ","")&amp;IF(AA42&gt;0,"Revisamos dimensiones, cantidad directa, ceros o deducción. ","")))</f>
      </c>
      <c r="O42" s="0" t="n">
        <f>IF(ISNUMBER(K42),IF(AND(K42&gt;0,K42=INT(K42),K42&lt;=999999),K42,0),0)</f>
        <v>0</v>
      </c>
      <c r="P42" s="0">
        <f>IF(COUNTA(B42:L42)=0,"",IF(L42="",IF(COUNTA(G42:J42)&gt;0,"DIMENSIONES","SIN LÍNEAS"),UPPER(TRIM(L42))))</f>
      </c>
      <c r="Q42" s="0">
        <f>IF(AND(O42&gt;0,LEN(TRIM(B42&amp;""))&gt;0,LEN(TRIM(C42&amp;""))&gt;0,LEN(TRIM(E42&amp;""))&gt;0,ISNUMBER(F42)),O42,"")</f>
      </c>
      <c r="R42" s="0" t="n">
        <f>IF(O42=0,0,IF(COUNTIFS($Q$13:$Q$512,O42)&gt;0,MATCH(O42,$Q$13:$Q$512,0),0))</f>
        <v>0</v>
      </c>
      <c r="S42" s="0">
        <f>IF(AB42="","",IF(SUMPRODUCT(--('LÉEME'!$B$65:$B$86=AC42))=1,INDEX('LÉEME'!$C$65:$C$86,MATCH(AC42,'LÉEME'!$B$65:$B$86,0)),UPPER(TRIM(AB42))))</f>
      </c>
      <c r="T42" s="0" t="n">
        <f>IF(R42=0,0,IF(OR(AND(LEN(TRIM(B42&amp;""))&gt;0,UPPER(TRIM(B42&amp;""))&lt;&gt;UPPER(TRIM(INDEX($B$13:$B$512,R42)&amp;""))),AND(LEN(TRIM(C42&amp;""))&gt;0,UPPER(TRIM(C42&amp;""))&lt;&gt;UPPER(TRIM(INDEX($C$13:$C$512,R42)&amp;""))),AND(LEN(TRIM(E42&amp;""))&gt;0,S42&lt;&gt;INDEX($S$13:$S$512,R42)),AND(F42&lt;&gt;"",NOT(ISNUMBER(F42)))),1,IF(ISNUMBER(F42),IF(ABS(F42-INDEX($F$13:$F$512,R42))&gt;0.00000001,1,0),0)))</f>
        <v>0</v>
      </c>
      <c r="U42" s="0" t="n">
        <f>IF(P42="DIRECTA",IF(AND(ISNUMBER(G42),COUNTA(H42:J42)=0),1,0),IF(P42="DIMENSIONES",IF(AND(COUNT(G42:J42)&gt;0,COUNTA(G42:J42)=COUNT(G42:J42)),1,0),0))</f>
        <v>0</v>
      </c>
      <c r="V42" s="0" t="n">
        <f>IF(O42=0,0,IF(COUNTIFS($O$13:O42,O42)=1,1,0))</f>
        <v>0</v>
      </c>
      <c r="W42" s="0">
        <f>IF(V42=1,COUNTIFS($V$13:V42,1),"")</f>
      </c>
      <c r="X42" s="0">
        <f>IF(COUNTA(B42:L42)=0,"",IF(OR(NOT(IF(ISNUMBER($E$6),AND($E$6&gt;=0,$E$6&lt;=6,$E$6=INT($E$6)),FALSE)),O42=0,R42=0,T42&gt;0,AND(P42&lt;&gt;"DIMENSIONES",P42&lt;&gt;"DIRECTA",P42&lt;&gt;"SIN LÍNEAS",P42&lt;&gt;"CABECERA"),AND(OR(P42="DIRECTA",P42="DIMENSIONES"),U42=0),AND(OR(P42="SIN LÍNEAS",P42="CABECERA"),COUNTA(G42:J42)&gt;0)),2,IF(OR(P42="SIN LÍNEAS",Y42&gt;0,Z42&gt;0,AA42&gt;0,SUMPRODUCT(--('LÉEME'!$B$65:$B$86=AC42))&lt;&gt;1),1,0)))</f>
      </c>
      <c r="Y42" s="0" t="n">
        <f>IF(AND(P42="DIMENSIONES",S42="m²",COUNT(H42:J42)=3),1,0)</f>
        <v>0</v>
      </c>
      <c r="Z42" s="0" t="n">
        <f>IF(IF(ISNUMBER($E$6),AND($E$6&gt;=0,$E$6&lt;=6,$E$6=INT($E$6)),FALSE),IF(SUM(IF(ISNUMBER(F42),IF(ABS(F42-ROUND(F42,$E$6))&gt;0.00000001,1,0),0),IF(ISNUMBER(G42),IF(ABS(G42-ROUND(G42,$E$6))&gt;0.00000001,1,0),0),IF(ISNUMBER(H42),IF(ABS(H42-ROUND(H42,$E$6))&gt;0.00000001,1,0),0),IF(ISNUMBER(I42),IF(ABS(I42-ROUND(I42,$E$6))&gt;0.00000001,1,0),0),IF(ISNUMBER(J42),IF(ABS(J42-ROUND(J42,$E$6))&gt;0.00000001,1,0),0),IF(ISNUMBER(M42),IF(ABS(M42-ROUND(M42,$E$6))&gt;0.00000001,1,0),0))&gt;0,1,0),0)</f>
        <v>0</v>
      </c>
      <c r="AA42" s="0" t="n">
        <f>IF(COUNTA(B42:L42)=0,0,IF(OR(AND(ISNUMBER(F42),F42&lt;0),AND(U42=1,OR(SUM(IF(ISNUMBER(G42),IF(G42=0,1,0),0),IF(ISNUMBER(H42),IF(H42=0,1,0),0),IF(ISNUMBER(I42),IF(I42=0,1,0),0),IF(ISNUMBER(J42),IF(J42=0,1,0),0))&gt;0,COUNTIFS(G42:J42,"&lt;0")&gt;0)),AND(P42="DIMENSIONES",U42=1,OR(AND(S42="m",COUNT(H42:J42)&lt;&gt;1),AND(S42="m²",COUNT(H42:J42)&lt;&gt;2,Y42=0),AND(S42="m³",COUNT(H42:J42)&lt;&gt;3),AND(S42="ud",COUNT(H42:J42)&gt;0))),AND(P42="DIRECTA",OR(S42="m",S42="m²",S42="m³"))),1,0))</f>
        <v>0</v>
      </c>
      <c r="AB42" s="0">
        <f>IF(LEN(TRIM(E42&amp;""))&gt;0,E42,IF(R42&gt;0,INDEX($E$13:$E$512,R42),""))</f>
      </c>
      <c r="AC42" s="0">
        <f>UPPER(SUBSTITUTE(SUBSTITUTE(SUBSTITUTE(SUBSTITUTE(SUBSTITUTE(TRIM(AB42),"²","2"),"³","3"),"^",""),".","")," ",""))</f>
      </c>
    </row>
    <row r="43" ht="35" customHeight="1">
      <c r="B43" s="35"/>
      <c r="C43" s="35"/>
      <c r="D43" s="37"/>
      <c r="E43" s="35"/>
      <c r="F43" s="38"/>
      <c r="G43" s="38"/>
      <c r="H43" s="38"/>
      <c r="I43" s="38"/>
      <c r="J43" s="38"/>
      <c r="K43" s="35"/>
      <c r="L43" s="35"/>
      <c r="M43" s="39">
        <f>IF(U43&lt;&gt;1,"",IF(P43="DIRECTA",G43,IF(ISNUMBER(G43),G43,1)*IF(ISNUMBER(H43),H43,1)*IF(ISNUMBER(I43),I43,1)*IF(ISNUMBER(J43),J43,1)))</f>
      </c>
      <c r="N43" s="30">
        <f>IF(COUNTA(B43:L43)=0,"",IF(X43=0,IF(P43="CABECERA","VERDE · Fila descriptiva; la suma usa las líneas del ID","VERDE · Datos numéricos interpretables"),IF(X43=2,"ROJO · ","ÁMBAR · ")&amp;IF(NOT(IF(ISNUMBER($E$6),AND($E$6&gt;=0,$E$6&lt;=6,$E$6=INT($E$6)),FALSE)),"Indicamos entre 0 y 6 decimales en E6. ","")&amp;IF(O43=0,"Falta un ID numérico. ","")&amp;IF(R43=0,"Faltan capítulo, código, unidad o total numérico del ID. ","")&amp;IF(T43&gt;0,"Los datos o el total del ID se contradicen. ","")&amp;IF(AND(P43&lt;&gt;"DIMENSIONES",P43&lt;&gt;"DIRECTA",P43&lt;&gt;"SIN LÍNEAS",P43&lt;&gt;"CABECERA"),"Tipo de fila no reconocido. ","")&amp;IF(AND(OR(P43="SIN LÍNEAS",P43="CABECERA"),COUNTA(G43:J43)&gt;0),"La fila dice que no mide, pero contiene medidas. ","")&amp;IF(AND(OR(P43="DIRECTA",P43="DIMENSIONES"),U43=0),"Línea incompleta o con medidas no numéricas. ","")&amp;IF(P43="SIN LÍNEAS","No constan medidas de esta fila. ","")&amp;IF(Y43&gt;0,"Parece m³: tres dimensiones bajo m². ","")&amp;IF(AND(AB43&lt;&gt;"",SUMPRODUCT(--('LÉEME'!$B$65:$B$86=AC43))&lt;&gt;1),"Revisamos el significado de la unidad. ","")&amp;IF(Z43&gt;0,"Más precisión que los decimales indicados: cotejamos el original. ","")&amp;IF(AA43&gt;0,"Revisamos dimensiones, cantidad directa, ceros o deducción. ","")))</f>
      </c>
      <c r="O43" s="0" t="n">
        <f>IF(ISNUMBER(K43),IF(AND(K43&gt;0,K43=INT(K43),K43&lt;=999999),K43,0),0)</f>
        <v>0</v>
      </c>
      <c r="P43" s="0">
        <f>IF(COUNTA(B43:L43)=0,"",IF(L43="",IF(COUNTA(G43:J43)&gt;0,"DIMENSIONES","SIN LÍNEAS"),UPPER(TRIM(L43))))</f>
      </c>
      <c r="Q43" s="0">
        <f>IF(AND(O43&gt;0,LEN(TRIM(B43&amp;""))&gt;0,LEN(TRIM(C43&amp;""))&gt;0,LEN(TRIM(E43&amp;""))&gt;0,ISNUMBER(F43)),O43,"")</f>
      </c>
      <c r="R43" s="0" t="n">
        <f>IF(O43=0,0,IF(COUNTIFS($Q$13:$Q$512,O43)&gt;0,MATCH(O43,$Q$13:$Q$512,0),0))</f>
        <v>0</v>
      </c>
      <c r="S43" s="0">
        <f>IF(AB43="","",IF(SUMPRODUCT(--('LÉEME'!$B$65:$B$86=AC43))=1,INDEX('LÉEME'!$C$65:$C$86,MATCH(AC43,'LÉEME'!$B$65:$B$86,0)),UPPER(TRIM(AB43))))</f>
      </c>
      <c r="T43" s="0" t="n">
        <f>IF(R43=0,0,IF(OR(AND(LEN(TRIM(B43&amp;""))&gt;0,UPPER(TRIM(B43&amp;""))&lt;&gt;UPPER(TRIM(INDEX($B$13:$B$512,R43)&amp;""))),AND(LEN(TRIM(C43&amp;""))&gt;0,UPPER(TRIM(C43&amp;""))&lt;&gt;UPPER(TRIM(INDEX($C$13:$C$512,R43)&amp;""))),AND(LEN(TRIM(E43&amp;""))&gt;0,S43&lt;&gt;INDEX($S$13:$S$512,R43)),AND(F43&lt;&gt;"",NOT(ISNUMBER(F43)))),1,IF(ISNUMBER(F43),IF(ABS(F43-INDEX($F$13:$F$512,R43))&gt;0.00000001,1,0),0)))</f>
        <v>0</v>
      </c>
      <c r="U43" s="0" t="n">
        <f>IF(P43="DIRECTA",IF(AND(ISNUMBER(G43),COUNTA(H43:J43)=0),1,0),IF(P43="DIMENSIONES",IF(AND(COUNT(G43:J43)&gt;0,COUNTA(G43:J43)=COUNT(G43:J43)),1,0),0))</f>
        <v>0</v>
      </c>
      <c r="V43" s="0" t="n">
        <f>IF(O43=0,0,IF(COUNTIFS($O$13:O43,O43)=1,1,0))</f>
        <v>0</v>
      </c>
      <c r="W43" s="0">
        <f>IF(V43=1,COUNTIFS($V$13:V43,1),"")</f>
      </c>
      <c r="X43" s="0">
        <f>IF(COUNTA(B43:L43)=0,"",IF(OR(NOT(IF(ISNUMBER($E$6),AND($E$6&gt;=0,$E$6&lt;=6,$E$6=INT($E$6)),FALSE)),O43=0,R43=0,T43&gt;0,AND(P43&lt;&gt;"DIMENSIONES",P43&lt;&gt;"DIRECTA",P43&lt;&gt;"SIN LÍNEAS",P43&lt;&gt;"CABECERA"),AND(OR(P43="DIRECTA",P43="DIMENSIONES"),U43=0),AND(OR(P43="SIN LÍNEAS",P43="CABECERA"),COUNTA(G43:J43)&gt;0)),2,IF(OR(P43="SIN LÍNEAS",Y43&gt;0,Z43&gt;0,AA43&gt;0,SUMPRODUCT(--('LÉEME'!$B$65:$B$86=AC43))&lt;&gt;1),1,0)))</f>
      </c>
      <c r="Y43" s="0" t="n">
        <f>IF(AND(P43="DIMENSIONES",S43="m²",COUNT(H43:J43)=3),1,0)</f>
        <v>0</v>
      </c>
      <c r="Z43" s="0" t="n">
        <f>IF(IF(ISNUMBER($E$6),AND($E$6&gt;=0,$E$6&lt;=6,$E$6=INT($E$6)),FALSE),IF(SUM(IF(ISNUMBER(F43),IF(ABS(F43-ROUND(F43,$E$6))&gt;0.00000001,1,0),0),IF(ISNUMBER(G43),IF(ABS(G43-ROUND(G43,$E$6))&gt;0.00000001,1,0),0),IF(ISNUMBER(H43),IF(ABS(H43-ROUND(H43,$E$6))&gt;0.00000001,1,0),0),IF(ISNUMBER(I43),IF(ABS(I43-ROUND(I43,$E$6))&gt;0.00000001,1,0),0),IF(ISNUMBER(J43),IF(ABS(J43-ROUND(J43,$E$6))&gt;0.00000001,1,0),0),IF(ISNUMBER(M43),IF(ABS(M43-ROUND(M43,$E$6))&gt;0.00000001,1,0),0))&gt;0,1,0),0)</f>
        <v>0</v>
      </c>
      <c r="AA43" s="0" t="n">
        <f>IF(COUNTA(B43:L43)=0,0,IF(OR(AND(ISNUMBER(F43),F43&lt;0),AND(U43=1,OR(SUM(IF(ISNUMBER(G43),IF(G43=0,1,0),0),IF(ISNUMBER(H43),IF(H43=0,1,0),0),IF(ISNUMBER(I43),IF(I43=0,1,0),0),IF(ISNUMBER(J43),IF(J43=0,1,0),0))&gt;0,COUNTIFS(G43:J43,"&lt;0")&gt;0)),AND(P43="DIMENSIONES",U43=1,OR(AND(S43="m",COUNT(H43:J43)&lt;&gt;1),AND(S43="m²",COUNT(H43:J43)&lt;&gt;2,Y43=0),AND(S43="m³",COUNT(H43:J43)&lt;&gt;3),AND(S43="ud",COUNT(H43:J43)&gt;0))),AND(P43="DIRECTA",OR(S43="m",S43="m²",S43="m³"))),1,0))</f>
        <v>0</v>
      </c>
      <c r="AB43" s="0">
        <f>IF(LEN(TRIM(E43&amp;""))&gt;0,E43,IF(R43&gt;0,INDEX($E$13:$E$512,R43),""))</f>
      </c>
      <c r="AC43" s="0">
        <f>UPPER(SUBSTITUTE(SUBSTITUTE(SUBSTITUTE(SUBSTITUTE(SUBSTITUTE(TRIM(AB43),"²","2"),"³","3"),"^",""),".","")," ",""))</f>
      </c>
    </row>
    <row r="44" ht="35" customHeight="1">
      <c r="B44" s="35"/>
      <c r="C44" s="35"/>
      <c r="D44" s="37"/>
      <c r="E44" s="35"/>
      <c r="F44" s="38"/>
      <c r="G44" s="38"/>
      <c r="H44" s="38"/>
      <c r="I44" s="38"/>
      <c r="J44" s="38"/>
      <c r="K44" s="35"/>
      <c r="L44" s="35"/>
      <c r="M44" s="39">
        <f>IF(U44&lt;&gt;1,"",IF(P44="DIRECTA",G44,IF(ISNUMBER(G44),G44,1)*IF(ISNUMBER(H44),H44,1)*IF(ISNUMBER(I44),I44,1)*IF(ISNUMBER(J44),J44,1)))</f>
      </c>
      <c r="N44" s="30">
        <f>IF(COUNTA(B44:L44)=0,"",IF(X44=0,IF(P44="CABECERA","VERDE · Fila descriptiva; la suma usa las líneas del ID","VERDE · Datos numéricos interpretables"),IF(X44=2,"ROJO · ","ÁMBAR · ")&amp;IF(NOT(IF(ISNUMBER($E$6),AND($E$6&gt;=0,$E$6&lt;=6,$E$6=INT($E$6)),FALSE)),"Indicamos entre 0 y 6 decimales en E6. ","")&amp;IF(O44=0,"Falta un ID numérico. ","")&amp;IF(R44=0,"Faltan capítulo, código, unidad o total numérico del ID. ","")&amp;IF(T44&gt;0,"Los datos o el total del ID se contradicen. ","")&amp;IF(AND(P44&lt;&gt;"DIMENSIONES",P44&lt;&gt;"DIRECTA",P44&lt;&gt;"SIN LÍNEAS",P44&lt;&gt;"CABECERA"),"Tipo de fila no reconocido. ","")&amp;IF(AND(OR(P44="SIN LÍNEAS",P44="CABECERA"),COUNTA(G44:J44)&gt;0),"La fila dice que no mide, pero contiene medidas. ","")&amp;IF(AND(OR(P44="DIRECTA",P44="DIMENSIONES"),U44=0),"Línea incompleta o con medidas no numéricas. ","")&amp;IF(P44="SIN LÍNEAS","No constan medidas de esta fila. ","")&amp;IF(Y44&gt;0,"Parece m³: tres dimensiones bajo m². ","")&amp;IF(AND(AB44&lt;&gt;"",SUMPRODUCT(--('LÉEME'!$B$65:$B$86=AC44))&lt;&gt;1),"Revisamos el significado de la unidad. ","")&amp;IF(Z44&gt;0,"Más precisión que los decimales indicados: cotejamos el original. ","")&amp;IF(AA44&gt;0,"Revisamos dimensiones, cantidad directa, ceros o deducción. ","")))</f>
      </c>
      <c r="O44" s="0" t="n">
        <f>IF(ISNUMBER(K44),IF(AND(K44&gt;0,K44=INT(K44),K44&lt;=999999),K44,0),0)</f>
        <v>0</v>
      </c>
      <c r="P44" s="0">
        <f>IF(COUNTA(B44:L44)=0,"",IF(L44="",IF(COUNTA(G44:J44)&gt;0,"DIMENSIONES","SIN LÍNEAS"),UPPER(TRIM(L44))))</f>
      </c>
      <c r="Q44" s="0">
        <f>IF(AND(O44&gt;0,LEN(TRIM(B44&amp;""))&gt;0,LEN(TRIM(C44&amp;""))&gt;0,LEN(TRIM(E44&amp;""))&gt;0,ISNUMBER(F44)),O44,"")</f>
      </c>
      <c r="R44" s="0" t="n">
        <f>IF(O44=0,0,IF(COUNTIFS($Q$13:$Q$512,O44)&gt;0,MATCH(O44,$Q$13:$Q$512,0),0))</f>
        <v>0</v>
      </c>
      <c r="S44" s="0">
        <f>IF(AB44="","",IF(SUMPRODUCT(--('LÉEME'!$B$65:$B$86=AC44))=1,INDEX('LÉEME'!$C$65:$C$86,MATCH(AC44,'LÉEME'!$B$65:$B$86,0)),UPPER(TRIM(AB44))))</f>
      </c>
      <c r="T44" s="0" t="n">
        <f>IF(R44=0,0,IF(OR(AND(LEN(TRIM(B44&amp;""))&gt;0,UPPER(TRIM(B44&amp;""))&lt;&gt;UPPER(TRIM(INDEX($B$13:$B$512,R44)&amp;""))),AND(LEN(TRIM(C44&amp;""))&gt;0,UPPER(TRIM(C44&amp;""))&lt;&gt;UPPER(TRIM(INDEX($C$13:$C$512,R44)&amp;""))),AND(LEN(TRIM(E44&amp;""))&gt;0,S44&lt;&gt;INDEX($S$13:$S$512,R44)),AND(F44&lt;&gt;"",NOT(ISNUMBER(F44)))),1,IF(ISNUMBER(F44),IF(ABS(F44-INDEX($F$13:$F$512,R44))&gt;0.00000001,1,0),0)))</f>
        <v>0</v>
      </c>
      <c r="U44" s="0" t="n">
        <f>IF(P44="DIRECTA",IF(AND(ISNUMBER(G44),COUNTA(H44:J44)=0),1,0),IF(P44="DIMENSIONES",IF(AND(COUNT(G44:J44)&gt;0,COUNTA(G44:J44)=COUNT(G44:J44)),1,0),0))</f>
        <v>0</v>
      </c>
      <c r="V44" s="0" t="n">
        <f>IF(O44=0,0,IF(COUNTIFS($O$13:O44,O44)=1,1,0))</f>
        <v>0</v>
      </c>
      <c r="W44" s="0">
        <f>IF(V44=1,COUNTIFS($V$13:V44,1),"")</f>
      </c>
      <c r="X44" s="0">
        <f>IF(COUNTA(B44:L44)=0,"",IF(OR(NOT(IF(ISNUMBER($E$6),AND($E$6&gt;=0,$E$6&lt;=6,$E$6=INT($E$6)),FALSE)),O44=0,R44=0,T44&gt;0,AND(P44&lt;&gt;"DIMENSIONES",P44&lt;&gt;"DIRECTA",P44&lt;&gt;"SIN LÍNEAS",P44&lt;&gt;"CABECERA"),AND(OR(P44="DIRECTA",P44="DIMENSIONES"),U44=0),AND(OR(P44="SIN LÍNEAS",P44="CABECERA"),COUNTA(G44:J44)&gt;0)),2,IF(OR(P44="SIN LÍNEAS",Y44&gt;0,Z44&gt;0,AA44&gt;0,SUMPRODUCT(--('LÉEME'!$B$65:$B$86=AC44))&lt;&gt;1),1,0)))</f>
      </c>
      <c r="Y44" s="0" t="n">
        <f>IF(AND(P44="DIMENSIONES",S44="m²",COUNT(H44:J44)=3),1,0)</f>
        <v>0</v>
      </c>
      <c r="Z44" s="0" t="n">
        <f>IF(IF(ISNUMBER($E$6),AND($E$6&gt;=0,$E$6&lt;=6,$E$6=INT($E$6)),FALSE),IF(SUM(IF(ISNUMBER(F44),IF(ABS(F44-ROUND(F44,$E$6))&gt;0.00000001,1,0),0),IF(ISNUMBER(G44),IF(ABS(G44-ROUND(G44,$E$6))&gt;0.00000001,1,0),0),IF(ISNUMBER(H44),IF(ABS(H44-ROUND(H44,$E$6))&gt;0.00000001,1,0),0),IF(ISNUMBER(I44),IF(ABS(I44-ROUND(I44,$E$6))&gt;0.00000001,1,0),0),IF(ISNUMBER(J44),IF(ABS(J44-ROUND(J44,$E$6))&gt;0.00000001,1,0),0),IF(ISNUMBER(M44),IF(ABS(M44-ROUND(M44,$E$6))&gt;0.00000001,1,0),0))&gt;0,1,0),0)</f>
        <v>0</v>
      </c>
      <c r="AA44" s="0" t="n">
        <f>IF(COUNTA(B44:L44)=0,0,IF(OR(AND(ISNUMBER(F44),F44&lt;0),AND(U44=1,OR(SUM(IF(ISNUMBER(G44),IF(G44=0,1,0),0),IF(ISNUMBER(H44),IF(H44=0,1,0),0),IF(ISNUMBER(I44),IF(I44=0,1,0),0),IF(ISNUMBER(J44),IF(J44=0,1,0),0))&gt;0,COUNTIFS(G44:J44,"&lt;0")&gt;0)),AND(P44="DIMENSIONES",U44=1,OR(AND(S44="m",COUNT(H44:J44)&lt;&gt;1),AND(S44="m²",COUNT(H44:J44)&lt;&gt;2,Y44=0),AND(S44="m³",COUNT(H44:J44)&lt;&gt;3),AND(S44="ud",COUNT(H44:J44)&gt;0))),AND(P44="DIRECTA",OR(S44="m",S44="m²",S44="m³"))),1,0))</f>
        <v>0</v>
      </c>
      <c r="AB44" s="0">
        <f>IF(LEN(TRIM(E44&amp;""))&gt;0,E44,IF(R44&gt;0,INDEX($E$13:$E$512,R44),""))</f>
      </c>
      <c r="AC44" s="0">
        <f>UPPER(SUBSTITUTE(SUBSTITUTE(SUBSTITUTE(SUBSTITUTE(SUBSTITUTE(TRIM(AB44),"²","2"),"³","3"),"^",""),".","")," ",""))</f>
      </c>
    </row>
    <row r="45" ht="35" customHeight="1">
      <c r="B45" s="35"/>
      <c r="C45" s="35"/>
      <c r="D45" s="37"/>
      <c r="E45" s="35"/>
      <c r="F45" s="38"/>
      <c r="G45" s="38"/>
      <c r="H45" s="38"/>
      <c r="I45" s="38"/>
      <c r="J45" s="38"/>
      <c r="K45" s="35"/>
      <c r="L45" s="35"/>
      <c r="M45" s="39">
        <f>IF(U45&lt;&gt;1,"",IF(P45="DIRECTA",G45,IF(ISNUMBER(G45),G45,1)*IF(ISNUMBER(H45),H45,1)*IF(ISNUMBER(I45),I45,1)*IF(ISNUMBER(J45),J45,1)))</f>
      </c>
      <c r="N45" s="30">
        <f>IF(COUNTA(B45:L45)=0,"",IF(X45=0,IF(P45="CABECERA","VERDE · Fila descriptiva; la suma usa las líneas del ID","VERDE · Datos numéricos interpretables"),IF(X45=2,"ROJO · ","ÁMBAR · ")&amp;IF(NOT(IF(ISNUMBER($E$6),AND($E$6&gt;=0,$E$6&lt;=6,$E$6=INT($E$6)),FALSE)),"Indicamos entre 0 y 6 decimales en E6. ","")&amp;IF(O45=0,"Falta un ID numérico. ","")&amp;IF(R45=0,"Faltan capítulo, código, unidad o total numérico del ID. ","")&amp;IF(T45&gt;0,"Los datos o el total del ID se contradicen. ","")&amp;IF(AND(P45&lt;&gt;"DIMENSIONES",P45&lt;&gt;"DIRECTA",P45&lt;&gt;"SIN LÍNEAS",P45&lt;&gt;"CABECERA"),"Tipo de fila no reconocido. ","")&amp;IF(AND(OR(P45="SIN LÍNEAS",P45="CABECERA"),COUNTA(G45:J45)&gt;0),"La fila dice que no mide, pero contiene medidas. ","")&amp;IF(AND(OR(P45="DIRECTA",P45="DIMENSIONES"),U45=0),"Línea incompleta o con medidas no numéricas. ","")&amp;IF(P45="SIN LÍNEAS","No constan medidas de esta fila. ","")&amp;IF(Y45&gt;0,"Parece m³: tres dimensiones bajo m². ","")&amp;IF(AND(AB45&lt;&gt;"",SUMPRODUCT(--('LÉEME'!$B$65:$B$86=AC45))&lt;&gt;1),"Revisamos el significado de la unidad. ","")&amp;IF(Z45&gt;0,"Más precisión que los decimales indicados: cotejamos el original. ","")&amp;IF(AA45&gt;0,"Revisamos dimensiones, cantidad directa, ceros o deducción. ","")))</f>
      </c>
      <c r="O45" s="0" t="n">
        <f>IF(ISNUMBER(K45),IF(AND(K45&gt;0,K45=INT(K45),K45&lt;=999999),K45,0),0)</f>
        <v>0</v>
      </c>
      <c r="P45" s="0">
        <f>IF(COUNTA(B45:L45)=0,"",IF(L45="",IF(COUNTA(G45:J45)&gt;0,"DIMENSIONES","SIN LÍNEAS"),UPPER(TRIM(L45))))</f>
      </c>
      <c r="Q45" s="0">
        <f>IF(AND(O45&gt;0,LEN(TRIM(B45&amp;""))&gt;0,LEN(TRIM(C45&amp;""))&gt;0,LEN(TRIM(E45&amp;""))&gt;0,ISNUMBER(F45)),O45,"")</f>
      </c>
      <c r="R45" s="0" t="n">
        <f>IF(O45=0,0,IF(COUNTIFS($Q$13:$Q$512,O45)&gt;0,MATCH(O45,$Q$13:$Q$512,0),0))</f>
        <v>0</v>
      </c>
      <c r="S45" s="0">
        <f>IF(AB45="","",IF(SUMPRODUCT(--('LÉEME'!$B$65:$B$86=AC45))=1,INDEX('LÉEME'!$C$65:$C$86,MATCH(AC45,'LÉEME'!$B$65:$B$86,0)),UPPER(TRIM(AB45))))</f>
      </c>
      <c r="T45" s="0" t="n">
        <f>IF(R45=0,0,IF(OR(AND(LEN(TRIM(B45&amp;""))&gt;0,UPPER(TRIM(B45&amp;""))&lt;&gt;UPPER(TRIM(INDEX($B$13:$B$512,R45)&amp;""))),AND(LEN(TRIM(C45&amp;""))&gt;0,UPPER(TRIM(C45&amp;""))&lt;&gt;UPPER(TRIM(INDEX($C$13:$C$512,R45)&amp;""))),AND(LEN(TRIM(E45&amp;""))&gt;0,S45&lt;&gt;INDEX($S$13:$S$512,R45)),AND(F45&lt;&gt;"",NOT(ISNUMBER(F45)))),1,IF(ISNUMBER(F45),IF(ABS(F45-INDEX($F$13:$F$512,R45))&gt;0.00000001,1,0),0)))</f>
        <v>0</v>
      </c>
      <c r="U45" s="0" t="n">
        <f>IF(P45="DIRECTA",IF(AND(ISNUMBER(G45),COUNTA(H45:J45)=0),1,0),IF(P45="DIMENSIONES",IF(AND(COUNT(G45:J45)&gt;0,COUNTA(G45:J45)=COUNT(G45:J45)),1,0),0))</f>
        <v>0</v>
      </c>
      <c r="V45" s="0" t="n">
        <f>IF(O45=0,0,IF(COUNTIFS($O$13:O45,O45)=1,1,0))</f>
        <v>0</v>
      </c>
      <c r="W45" s="0">
        <f>IF(V45=1,COUNTIFS($V$13:V45,1),"")</f>
      </c>
      <c r="X45" s="0">
        <f>IF(COUNTA(B45:L45)=0,"",IF(OR(NOT(IF(ISNUMBER($E$6),AND($E$6&gt;=0,$E$6&lt;=6,$E$6=INT($E$6)),FALSE)),O45=0,R45=0,T45&gt;0,AND(P45&lt;&gt;"DIMENSIONES",P45&lt;&gt;"DIRECTA",P45&lt;&gt;"SIN LÍNEAS",P45&lt;&gt;"CABECERA"),AND(OR(P45="DIRECTA",P45="DIMENSIONES"),U45=0),AND(OR(P45="SIN LÍNEAS",P45="CABECERA"),COUNTA(G45:J45)&gt;0)),2,IF(OR(P45="SIN LÍNEAS",Y45&gt;0,Z45&gt;0,AA45&gt;0,SUMPRODUCT(--('LÉEME'!$B$65:$B$86=AC45))&lt;&gt;1),1,0)))</f>
      </c>
      <c r="Y45" s="0" t="n">
        <f>IF(AND(P45="DIMENSIONES",S45="m²",COUNT(H45:J45)=3),1,0)</f>
        <v>0</v>
      </c>
      <c r="Z45" s="0" t="n">
        <f>IF(IF(ISNUMBER($E$6),AND($E$6&gt;=0,$E$6&lt;=6,$E$6=INT($E$6)),FALSE),IF(SUM(IF(ISNUMBER(F45),IF(ABS(F45-ROUND(F45,$E$6))&gt;0.00000001,1,0),0),IF(ISNUMBER(G45),IF(ABS(G45-ROUND(G45,$E$6))&gt;0.00000001,1,0),0),IF(ISNUMBER(H45),IF(ABS(H45-ROUND(H45,$E$6))&gt;0.00000001,1,0),0),IF(ISNUMBER(I45),IF(ABS(I45-ROUND(I45,$E$6))&gt;0.00000001,1,0),0),IF(ISNUMBER(J45),IF(ABS(J45-ROUND(J45,$E$6))&gt;0.00000001,1,0),0),IF(ISNUMBER(M45),IF(ABS(M45-ROUND(M45,$E$6))&gt;0.00000001,1,0),0))&gt;0,1,0),0)</f>
        <v>0</v>
      </c>
      <c r="AA45" s="0" t="n">
        <f>IF(COUNTA(B45:L45)=0,0,IF(OR(AND(ISNUMBER(F45),F45&lt;0),AND(U45=1,OR(SUM(IF(ISNUMBER(G45),IF(G45=0,1,0),0),IF(ISNUMBER(H45),IF(H45=0,1,0),0),IF(ISNUMBER(I45),IF(I45=0,1,0),0),IF(ISNUMBER(J45),IF(J45=0,1,0),0))&gt;0,COUNTIFS(G45:J45,"&lt;0")&gt;0)),AND(P45="DIMENSIONES",U45=1,OR(AND(S45="m",COUNT(H45:J45)&lt;&gt;1),AND(S45="m²",COUNT(H45:J45)&lt;&gt;2,Y45=0),AND(S45="m³",COUNT(H45:J45)&lt;&gt;3),AND(S45="ud",COUNT(H45:J45)&gt;0))),AND(P45="DIRECTA",OR(S45="m",S45="m²",S45="m³"))),1,0))</f>
        <v>0</v>
      </c>
      <c r="AB45" s="0">
        <f>IF(LEN(TRIM(E45&amp;""))&gt;0,E45,IF(R45&gt;0,INDEX($E$13:$E$512,R45),""))</f>
      </c>
      <c r="AC45" s="0">
        <f>UPPER(SUBSTITUTE(SUBSTITUTE(SUBSTITUTE(SUBSTITUTE(SUBSTITUTE(TRIM(AB45),"²","2"),"³","3"),"^",""),".","")," ",""))</f>
      </c>
    </row>
    <row r="46" ht="35" customHeight="1">
      <c r="B46" s="35"/>
      <c r="C46" s="35"/>
      <c r="D46" s="37"/>
      <c r="E46" s="35"/>
      <c r="F46" s="38"/>
      <c r="G46" s="38"/>
      <c r="H46" s="38"/>
      <c r="I46" s="38"/>
      <c r="J46" s="38"/>
      <c r="K46" s="35"/>
      <c r="L46" s="35"/>
      <c r="M46" s="39">
        <f>IF(U46&lt;&gt;1,"",IF(P46="DIRECTA",G46,IF(ISNUMBER(G46),G46,1)*IF(ISNUMBER(H46),H46,1)*IF(ISNUMBER(I46),I46,1)*IF(ISNUMBER(J46),J46,1)))</f>
      </c>
      <c r="N46" s="30">
        <f>IF(COUNTA(B46:L46)=0,"",IF(X46=0,IF(P46="CABECERA","VERDE · Fila descriptiva; la suma usa las líneas del ID","VERDE · Datos numéricos interpretables"),IF(X46=2,"ROJO · ","ÁMBAR · ")&amp;IF(NOT(IF(ISNUMBER($E$6),AND($E$6&gt;=0,$E$6&lt;=6,$E$6=INT($E$6)),FALSE)),"Indicamos entre 0 y 6 decimales en E6. ","")&amp;IF(O46=0,"Falta un ID numérico. ","")&amp;IF(R46=0,"Faltan capítulo, código, unidad o total numérico del ID. ","")&amp;IF(T46&gt;0,"Los datos o el total del ID se contradicen. ","")&amp;IF(AND(P46&lt;&gt;"DIMENSIONES",P46&lt;&gt;"DIRECTA",P46&lt;&gt;"SIN LÍNEAS",P46&lt;&gt;"CABECERA"),"Tipo de fila no reconocido. ","")&amp;IF(AND(OR(P46="SIN LÍNEAS",P46="CABECERA"),COUNTA(G46:J46)&gt;0),"La fila dice que no mide, pero contiene medidas. ","")&amp;IF(AND(OR(P46="DIRECTA",P46="DIMENSIONES"),U46=0),"Línea incompleta o con medidas no numéricas. ","")&amp;IF(P46="SIN LÍNEAS","No constan medidas de esta fila. ","")&amp;IF(Y46&gt;0,"Parece m³: tres dimensiones bajo m². ","")&amp;IF(AND(AB46&lt;&gt;"",SUMPRODUCT(--('LÉEME'!$B$65:$B$86=AC46))&lt;&gt;1),"Revisamos el significado de la unidad. ","")&amp;IF(Z46&gt;0,"Más precisión que los decimales indicados: cotejamos el original. ","")&amp;IF(AA46&gt;0,"Revisamos dimensiones, cantidad directa, ceros o deducción. ","")))</f>
      </c>
      <c r="O46" s="0" t="n">
        <f>IF(ISNUMBER(K46),IF(AND(K46&gt;0,K46=INT(K46),K46&lt;=999999),K46,0),0)</f>
        <v>0</v>
      </c>
      <c r="P46" s="0">
        <f>IF(COUNTA(B46:L46)=0,"",IF(L46="",IF(COUNTA(G46:J46)&gt;0,"DIMENSIONES","SIN LÍNEAS"),UPPER(TRIM(L46))))</f>
      </c>
      <c r="Q46" s="0">
        <f>IF(AND(O46&gt;0,LEN(TRIM(B46&amp;""))&gt;0,LEN(TRIM(C46&amp;""))&gt;0,LEN(TRIM(E46&amp;""))&gt;0,ISNUMBER(F46)),O46,"")</f>
      </c>
      <c r="R46" s="0" t="n">
        <f>IF(O46=0,0,IF(COUNTIFS($Q$13:$Q$512,O46)&gt;0,MATCH(O46,$Q$13:$Q$512,0),0))</f>
        <v>0</v>
      </c>
      <c r="S46" s="0">
        <f>IF(AB46="","",IF(SUMPRODUCT(--('LÉEME'!$B$65:$B$86=AC46))=1,INDEX('LÉEME'!$C$65:$C$86,MATCH(AC46,'LÉEME'!$B$65:$B$86,0)),UPPER(TRIM(AB46))))</f>
      </c>
      <c r="T46" s="0" t="n">
        <f>IF(R46=0,0,IF(OR(AND(LEN(TRIM(B46&amp;""))&gt;0,UPPER(TRIM(B46&amp;""))&lt;&gt;UPPER(TRIM(INDEX($B$13:$B$512,R46)&amp;""))),AND(LEN(TRIM(C46&amp;""))&gt;0,UPPER(TRIM(C46&amp;""))&lt;&gt;UPPER(TRIM(INDEX($C$13:$C$512,R46)&amp;""))),AND(LEN(TRIM(E46&amp;""))&gt;0,S46&lt;&gt;INDEX($S$13:$S$512,R46)),AND(F46&lt;&gt;"",NOT(ISNUMBER(F46)))),1,IF(ISNUMBER(F46),IF(ABS(F46-INDEX($F$13:$F$512,R46))&gt;0.00000001,1,0),0)))</f>
        <v>0</v>
      </c>
      <c r="U46" s="0" t="n">
        <f>IF(P46="DIRECTA",IF(AND(ISNUMBER(G46),COUNTA(H46:J46)=0),1,0),IF(P46="DIMENSIONES",IF(AND(COUNT(G46:J46)&gt;0,COUNTA(G46:J46)=COUNT(G46:J46)),1,0),0))</f>
        <v>0</v>
      </c>
      <c r="V46" s="0" t="n">
        <f>IF(O46=0,0,IF(COUNTIFS($O$13:O46,O46)=1,1,0))</f>
        <v>0</v>
      </c>
      <c r="W46" s="0">
        <f>IF(V46=1,COUNTIFS($V$13:V46,1),"")</f>
      </c>
      <c r="X46" s="0">
        <f>IF(COUNTA(B46:L46)=0,"",IF(OR(NOT(IF(ISNUMBER($E$6),AND($E$6&gt;=0,$E$6&lt;=6,$E$6=INT($E$6)),FALSE)),O46=0,R46=0,T46&gt;0,AND(P46&lt;&gt;"DIMENSIONES",P46&lt;&gt;"DIRECTA",P46&lt;&gt;"SIN LÍNEAS",P46&lt;&gt;"CABECERA"),AND(OR(P46="DIRECTA",P46="DIMENSIONES"),U46=0),AND(OR(P46="SIN LÍNEAS",P46="CABECERA"),COUNTA(G46:J46)&gt;0)),2,IF(OR(P46="SIN LÍNEAS",Y46&gt;0,Z46&gt;0,AA46&gt;0,SUMPRODUCT(--('LÉEME'!$B$65:$B$86=AC46))&lt;&gt;1),1,0)))</f>
      </c>
      <c r="Y46" s="0" t="n">
        <f>IF(AND(P46="DIMENSIONES",S46="m²",COUNT(H46:J46)=3),1,0)</f>
        <v>0</v>
      </c>
      <c r="Z46" s="0" t="n">
        <f>IF(IF(ISNUMBER($E$6),AND($E$6&gt;=0,$E$6&lt;=6,$E$6=INT($E$6)),FALSE),IF(SUM(IF(ISNUMBER(F46),IF(ABS(F46-ROUND(F46,$E$6))&gt;0.00000001,1,0),0),IF(ISNUMBER(G46),IF(ABS(G46-ROUND(G46,$E$6))&gt;0.00000001,1,0),0),IF(ISNUMBER(H46),IF(ABS(H46-ROUND(H46,$E$6))&gt;0.00000001,1,0),0),IF(ISNUMBER(I46),IF(ABS(I46-ROUND(I46,$E$6))&gt;0.00000001,1,0),0),IF(ISNUMBER(J46),IF(ABS(J46-ROUND(J46,$E$6))&gt;0.00000001,1,0),0),IF(ISNUMBER(M46),IF(ABS(M46-ROUND(M46,$E$6))&gt;0.00000001,1,0),0))&gt;0,1,0),0)</f>
        <v>0</v>
      </c>
      <c r="AA46" s="0" t="n">
        <f>IF(COUNTA(B46:L46)=0,0,IF(OR(AND(ISNUMBER(F46),F46&lt;0),AND(U46=1,OR(SUM(IF(ISNUMBER(G46),IF(G46=0,1,0),0),IF(ISNUMBER(H46),IF(H46=0,1,0),0),IF(ISNUMBER(I46),IF(I46=0,1,0),0),IF(ISNUMBER(J46),IF(J46=0,1,0),0))&gt;0,COUNTIFS(G46:J46,"&lt;0")&gt;0)),AND(P46="DIMENSIONES",U46=1,OR(AND(S46="m",COUNT(H46:J46)&lt;&gt;1),AND(S46="m²",COUNT(H46:J46)&lt;&gt;2,Y46=0),AND(S46="m³",COUNT(H46:J46)&lt;&gt;3),AND(S46="ud",COUNT(H46:J46)&gt;0))),AND(P46="DIRECTA",OR(S46="m",S46="m²",S46="m³"))),1,0))</f>
        <v>0</v>
      </c>
      <c r="AB46" s="0">
        <f>IF(LEN(TRIM(E46&amp;""))&gt;0,E46,IF(R46&gt;0,INDEX($E$13:$E$512,R46),""))</f>
      </c>
      <c r="AC46" s="0">
        <f>UPPER(SUBSTITUTE(SUBSTITUTE(SUBSTITUTE(SUBSTITUTE(SUBSTITUTE(TRIM(AB46),"²","2"),"³","3"),"^",""),".","")," ",""))</f>
      </c>
    </row>
    <row r="47" ht="35" customHeight="1">
      <c r="B47" s="35"/>
      <c r="C47" s="35"/>
      <c r="D47" s="37"/>
      <c r="E47" s="35"/>
      <c r="F47" s="38"/>
      <c r="G47" s="38"/>
      <c r="H47" s="38"/>
      <c r="I47" s="38"/>
      <c r="J47" s="38"/>
      <c r="K47" s="35"/>
      <c r="L47" s="35"/>
      <c r="M47" s="39">
        <f>IF(U47&lt;&gt;1,"",IF(P47="DIRECTA",G47,IF(ISNUMBER(G47),G47,1)*IF(ISNUMBER(H47),H47,1)*IF(ISNUMBER(I47),I47,1)*IF(ISNUMBER(J47),J47,1)))</f>
      </c>
      <c r="N47" s="30">
        <f>IF(COUNTA(B47:L47)=0,"",IF(X47=0,IF(P47="CABECERA","VERDE · Fila descriptiva; la suma usa las líneas del ID","VERDE · Datos numéricos interpretables"),IF(X47=2,"ROJO · ","ÁMBAR · ")&amp;IF(NOT(IF(ISNUMBER($E$6),AND($E$6&gt;=0,$E$6&lt;=6,$E$6=INT($E$6)),FALSE)),"Indicamos entre 0 y 6 decimales en E6. ","")&amp;IF(O47=0,"Falta un ID numérico. ","")&amp;IF(R47=0,"Faltan capítulo, código, unidad o total numérico del ID. ","")&amp;IF(T47&gt;0,"Los datos o el total del ID se contradicen. ","")&amp;IF(AND(P47&lt;&gt;"DIMENSIONES",P47&lt;&gt;"DIRECTA",P47&lt;&gt;"SIN LÍNEAS",P47&lt;&gt;"CABECERA"),"Tipo de fila no reconocido. ","")&amp;IF(AND(OR(P47="SIN LÍNEAS",P47="CABECERA"),COUNTA(G47:J47)&gt;0),"La fila dice que no mide, pero contiene medidas. ","")&amp;IF(AND(OR(P47="DIRECTA",P47="DIMENSIONES"),U47=0),"Línea incompleta o con medidas no numéricas. ","")&amp;IF(P47="SIN LÍNEAS","No constan medidas de esta fila. ","")&amp;IF(Y47&gt;0,"Parece m³: tres dimensiones bajo m². ","")&amp;IF(AND(AB47&lt;&gt;"",SUMPRODUCT(--('LÉEME'!$B$65:$B$86=AC47))&lt;&gt;1),"Revisamos el significado de la unidad. ","")&amp;IF(Z47&gt;0,"Más precisión que los decimales indicados: cotejamos el original. ","")&amp;IF(AA47&gt;0,"Revisamos dimensiones, cantidad directa, ceros o deducción. ","")))</f>
      </c>
      <c r="O47" s="0" t="n">
        <f>IF(ISNUMBER(K47),IF(AND(K47&gt;0,K47=INT(K47),K47&lt;=999999),K47,0),0)</f>
        <v>0</v>
      </c>
      <c r="P47" s="0">
        <f>IF(COUNTA(B47:L47)=0,"",IF(L47="",IF(COUNTA(G47:J47)&gt;0,"DIMENSIONES","SIN LÍNEAS"),UPPER(TRIM(L47))))</f>
      </c>
      <c r="Q47" s="0">
        <f>IF(AND(O47&gt;0,LEN(TRIM(B47&amp;""))&gt;0,LEN(TRIM(C47&amp;""))&gt;0,LEN(TRIM(E47&amp;""))&gt;0,ISNUMBER(F47)),O47,"")</f>
      </c>
      <c r="R47" s="0" t="n">
        <f>IF(O47=0,0,IF(COUNTIFS($Q$13:$Q$512,O47)&gt;0,MATCH(O47,$Q$13:$Q$512,0),0))</f>
        <v>0</v>
      </c>
      <c r="S47" s="0">
        <f>IF(AB47="","",IF(SUMPRODUCT(--('LÉEME'!$B$65:$B$86=AC47))=1,INDEX('LÉEME'!$C$65:$C$86,MATCH(AC47,'LÉEME'!$B$65:$B$86,0)),UPPER(TRIM(AB47))))</f>
      </c>
      <c r="T47" s="0" t="n">
        <f>IF(R47=0,0,IF(OR(AND(LEN(TRIM(B47&amp;""))&gt;0,UPPER(TRIM(B47&amp;""))&lt;&gt;UPPER(TRIM(INDEX($B$13:$B$512,R47)&amp;""))),AND(LEN(TRIM(C47&amp;""))&gt;0,UPPER(TRIM(C47&amp;""))&lt;&gt;UPPER(TRIM(INDEX($C$13:$C$512,R47)&amp;""))),AND(LEN(TRIM(E47&amp;""))&gt;0,S47&lt;&gt;INDEX($S$13:$S$512,R47)),AND(F47&lt;&gt;"",NOT(ISNUMBER(F47)))),1,IF(ISNUMBER(F47),IF(ABS(F47-INDEX($F$13:$F$512,R47))&gt;0.00000001,1,0),0)))</f>
        <v>0</v>
      </c>
      <c r="U47" s="0" t="n">
        <f>IF(P47="DIRECTA",IF(AND(ISNUMBER(G47),COUNTA(H47:J47)=0),1,0),IF(P47="DIMENSIONES",IF(AND(COUNT(G47:J47)&gt;0,COUNTA(G47:J47)=COUNT(G47:J47)),1,0),0))</f>
        <v>0</v>
      </c>
      <c r="V47" s="0" t="n">
        <f>IF(O47=0,0,IF(COUNTIFS($O$13:O47,O47)=1,1,0))</f>
        <v>0</v>
      </c>
      <c r="W47" s="0">
        <f>IF(V47=1,COUNTIFS($V$13:V47,1),"")</f>
      </c>
      <c r="X47" s="0">
        <f>IF(COUNTA(B47:L47)=0,"",IF(OR(NOT(IF(ISNUMBER($E$6),AND($E$6&gt;=0,$E$6&lt;=6,$E$6=INT($E$6)),FALSE)),O47=0,R47=0,T47&gt;0,AND(P47&lt;&gt;"DIMENSIONES",P47&lt;&gt;"DIRECTA",P47&lt;&gt;"SIN LÍNEAS",P47&lt;&gt;"CABECERA"),AND(OR(P47="DIRECTA",P47="DIMENSIONES"),U47=0),AND(OR(P47="SIN LÍNEAS",P47="CABECERA"),COUNTA(G47:J47)&gt;0)),2,IF(OR(P47="SIN LÍNEAS",Y47&gt;0,Z47&gt;0,AA47&gt;0,SUMPRODUCT(--('LÉEME'!$B$65:$B$86=AC47))&lt;&gt;1),1,0)))</f>
      </c>
      <c r="Y47" s="0" t="n">
        <f>IF(AND(P47="DIMENSIONES",S47="m²",COUNT(H47:J47)=3),1,0)</f>
        <v>0</v>
      </c>
      <c r="Z47" s="0" t="n">
        <f>IF(IF(ISNUMBER($E$6),AND($E$6&gt;=0,$E$6&lt;=6,$E$6=INT($E$6)),FALSE),IF(SUM(IF(ISNUMBER(F47),IF(ABS(F47-ROUND(F47,$E$6))&gt;0.00000001,1,0),0),IF(ISNUMBER(G47),IF(ABS(G47-ROUND(G47,$E$6))&gt;0.00000001,1,0),0),IF(ISNUMBER(H47),IF(ABS(H47-ROUND(H47,$E$6))&gt;0.00000001,1,0),0),IF(ISNUMBER(I47),IF(ABS(I47-ROUND(I47,$E$6))&gt;0.00000001,1,0),0),IF(ISNUMBER(J47),IF(ABS(J47-ROUND(J47,$E$6))&gt;0.00000001,1,0),0),IF(ISNUMBER(M47),IF(ABS(M47-ROUND(M47,$E$6))&gt;0.00000001,1,0),0))&gt;0,1,0),0)</f>
        <v>0</v>
      </c>
      <c r="AA47" s="0" t="n">
        <f>IF(COUNTA(B47:L47)=0,0,IF(OR(AND(ISNUMBER(F47),F47&lt;0),AND(U47=1,OR(SUM(IF(ISNUMBER(G47),IF(G47=0,1,0),0),IF(ISNUMBER(H47),IF(H47=0,1,0),0),IF(ISNUMBER(I47),IF(I47=0,1,0),0),IF(ISNUMBER(J47),IF(J47=0,1,0),0))&gt;0,COUNTIFS(G47:J47,"&lt;0")&gt;0)),AND(P47="DIMENSIONES",U47=1,OR(AND(S47="m",COUNT(H47:J47)&lt;&gt;1),AND(S47="m²",COUNT(H47:J47)&lt;&gt;2,Y47=0),AND(S47="m³",COUNT(H47:J47)&lt;&gt;3),AND(S47="ud",COUNT(H47:J47)&gt;0))),AND(P47="DIRECTA",OR(S47="m",S47="m²",S47="m³"))),1,0))</f>
        <v>0</v>
      </c>
      <c r="AB47" s="0">
        <f>IF(LEN(TRIM(E47&amp;""))&gt;0,E47,IF(R47&gt;0,INDEX($E$13:$E$512,R47),""))</f>
      </c>
      <c r="AC47" s="0">
        <f>UPPER(SUBSTITUTE(SUBSTITUTE(SUBSTITUTE(SUBSTITUTE(SUBSTITUTE(TRIM(AB47),"²","2"),"³","3"),"^",""),".","")," ",""))</f>
      </c>
    </row>
    <row r="48" ht="35" customHeight="1">
      <c r="B48" s="35"/>
      <c r="C48" s="35"/>
      <c r="D48" s="37"/>
      <c r="E48" s="35"/>
      <c r="F48" s="38"/>
      <c r="G48" s="38"/>
      <c r="H48" s="38"/>
      <c r="I48" s="38"/>
      <c r="J48" s="38"/>
      <c r="K48" s="35"/>
      <c r="L48" s="35"/>
      <c r="M48" s="39">
        <f>IF(U48&lt;&gt;1,"",IF(P48="DIRECTA",G48,IF(ISNUMBER(G48),G48,1)*IF(ISNUMBER(H48),H48,1)*IF(ISNUMBER(I48),I48,1)*IF(ISNUMBER(J48),J48,1)))</f>
      </c>
      <c r="N48" s="30">
        <f>IF(COUNTA(B48:L48)=0,"",IF(X48=0,IF(P48="CABECERA","VERDE · Fila descriptiva; la suma usa las líneas del ID","VERDE · Datos numéricos interpretables"),IF(X48=2,"ROJO · ","ÁMBAR · ")&amp;IF(NOT(IF(ISNUMBER($E$6),AND($E$6&gt;=0,$E$6&lt;=6,$E$6=INT($E$6)),FALSE)),"Indicamos entre 0 y 6 decimales en E6. ","")&amp;IF(O48=0,"Falta un ID numérico. ","")&amp;IF(R48=0,"Faltan capítulo, código, unidad o total numérico del ID. ","")&amp;IF(T48&gt;0,"Los datos o el total del ID se contradicen. ","")&amp;IF(AND(P48&lt;&gt;"DIMENSIONES",P48&lt;&gt;"DIRECTA",P48&lt;&gt;"SIN LÍNEAS",P48&lt;&gt;"CABECERA"),"Tipo de fila no reconocido. ","")&amp;IF(AND(OR(P48="SIN LÍNEAS",P48="CABECERA"),COUNTA(G48:J48)&gt;0),"La fila dice que no mide, pero contiene medidas. ","")&amp;IF(AND(OR(P48="DIRECTA",P48="DIMENSIONES"),U48=0),"Línea incompleta o con medidas no numéricas. ","")&amp;IF(P48="SIN LÍNEAS","No constan medidas de esta fila. ","")&amp;IF(Y48&gt;0,"Parece m³: tres dimensiones bajo m². ","")&amp;IF(AND(AB48&lt;&gt;"",SUMPRODUCT(--('LÉEME'!$B$65:$B$86=AC48))&lt;&gt;1),"Revisamos el significado de la unidad. ","")&amp;IF(Z48&gt;0,"Más precisión que los decimales indicados: cotejamos el original. ","")&amp;IF(AA48&gt;0,"Revisamos dimensiones, cantidad directa, ceros o deducción. ","")))</f>
      </c>
      <c r="O48" s="0" t="n">
        <f>IF(ISNUMBER(K48),IF(AND(K48&gt;0,K48=INT(K48),K48&lt;=999999),K48,0),0)</f>
        <v>0</v>
      </c>
      <c r="P48" s="0">
        <f>IF(COUNTA(B48:L48)=0,"",IF(L48="",IF(COUNTA(G48:J48)&gt;0,"DIMENSIONES","SIN LÍNEAS"),UPPER(TRIM(L48))))</f>
      </c>
      <c r="Q48" s="0">
        <f>IF(AND(O48&gt;0,LEN(TRIM(B48&amp;""))&gt;0,LEN(TRIM(C48&amp;""))&gt;0,LEN(TRIM(E48&amp;""))&gt;0,ISNUMBER(F48)),O48,"")</f>
      </c>
      <c r="R48" s="0" t="n">
        <f>IF(O48=0,0,IF(COUNTIFS($Q$13:$Q$512,O48)&gt;0,MATCH(O48,$Q$13:$Q$512,0),0))</f>
        <v>0</v>
      </c>
      <c r="S48" s="0">
        <f>IF(AB48="","",IF(SUMPRODUCT(--('LÉEME'!$B$65:$B$86=AC48))=1,INDEX('LÉEME'!$C$65:$C$86,MATCH(AC48,'LÉEME'!$B$65:$B$86,0)),UPPER(TRIM(AB48))))</f>
      </c>
      <c r="T48" s="0" t="n">
        <f>IF(R48=0,0,IF(OR(AND(LEN(TRIM(B48&amp;""))&gt;0,UPPER(TRIM(B48&amp;""))&lt;&gt;UPPER(TRIM(INDEX($B$13:$B$512,R48)&amp;""))),AND(LEN(TRIM(C48&amp;""))&gt;0,UPPER(TRIM(C48&amp;""))&lt;&gt;UPPER(TRIM(INDEX($C$13:$C$512,R48)&amp;""))),AND(LEN(TRIM(E48&amp;""))&gt;0,S48&lt;&gt;INDEX($S$13:$S$512,R48)),AND(F48&lt;&gt;"",NOT(ISNUMBER(F48)))),1,IF(ISNUMBER(F48),IF(ABS(F48-INDEX($F$13:$F$512,R48))&gt;0.00000001,1,0),0)))</f>
        <v>0</v>
      </c>
      <c r="U48" s="0" t="n">
        <f>IF(P48="DIRECTA",IF(AND(ISNUMBER(G48),COUNTA(H48:J48)=0),1,0),IF(P48="DIMENSIONES",IF(AND(COUNT(G48:J48)&gt;0,COUNTA(G48:J48)=COUNT(G48:J48)),1,0),0))</f>
        <v>0</v>
      </c>
      <c r="V48" s="0" t="n">
        <f>IF(O48=0,0,IF(COUNTIFS($O$13:O48,O48)=1,1,0))</f>
        <v>0</v>
      </c>
      <c r="W48" s="0">
        <f>IF(V48=1,COUNTIFS($V$13:V48,1),"")</f>
      </c>
      <c r="X48" s="0">
        <f>IF(COUNTA(B48:L48)=0,"",IF(OR(NOT(IF(ISNUMBER($E$6),AND($E$6&gt;=0,$E$6&lt;=6,$E$6=INT($E$6)),FALSE)),O48=0,R48=0,T48&gt;0,AND(P48&lt;&gt;"DIMENSIONES",P48&lt;&gt;"DIRECTA",P48&lt;&gt;"SIN LÍNEAS",P48&lt;&gt;"CABECERA"),AND(OR(P48="DIRECTA",P48="DIMENSIONES"),U48=0),AND(OR(P48="SIN LÍNEAS",P48="CABECERA"),COUNTA(G48:J48)&gt;0)),2,IF(OR(P48="SIN LÍNEAS",Y48&gt;0,Z48&gt;0,AA48&gt;0,SUMPRODUCT(--('LÉEME'!$B$65:$B$86=AC48))&lt;&gt;1),1,0)))</f>
      </c>
      <c r="Y48" s="0" t="n">
        <f>IF(AND(P48="DIMENSIONES",S48="m²",COUNT(H48:J48)=3),1,0)</f>
        <v>0</v>
      </c>
      <c r="Z48" s="0" t="n">
        <f>IF(IF(ISNUMBER($E$6),AND($E$6&gt;=0,$E$6&lt;=6,$E$6=INT($E$6)),FALSE),IF(SUM(IF(ISNUMBER(F48),IF(ABS(F48-ROUND(F48,$E$6))&gt;0.00000001,1,0),0),IF(ISNUMBER(G48),IF(ABS(G48-ROUND(G48,$E$6))&gt;0.00000001,1,0),0),IF(ISNUMBER(H48),IF(ABS(H48-ROUND(H48,$E$6))&gt;0.00000001,1,0),0),IF(ISNUMBER(I48),IF(ABS(I48-ROUND(I48,$E$6))&gt;0.00000001,1,0),0),IF(ISNUMBER(J48),IF(ABS(J48-ROUND(J48,$E$6))&gt;0.00000001,1,0),0),IF(ISNUMBER(M48),IF(ABS(M48-ROUND(M48,$E$6))&gt;0.00000001,1,0),0))&gt;0,1,0),0)</f>
        <v>0</v>
      </c>
      <c r="AA48" s="0" t="n">
        <f>IF(COUNTA(B48:L48)=0,0,IF(OR(AND(ISNUMBER(F48),F48&lt;0),AND(U48=1,OR(SUM(IF(ISNUMBER(G48),IF(G48=0,1,0),0),IF(ISNUMBER(H48),IF(H48=0,1,0),0),IF(ISNUMBER(I48),IF(I48=0,1,0),0),IF(ISNUMBER(J48),IF(J48=0,1,0),0))&gt;0,COUNTIFS(G48:J48,"&lt;0")&gt;0)),AND(P48="DIMENSIONES",U48=1,OR(AND(S48="m",COUNT(H48:J48)&lt;&gt;1),AND(S48="m²",COUNT(H48:J48)&lt;&gt;2,Y48=0),AND(S48="m³",COUNT(H48:J48)&lt;&gt;3),AND(S48="ud",COUNT(H48:J48)&gt;0))),AND(P48="DIRECTA",OR(S48="m",S48="m²",S48="m³"))),1,0))</f>
        <v>0</v>
      </c>
      <c r="AB48" s="0">
        <f>IF(LEN(TRIM(E48&amp;""))&gt;0,E48,IF(R48&gt;0,INDEX($E$13:$E$512,R48),""))</f>
      </c>
      <c r="AC48" s="0">
        <f>UPPER(SUBSTITUTE(SUBSTITUTE(SUBSTITUTE(SUBSTITUTE(SUBSTITUTE(TRIM(AB48),"²","2"),"³","3"),"^",""),".","")," ",""))</f>
      </c>
    </row>
    <row r="49" ht="35" customHeight="1">
      <c r="B49" s="35"/>
      <c r="C49" s="35"/>
      <c r="D49" s="37"/>
      <c r="E49" s="35"/>
      <c r="F49" s="38"/>
      <c r="G49" s="38"/>
      <c r="H49" s="38"/>
      <c r="I49" s="38"/>
      <c r="J49" s="38"/>
      <c r="K49" s="35"/>
      <c r="L49" s="35"/>
      <c r="M49" s="39">
        <f>IF(U49&lt;&gt;1,"",IF(P49="DIRECTA",G49,IF(ISNUMBER(G49),G49,1)*IF(ISNUMBER(H49),H49,1)*IF(ISNUMBER(I49),I49,1)*IF(ISNUMBER(J49),J49,1)))</f>
      </c>
      <c r="N49" s="30">
        <f>IF(COUNTA(B49:L49)=0,"",IF(X49=0,IF(P49="CABECERA","VERDE · Fila descriptiva; la suma usa las líneas del ID","VERDE · Datos numéricos interpretables"),IF(X49=2,"ROJO · ","ÁMBAR · ")&amp;IF(NOT(IF(ISNUMBER($E$6),AND($E$6&gt;=0,$E$6&lt;=6,$E$6=INT($E$6)),FALSE)),"Indicamos entre 0 y 6 decimales en E6. ","")&amp;IF(O49=0,"Falta un ID numérico. ","")&amp;IF(R49=0,"Faltan capítulo, código, unidad o total numérico del ID. ","")&amp;IF(T49&gt;0,"Los datos o el total del ID se contradicen. ","")&amp;IF(AND(P49&lt;&gt;"DIMENSIONES",P49&lt;&gt;"DIRECTA",P49&lt;&gt;"SIN LÍNEAS",P49&lt;&gt;"CABECERA"),"Tipo de fila no reconocido. ","")&amp;IF(AND(OR(P49="SIN LÍNEAS",P49="CABECERA"),COUNTA(G49:J49)&gt;0),"La fila dice que no mide, pero contiene medidas. ","")&amp;IF(AND(OR(P49="DIRECTA",P49="DIMENSIONES"),U49=0),"Línea incompleta o con medidas no numéricas. ","")&amp;IF(P49="SIN LÍNEAS","No constan medidas de esta fila. ","")&amp;IF(Y49&gt;0,"Parece m³: tres dimensiones bajo m². ","")&amp;IF(AND(AB49&lt;&gt;"",SUMPRODUCT(--('LÉEME'!$B$65:$B$86=AC49))&lt;&gt;1),"Revisamos el significado de la unidad. ","")&amp;IF(Z49&gt;0,"Más precisión que los decimales indicados: cotejamos el original. ","")&amp;IF(AA49&gt;0,"Revisamos dimensiones, cantidad directa, ceros o deducción. ","")))</f>
      </c>
      <c r="O49" s="0" t="n">
        <f>IF(ISNUMBER(K49),IF(AND(K49&gt;0,K49=INT(K49),K49&lt;=999999),K49,0),0)</f>
        <v>0</v>
      </c>
      <c r="P49" s="0">
        <f>IF(COUNTA(B49:L49)=0,"",IF(L49="",IF(COUNTA(G49:J49)&gt;0,"DIMENSIONES","SIN LÍNEAS"),UPPER(TRIM(L49))))</f>
      </c>
      <c r="Q49" s="0">
        <f>IF(AND(O49&gt;0,LEN(TRIM(B49&amp;""))&gt;0,LEN(TRIM(C49&amp;""))&gt;0,LEN(TRIM(E49&amp;""))&gt;0,ISNUMBER(F49)),O49,"")</f>
      </c>
      <c r="R49" s="0" t="n">
        <f>IF(O49=0,0,IF(COUNTIFS($Q$13:$Q$512,O49)&gt;0,MATCH(O49,$Q$13:$Q$512,0),0))</f>
        <v>0</v>
      </c>
      <c r="S49" s="0">
        <f>IF(AB49="","",IF(SUMPRODUCT(--('LÉEME'!$B$65:$B$86=AC49))=1,INDEX('LÉEME'!$C$65:$C$86,MATCH(AC49,'LÉEME'!$B$65:$B$86,0)),UPPER(TRIM(AB49))))</f>
      </c>
      <c r="T49" s="0" t="n">
        <f>IF(R49=0,0,IF(OR(AND(LEN(TRIM(B49&amp;""))&gt;0,UPPER(TRIM(B49&amp;""))&lt;&gt;UPPER(TRIM(INDEX($B$13:$B$512,R49)&amp;""))),AND(LEN(TRIM(C49&amp;""))&gt;0,UPPER(TRIM(C49&amp;""))&lt;&gt;UPPER(TRIM(INDEX($C$13:$C$512,R49)&amp;""))),AND(LEN(TRIM(E49&amp;""))&gt;0,S49&lt;&gt;INDEX($S$13:$S$512,R49)),AND(F49&lt;&gt;"",NOT(ISNUMBER(F49)))),1,IF(ISNUMBER(F49),IF(ABS(F49-INDEX($F$13:$F$512,R49))&gt;0.00000001,1,0),0)))</f>
        <v>0</v>
      </c>
      <c r="U49" s="0" t="n">
        <f>IF(P49="DIRECTA",IF(AND(ISNUMBER(G49),COUNTA(H49:J49)=0),1,0),IF(P49="DIMENSIONES",IF(AND(COUNT(G49:J49)&gt;0,COUNTA(G49:J49)=COUNT(G49:J49)),1,0),0))</f>
        <v>0</v>
      </c>
      <c r="V49" s="0" t="n">
        <f>IF(O49=0,0,IF(COUNTIFS($O$13:O49,O49)=1,1,0))</f>
        <v>0</v>
      </c>
      <c r="W49" s="0">
        <f>IF(V49=1,COUNTIFS($V$13:V49,1),"")</f>
      </c>
      <c r="X49" s="0">
        <f>IF(COUNTA(B49:L49)=0,"",IF(OR(NOT(IF(ISNUMBER($E$6),AND($E$6&gt;=0,$E$6&lt;=6,$E$6=INT($E$6)),FALSE)),O49=0,R49=0,T49&gt;0,AND(P49&lt;&gt;"DIMENSIONES",P49&lt;&gt;"DIRECTA",P49&lt;&gt;"SIN LÍNEAS",P49&lt;&gt;"CABECERA"),AND(OR(P49="DIRECTA",P49="DIMENSIONES"),U49=0),AND(OR(P49="SIN LÍNEAS",P49="CABECERA"),COUNTA(G49:J49)&gt;0)),2,IF(OR(P49="SIN LÍNEAS",Y49&gt;0,Z49&gt;0,AA49&gt;0,SUMPRODUCT(--('LÉEME'!$B$65:$B$86=AC49))&lt;&gt;1),1,0)))</f>
      </c>
      <c r="Y49" s="0" t="n">
        <f>IF(AND(P49="DIMENSIONES",S49="m²",COUNT(H49:J49)=3),1,0)</f>
        <v>0</v>
      </c>
      <c r="Z49" s="0" t="n">
        <f>IF(IF(ISNUMBER($E$6),AND($E$6&gt;=0,$E$6&lt;=6,$E$6=INT($E$6)),FALSE),IF(SUM(IF(ISNUMBER(F49),IF(ABS(F49-ROUND(F49,$E$6))&gt;0.00000001,1,0),0),IF(ISNUMBER(G49),IF(ABS(G49-ROUND(G49,$E$6))&gt;0.00000001,1,0),0),IF(ISNUMBER(H49),IF(ABS(H49-ROUND(H49,$E$6))&gt;0.00000001,1,0),0),IF(ISNUMBER(I49),IF(ABS(I49-ROUND(I49,$E$6))&gt;0.00000001,1,0),0),IF(ISNUMBER(J49),IF(ABS(J49-ROUND(J49,$E$6))&gt;0.00000001,1,0),0),IF(ISNUMBER(M49),IF(ABS(M49-ROUND(M49,$E$6))&gt;0.00000001,1,0),0))&gt;0,1,0),0)</f>
        <v>0</v>
      </c>
      <c r="AA49" s="0" t="n">
        <f>IF(COUNTA(B49:L49)=0,0,IF(OR(AND(ISNUMBER(F49),F49&lt;0),AND(U49=1,OR(SUM(IF(ISNUMBER(G49),IF(G49=0,1,0),0),IF(ISNUMBER(H49),IF(H49=0,1,0),0),IF(ISNUMBER(I49),IF(I49=0,1,0),0),IF(ISNUMBER(J49),IF(J49=0,1,0),0))&gt;0,COUNTIFS(G49:J49,"&lt;0")&gt;0)),AND(P49="DIMENSIONES",U49=1,OR(AND(S49="m",COUNT(H49:J49)&lt;&gt;1),AND(S49="m²",COUNT(H49:J49)&lt;&gt;2,Y49=0),AND(S49="m³",COUNT(H49:J49)&lt;&gt;3),AND(S49="ud",COUNT(H49:J49)&gt;0))),AND(P49="DIRECTA",OR(S49="m",S49="m²",S49="m³"))),1,0))</f>
        <v>0</v>
      </c>
      <c r="AB49" s="0">
        <f>IF(LEN(TRIM(E49&amp;""))&gt;0,E49,IF(R49&gt;0,INDEX($E$13:$E$512,R49),""))</f>
      </c>
      <c r="AC49" s="0">
        <f>UPPER(SUBSTITUTE(SUBSTITUTE(SUBSTITUTE(SUBSTITUTE(SUBSTITUTE(TRIM(AB49),"²","2"),"³","3"),"^",""),".","")," ",""))</f>
      </c>
    </row>
    <row r="50" ht="35" customHeight="1">
      <c r="B50" s="35"/>
      <c r="C50" s="35"/>
      <c r="D50" s="37"/>
      <c r="E50" s="35"/>
      <c r="F50" s="38"/>
      <c r="G50" s="38"/>
      <c r="H50" s="38"/>
      <c r="I50" s="38"/>
      <c r="J50" s="38"/>
      <c r="K50" s="35"/>
      <c r="L50" s="35"/>
      <c r="M50" s="39">
        <f>IF(U50&lt;&gt;1,"",IF(P50="DIRECTA",G50,IF(ISNUMBER(G50),G50,1)*IF(ISNUMBER(H50),H50,1)*IF(ISNUMBER(I50),I50,1)*IF(ISNUMBER(J50),J50,1)))</f>
      </c>
      <c r="N50" s="30">
        <f>IF(COUNTA(B50:L50)=0,"",IF(X50=0,IF(P50="CABECERA","VERDE · Fila descriptiva; la suma usa las líneas del ID","VERDE · Datos numéricos interpretables"),IF(X50=2,"ROJO · ","ÁMBAR · ")&amp;IF(NOT(IF(ISNUMBER($E$6),AND($E$6&gt;=0,$E$6&lt;=6,$E$6=INT($E$6)),FALSE)),"Indicamos entre 0 y 6 decimales en E6. ","")&amp;IF(O50=0,"Falta un ID numérico. ","")&amp;IF(R50=0,"Faltan capítulo, código, unidad o total numérico del ID. ","")&amp;IF(T50&gt;0,"Los datos o el total del ID se contradicen. ","")&amp;IF(AND(P50&lt;&gt;"DIMENSIONES",P50&lt;&gt;"DIRECTA",P50&lt;&gt;"SIN LÍNEAS",P50&lt;&gt;"CABECERA"),"Tipo de fila no reconocido. ","")&amp;IF(AND(OR(P50="SIN LÍNEAS",P50="CABECERA"),COUNTA(G50:J50)&gt;0),"La fila dice que no mide, pero contiene medidas. ","")&amp;IF(AND(OR(P50="DIRECTA",P50="DIMENSIONES"),U50=0),"Línea incompleta o con medidas no numéricas. ","")&amp;IF(P50="SIN LÍNEAS","No constan medidas de esta fila. ","")&amp;IF(Y50&gt;0,"Parece m³: tres dimensiones bajo m². ","")&amp;IF(AND(AB50&lt;&gt;"",SUMPRODUCT(--('LÉEME'!$B$65:$B$86=AC50))&lt;&gt;1),"Revisamos el significado de la unidad. ","")&amp;IF(Z50&gt;0,"Más precisión que los decimales indicados: cotejamos el original. ","")&amp;IF(AA50&gt;0,"Revisamos dimensiones, cantidad directa, ceros o deducción. ","")))</f>
      </c>
      <c r="O50" s="0" t="n">
        <f>IF(ISNUMBER(K50),IF(AND(K50&gt;0,K50=INT(K50),K50&lt;=999999),K50,0),0)</f>
        <v>0</v>
      </c>
      <c r="P50" s="0">
        <f>IF(COUNTA(B50:L50)=0,"",IF(L50="",IF(COUNTA(G50:J50)&gt;0,"DIMENSIONES","SIN LÍNEAS"),UPPER(TRIM(L50))))</f>
      </c>
      <c r="Q50" s="0">
        <f>IF(AND(O50&gt;0,LEN(TRIM(B50&amp;""))&gt;0,LEN(TRIM(C50&amp;""))&gt;0,LEN(TRIM(E50&amp;""))&gt;0,ISNUMBER(F50)),O50,"")</f>
      </c>
      <c r="R50" s="0" t="n">
        <f>IF(O50=0,0,IF(COUNTIFS($Q$13:$Q$512,O50)&gt;0,MATCH(O50,$Q$13:$Q$512,0),0))</f>
        <v>0</v>
      </c>
      <c r="S50" s="0">
        <f>IF(AB50="","",IF(SUMPRODUCT(--('LÉEME'!$B$65:$B$86=AC50))=1,INDEX('LÉEME'!$C$65:$C$86,MATCH(AC50,'LÉEME'!$B$65:$B$86,0)),UPPER(TRIM(AB50))))</f>
      </c>
      <c r="T50" s="0" t="n">
        <f>IF(R50=0,0,IF(OR(AND(LEN(TRIM(B50&amp;""))&gt;0,UPPER(TRIM(B50&amp;""))&lt;&gt;UPPER(TRIM(INDEX($B$13:$B$512,R50)&amp;""))),AND(LEN(TRIM(C50&amp;""))&gt;0,UPPER(TRIM(C50&amp;""))&lt;&gt;UPPER(TRIM(INDEX($C$13:$C$512,R50)&amp;""))),AND(LEN(TRIM(E50&amp;""))&gt;0,S50&lt;&gt;INDEX($S$13:$S$512,R50)),AND(F50&lt;&gt;"",NOT(ISNUMBER(F50)))),1,IF(ISNUMBER(F50),IF(ABS(F50-INDEX($F$13:$F$512,R50))&gt;0.00000001,1,0),0)))</f>
        <v>0</v>
      </c>
      <c r="U50" s="0" t="n">
        <f>IF(P50="DIRECTA",IF(AND(ISNUMBER(G50),COUNTA(H50:J50)=0),1,0),IF(P50="DIMENSIONES",IF(AND(COUNT(G50:J50)&gt;0,COUNTA(G50:J50)=COUNT(G50:J50)),1,0),0))</f>
        <v>0</v>
      </c>
      <c r="V50" s="0" t="n">
        <f>IF(O50=0,0,IF(COUNTIFS($O$13:O50,O50)=1,1,0))</f>
        <v>0</v>
      </c>
      <c r="W50" s="0">
        <f>IF(V50=1,COUNTIFS($V$13:V50,1),"")</f>
      </c>
      <c r="X50" s="0">
        <f>IF(COUNTA(B50:L50)=0,"",IF(OR(NOT(IF(ISNUMBER($E$6),AND($E$6&gt;=0,$E$6&lt;=6,$E$6=INT($E$6)),FALSE)),O50=0,R50=0,T50&gt;0,AND(P50&lt;&gt;"DIMENSIONES",P50&lt;&gt;"DIRECTA",P50&lt;&gt;"SIN LÍNEAS",P50&lt;&gt;"CABECERA"),AND(OR(P50="DIRECTA",P50="DIMENSIONES"),U50=0),AND(OR(P50="SIN LÍNEAS",P50="CABECERA"),COUNTA(G50:J50)&gt;0)),2,IF(OR(P50="SIN LÍNEAS",Y50&gt;0,Z50&gt;0,AA50&gt;0,SUMPRODUCT(--('LÉEME'!$B$65:$B$86=AC50))&lt;&gt;1),1,0)))</f>
      </c>
      <c r="Y50" s="0" t="n">
        <f>IF(AND(P50="DIMENSIONES",S50="m²",COUNT(H50:J50)=3),1,0)</f>
        <v>0</v>
      </c>
      <c r="Z50" s="0" t="n">
        <f>IF(IF(ISNUMBER($E$6),AND($E$6&gt;=0,$E$6&lt;=6,$E$6=INT($E$6)),FALSE),IF(SUM(IF(ISNUMBER(F50),IF(ABS(F50-ROUND(F50,$E$6))&gt;0.00000001,1,0),0),IF(ISNUMBER(G50),IF(ABS(G50-ROUND(G50,$E$6))&gt;0.00000001,1,0),0),IF(ISNUMBER(H50),IF(ABS(H50-ROUND(H50,$E$6))&gt;0.00000001,1,0),0),IF(ISNUMBER(I50),IF(ABS(I50-ROUND(I50,$E$6))&gt;0.00000001,1,0),0),IF(ISNUMBER(J50),IF(ABS(J50-ROUND(J50,$E$6))&gt;0.00000001,1,0),0),IF(ISNUMBER(M50),IF(ABS(M50-ROUND(M50,$E$6))&gt;0.00000001,1,0),0))&gt;0,1,0),0)</f>
        <v>0</v>
      </c>
      <c r="AA50" s="0" t="n">
        <f>IF(COUNTA(B50:L50)=0,0,IF(OR(AND(ISNUMBER(F50),F50&lt;0),AND(U50=1,OR(SUM(IF(ISNUMBER(G50),IF(G50=0,1,0),0),IF(ISNUMBER(H50),IF(H50=0,1,0),0),IF(ISNUMBER(I50),IF(I50=0,1,0),0),IF(ISNUMBER(J50),IF(J50=0,1,0),0))&gt;0,COUNTIFS(G50:J50,"&lt;0")&gt;0)),AND(P50="DIMENSIONES",U50=1,OR(AND(S50="m",COUNT(H50:J50)&lt;&gt;1),AND(S50="m²",COUNT(H50:J50)&lt;&gt;2,Y50=0),AND(S50="m³",COUNT(H50:J50)&lt;&gt;3),AND(S50="ud",COUNT(H50:J50)&gt;0))),AND(P50="DIRECTA",OR(S50="m",S50="m²",S50="m³"))),1,0))</f>
        <v>0</v>
      </c>
      <c r="AB50" s="0">
        <f>IF(LEN(TRIM(E50&amp;""))&gt;0,E50,IF(R50&gt;0,INDEX($E$13:$E$512,R50),""))</f>
      </c>
      <c r="AC50" s="0">
        <f>UPPER(SUBSTITUTE(SUBSTITUTE(SUBSTITUTE(SUBSTITUTE(SUBSTITUTE(TRIM(AB50),"²","2"),"³","3"),"^",""),".","")," ",""))</f>
      </c>
    </row>
    <row r="51" ht="35" customHeight="1">
      <c r="B51" s="35"/>
      <c r="C51" s="35"/>
      <c r="D51" s="37"/>
      <c r="E51" s="35"/>
      <c r="F51" s="38"/>
      <c r="G51" s="38"/>
      <c r="H51" s="38"/>
      <c r="I51" s="38"/>
      <c r="J51" s="38"/>
      <c r="K51" s="35"/>
      <c r="L51" s="35"/>
      <c r="M51" s="39">
        <f>IF(U51&lt;&gt;1,"",IF(P51="DIRECTA",G51,IF(ISNUMBER(G51),G51,1)*IF(ISNUMBER(H51),H51,1)*IF(ISNUMBER(I51),I51,1)*IF(ISNUMBER(J51),J51,1)))</f>
      </c>
      <c r="N51" s="30">
        <f>IF(COUNTA(B51:L51)=0,"",IF(X51=0,IF(P51="CABECERA","VERDE · Fila descriptiva; la suma usa las líneas del ID","VERDE · Datos numéricos interpretables"),IF(X51=2,"ROJO · ","ÁMBAR · ")&amp;IF(NOT(IF(ISNUMBER($E$6),AND($E$6&gt;=0,$E$6&lt;=6,$E$6=INT($E$6)),FALSE)),"Indicamos entre 0 y 6 decimales en E6. ","")&amp;IF(O51=0,"Falta un ID numérico. ","")&amp;IF(R51=0,"Faltan capítulo, código, unidad o total numérico del ID. ","")&amp;IF(T51&gt;0,"Los datos o el total del ID se contradicen. ","")&amp;IF(AND(P51&lt;&gt;"DIMENSIONES",P51&lt;&gt;"DIRECTA",P51&lt;&gt;"SIN LÍNEAS",P51&lt;&gt;"CABECERA"),"Tipo de fila no reconocido. ","")&amp;IF(AND(OR(P51="SIN LÍNEAS",P51="CABECERA"),COUNTA(G51:J51)&gt;0),"La fila dice que no mide, pero contiene medidas. ","")&amp;IF(AND(OR(P51="DIRECTA",P51="DIMENSIONES"),U51=0),"Línea incompleta o con medidas no numéricas. ","")&amp;IF(P51="SIN LÍNEAS","No constan medidas de esta fila. ","")&amp;IF(Y51&gt;0,"Parece m³: tres dimensiones bajo m². ","")&amp;IF(AND(AB51&lt;&gt;"",SUMPRODUCT(--('LÉEME'!$B$65:$B$86=AC51))&lt;&gt;1),"Revisamos el significado de la unidad. ","")&amp;IF(Z51&gt;0,"Más precisión que los decimales indicados: cotejamos el original. ","")&amp;IF(AA51&gt;0,"Revisamos dimensiones, cantidad directa, ceros o deducción. ","")))</f>
      </c>
      <c r="O51" s="0" t="n">
        <f>IF(ISNUMBER(K51),IF(AND(K51&gt;0,K51=INT(K51),K51&lt;=999999),K51,0),0)</f>
        <v>0</v>
      </c>
      <c r="P51" s="0">
        <f>IF(COUNTA(B51:L51)=0,"",IF(L51="",IF(COUNTA(G51:J51)&gt;0,"DIMENSIONES","SIN LÍNEAS"),UPPER(TRIM(L51))))</f>
      </c>
      <c r="Q51" s="0">
        <f>IF(AND(O51&gt;0,LEN(TRIM(B51&amp;""))&gt;0,LEN(TRIM(C51&amp;""))&gt;0,LEN(TRIM(E51&amp;""))&gt;0,ISNUMBER(F51)),O51,"")</f>
      </c>
      <c r="R51" s="0" t="n">
        <f>IF(O51=0,0,IF(COUNTIFS($Q$13:$Q$512,O51)&gt;0,MATCH(O51,$Q$13:$Q$512,0),0))</f>
        <v>0</v>
      </c>
      <c r="S51" s="0">
        <f>IF(AB51="","",IF(SUMPRODUCT(--('LÉEME'!$B$65:$B$86=AC51))=1,INDEX('LÉEME'!$C$65:$C$86,MATCH(AC51,'LÉEME'!$B$65:$B$86,0)),UPPER(TRIM(AB51))))</f>
      </c>
      <c r="T51" s="0" t="n">
        <f>IF(R51=0,0,IF(OR(AND(LEN(TRIM(B51&amp;""))&gt;0,UPPER(TRIM(B51&amp;""))&lt;&gt;UPPER(TRIM(INDEX($B$13:$B$512,R51)&amp;""))),AND(LEN(TRIM(C51&amp;""))&gt;0,UPPER(TRIM(C51&amp;""))&lt;&gt;UPPER(TRIM(INDEX($C$13:$C$512,R51)&amp;""))),AND(LEN(TRIM(E51&amp;""))&gt;0,S51&lt;&gt;INDEX($S$13:$S$512,R51)),AND(F51&lt;&gt;"",NOT(ISNUMBER(F51)))),1,IF(ISNUMBER(F51),IF(ABS(F51-INDEX($F$13:$F$512,R51))&gt;0.00000001,1,0),0)))</f>
        <v>0</v>
      </c>
      <c r="U51" s="0" t="n">
        <f>IF(P51="DIRECTA",IF(AND(ISNUMBER(G51),COUNTA(H51:J51)=0),1,0),IF(P51="DIMENSIONES",IF(AND(COUNT(G51:J51)&gt;0,COUNTA(G51:J51)=COUNT(G51:J51)),1,0),0))</f>
        <v>0</v>
      </c>
      <c r="V51" s="0" t="n">
        <f>IF(O51=0,0,IF(COUNTIFS($O$13:O51,O51)=1,1,0))</f>
        <v>0</v>
      </c>
      <c r="W51" s="0">
        <f>IF(V51=1,COUNTIFS($V$13:V51,1),"")</f>
      </c>
      <c r="X51" s="0">
        <f>IF(COUNTA(B51:L51)=0,"",IF(OR(NOT(IF(ISNUMBER($E$6),AND($E$6&gt;=0,$E$6&lt;=6,$E$6=INT($E$6)),FALSE)),O51=0,R51=0,T51&gt;0,AND(P51&lt;&gt;"DIMENSIONES",P51&lt;&gt;"DIRECTA",P51&lt;&gt;"SIN LÍNEAS",P51&lt;&gt;"CABECERA"),AND(OR(P51="DIRECTA",P51="DIMENSIONES"),U51=0),AND(OR(P51="SIN LÍNEAS",P51="CABECERA"),COUNTA(G51:J51)&gt;0)),2,IF(OR(P51="SIN LÍNEAS",Y51&gt;0,Z51&gt;0,AA51&gt;0,SUMPRODUCT(--('LÉEME'!$B$65:$B$86=AC51))&lt;&gt;1),1,0)))</f>
      </c>
      <c r="Y51" s="0" t="n">
        <f>IF(AND(P51="DIMENSIONES",S51="m²",COUNT(H51:J51)=3),1,0)</f>
        <v>0</v>
      </c>
      <c r="Z51" s="0" t="n">
        <f>IF(IF(ISNUMBER($E$6),AND($E$6&gt;=0,$E$6&lt;=6,$E$6=INT($E$6)),FALSE),IF(SUM(IF(ISNUMBER(F51),IF(ABS(F51-ROUND(F51,$E$6))&gt;0.00000001,1,0),0),IF(ISNUMBER(G51),IF(ABS(G51-ROUND(G51,$E$6))&gt;0.00000001,1,0),0),IF(ISNUMBER(H51),IF(ABS(H51-ROUND(H51,$E$6))&gt;0.00000001,1,0),0),IF(ISNUMBER(I51),IF(ABS(I51-ROUND(I51,$E$6))&gt;0.00000001,1,0),0),IF(ISNUMBER(J51),IF(ABS(J51-ROUND(J51,$E$6))&gt;0.00000001,1,0),0),IF(ISNUMBER(M51),IF(ABS(M51-ROUND(M51,$E$6))&gt;0.00000001,1,0),0))&gt;0,1,0),0)</f>
        <v>0</v>
      </c>
      <c r="AA51" s="0" t="n">
        <f>IF(COUNTA(B51:L51)=0,0,IF(OR(AND(ISNUMBER(F51),F51&lt;0),AND(U51=1,OR(SUM(IF(ISNUMBER(G51),IF(G51=0,1,0),0),IF(ISNUMBER(H51),IF(H51=0,1,0),0),IF(ISNUMBER(I51),IF(I51=0,1,0),0),IF(ISNUMBER(J51),IF(J51=0,1,0),0))&gt;0,COUNTIFS(G51:J51,"&lt;0")&gt;0)),AND(P51="DIMENSIONES",U51=1,OR(AND(S51="m",COUNT(H51:J51)&lt;&gt;1),AND(S51="m²",COUNT(H51:J51)&lt;&gt;2,Y51=0),AND(S51="m³",COUNT(H51:J51)&lt;&gt;3),AND(S51="ud",COUNT(H51:J51)&gt;0))),AND(P51="DIRECTA",OR(S51="m",S51="m²",S51="m³"))),1,0))</f>
        <v>0</v>
      </c>
      <c r="AB51" s="0">
        <f>IF(LEN(TRIM(E51&amp;""))&gt;0,E51,IF(R51&gt;0,INDEX($E$13:$E$512,R51),""))</f>
      </c>
      <c r="AC51" s="0">
        <f>UPPER(SUBSTITUTE(SUBSTITUTE(SUBSTITUTE(SUBSTITUTE(SUBSTITUTE(TRIM(AB51),"²","2"),"³","3"),"^",""),".","")," ",""))</f>
      </c>
    </row>
    <row r="52" ht="35" customHeight="1">
      <c r="B52" s="35"/>
      <c r="C52" s="35"/>
      <c r="D52" s="37"/>
      <c r="E52" s="35"/>
      <c r="F52" s="38"/>
      <c r="G52" s="38"/>
      <c r="H52" s="38"/>
      <c r="I52" s="38"/>
      <c r="J52" s="38"/>
      <c r="K52" s="35"/>
      <c r="L52" s="35"/>
      <c r="M52" s="39">
        <f>IF(U52&lt;&gt;1,"",IF(P52="DIRECTA",G52,IF(ISNUMBER(G52),G52,1)*IF(ISNUMBER(H52),H52,1)*IF(ISNUMBER(I52),I52,1)*IF(ISNUMBER(J52),J52,1)))</f>
      </c>
      <c r="N52" s="30">
        <f>IF(COUNTA(B52:L52)=0,"",IF(X52=0,IF(P52="CABECERA","VERDE · Fila descriptiva; la suma usa las líneas del ID","VERDE · Datos numéricos interpretables"),IF(X52=2,"ROJO · ","ÁMBAR · ")&amp;IF(NOT(IF(ISNUMBER($E$6),AND($E$6&gt;=0,$E$6&lt;=6,$E$6=INT($E$6)),FALSE)),"Indicamos entre 0 y 6 decimales en E6. ","")&amp;IF(O52=0,"Falta un ID numérico. ","")&amp;IF(R52=0,"Faltan capítulo, código, unidad o total numérico del ID. ","")&amp;IF(T52&gt;0,"Los datos o el total del ID se contradicen. ","")&amp;IF(AND(P52&lt;&gt;"DIMENSIONES",P52&lt;&gt;"DIRECTA",P52&lt;&gt;"SIN LÍNEAS",P52&lt;&gt;"CABECERA"),"Tipo de fila no reconocido. ","")&amp;IF(AND(OR(P52="SIN LÍNEAS",P52="CABECERA"),COUNTA(G52:J52)&gt;0),"La fila dice que no mide, pero contiene medidas. ","")&amp;IF(AND(OR(P52="DIRECTA",P52="DIMENSIONES"),U52=0),"Línea incompleta o con medidas no numéricas. ","")&amp;IF(P52="SIN LÍNEAS","No constan medidas de esta fila. ","")&amp;IF(Y52&gt;0,"Parece m³: tres dimensiones bajo m². ","")&amp;IF(AND(AB52&lt;&gt;"",SUMPRODUCT(--('LÉEME'!$B$65:$B$86=AC52))&lt;&gt;1),"Revisamos el significado de la unidad. ","")&amp;IF(Z52&gt;0,"Más precisión que los decimales indicados: cotejamos el original. ","")&amp;IF(AA52&gt;0,"Revisamos dimensiones, cantidad directa, ceros o deducción. ","")))</f>
      </c>
      <c r="O52" s="0" t="n">
        <f>IF(ISNUMBER(K52),IF(AND(K52&gt;0,K52=INT(K52),K52&lt;=999999),K52,0),0)</f>
        <v>0</v>
      </c>
      <c r="P52" s="0">
        <f>IF(COUNTA(B52:L52)=0,"",IF(L52="",IF(COUNTA(G52:J52)&gt;0,"DIMENSIONES","SIN LÍNEAS"),UPPER(TRIM(L52))))</f>
      </c>
      <c r="Q52" s="0">
        <f>IF(AND(O52&gt;0,LEN(TRIM(B52&amp;""))&gt;0,LEN(TRIM(C52&amp;""))&gt;0,LEN(TRIM(E52&amp;""))&gt;0,ISNUMBER(F52)),O52,"")</f>
      </c>
      <c r="R52" s="0" t="n">
        <f>IF(O52=0,0,IF(COUNTIFS($Q$13:$Q$512,O52)&gt;0,MATCH(O52,$Q$13:$Q$512,0),0))</f>
        <v>0</v>
      </c>
      <c r="S52" s="0">
        <f>IF(AB52="","",IF(SUMPRODUCT(--('LÉEME'!$B$65:$B$86=AC52))=1,INDEX('LÉEME'!$C$65:$C$86,MATCH(AC52,'LÉEME'!$B$65:$B$86,0)),UPPER(TRIM(AB52))))</f>
      </c>
      <c r="T52" s="0" t="n">
        <f>IF(R52=0,0,IF(OR(AND(LEN(TRIM(B52&amp;""))&gt;0,UPPER(TRIM(B52&amp;""))&lt;&gt;UPPER(TRIM(INDEX($B$13:$B$512,R52)&amp;""))),AND(LEN(TRIM(C52&amp;""))&gt;0,UPPER(TRIM(C52&amp;""))&lt;&gt;UPPER(TRIM(INDEX($C$13:$C$512,R52)&amp;""))),AND(LEN(TRIM(E52&amp;""))&gt;0,S52&lt;&gt;INDEX($S$13:$S$512,R52)),AND(F52&lt;&gt;"",NOT(ISNUMBER(F52)))),1,IF(ISNUMBER(F52),IF(ABS(F52-INDEX($F$13:$F$512,R52))&gt;0.00000001,1,0),0)))</f>
        <v>0</v>
      </c>
      <c r="U52" s="0" t="n">
        <f>IF(P52="DIRECTA",IF(AND(ISNUMBER(G52),COUNTA(H52:J52)=0),1,0),IF(P52="DIMENSIONES",IF(AND(COUNT(G52:J52)&gt;0,COUNTA(G52:J52)=COUNT(G52:J52)),1,0),0))</f>
        <v>0</v>
      </c>
      <c r="V52" s="0" t="n">
        <f>IF(O52=0,0,IF(COUNTIFS($O$13:O52,O52)=1,1,0))</f>
        <v>0</v>
      </c>
      <c r="W52" s="0">
        <f>IF(V52=1,COUNTIFS($V$13:V52,1),"")</f>
      </c>
      <c r="X52" s="0">
        <f>IF(COUNTA(B52:L52)=0,"",IF(OR(NOT(IF(ISNUMBER($E$6),AND($E$6&gt;=0,$E$6&lt;=6,$E$6=INT($E$6)),FALSE)),O52=0,R52=0,T52&gt;0,AND(P52&lt;&gt;"DIMENSIONES",P52&lt;&gt;"DIRECTA",P52&lt;&gt;"SIN LÍNEAS",P52&lt;&gt;"CABECERA"),AND(OR(P52="DIRECTA",P52="DIMENSIONES"),U52=0),AND(OR(P52="SIN LÍNEAS",P52="CABECERA"),COUNTA(G52:J52)&gt;0)),2,IF(OR(P52="SIN LÍNEAS",Y52&gt;0,Z52&gt;0,AA52&gt;0,SUMPRODUCT(--('LÉEME'!$B$65:$B$86=AC52))&lt;&gt;1),1,0)))</f>
      </c>
      <c r="Y52" s="0" t="n">
        <f>IF(AND(P52="DIMENSIONES",S52="m²",COUNT(H52:J52)=3),1,0)</f>
        <v>0</v>
      </c>
      <c r="Z52" s="0" t="n">
        <f>IF(IF(ISNUMBER($E$6),AND($E$6&gt;=0,$E$6&lt;=6,$E$6=INT($E$6)),FALSE),IF(SUM(IF(ISNUMBER(F52),IF(ABS(F52-ROUND(F52,$E$6))&gt;0.00000001,1,0),0),IF(ISNUMBER(G52),IF(ABS(G52-ROUND(G52,$E$6))&gt;0.00000001,1,0),0),IF(ISNUMBER(H52),IF(ABS(H52-ROUND(H52,$E$6))&gt;0.00000001,1,0),0),IF(ISNUMBER(I52),IF(ABS(I52-ROUND(I52,$E$6))&gt;0.00000001,1,0),0),IF(ISNUMBER(J52),IF(ABS(J52-ROUND(J52,$E$6))&gt;0.00000001,1,0),0),IF(ISNUMBER(M52),IF(ABS(M52-ROUND(M52,$E$6))&gt;0.00000001,1,0),0))&gt;0,1,0),0)</f>
        <v>0</v>
      </c>
      <c r="AA52" s="0" t="n">
        <f>IF(COUNTA(B52:L52)=0,0,IF(OR(AND(ISNUMBER(F52),F52&lt;0),AND(U52=1,OR(SUM(IF(ISNUMBER(G52),IF(G52=0,1,0),0),IF(ISNUMBER(H52),IF(H52=0,1,0),0),IF(ISNUMBER(I52),IF(I52=0,1,0),0),IF(ISNUMBER(J52),IF(J52=0,1,0),0))&gt;0,COUNTIFS(G52:J52,"&lt;0")&gt;0)),AND(P52="DIMENSIONES",U52=1,OR(AND(S52="m",COUNT(H52:J52)&lt;&gt;1),AND(S52="m²",COUNT(H52:J52)&lt;&gt;2,Y52=0),AND(S52="m³",COUNT(H52:J52)&lt;&gt;3),AND(S52="ud",COUNT(H52:J52)&gt;0))),AND(P52="DIRECTA",OR(S52="m",S52="m²",S52="m³"))),1,0))</f>
        <v>0</v>
      </c>
      <c r="AB52" s="0">
        <f>IF(LEN(TRIM(E52&amp;""))&gt;0,E52,IF(R52&gt;0,INDEX($E$13:$E$512,R52),""))</f>
      </c>
      <c r="AC52" s="0">
        <f>UPPER(SUBSTITUTE(SUBSTITUTE(SUBSTITUTE(SUBSTITUTE(SUBSTITUTE(TRIM(AB52),"²","2"),"³","3"),"^",""),".","")," ",""))</f>
      </c>
    </row>
    <row r="53" ht="35" customHeight="1">
      <c r="B53" s="35"/>
      <c r="C53" s="35"/>
      <c r="D53" s="37"/>
      <c r="E53" s="35"/>
      <c r="F53" s="38"/>
      <c r="G53" s="38"/>
      <c r="H53" s="38"/>
      <c r="I53" s="38"/>
      <c r="J53" s="38"/>
      <c r="K53" s="35"/>
      <c r="L53" s="35"/>
      <c r="M53" s="39">
        <f>IF(U53&lt;&gt;1,"",IF(P53="DIRECTA",G53,IF(ISNUMBER(G53),G53,1)*IF(ISNUMBER(H53),H53,1)*IF(ISNUMBER(I53),I53,1)*IF(ISNUMBER(J53),J53,1)))</f>
      </c>
      <c r="N53" s="30">
        <f>IF(COUNTA(B53:L53)=0,"",IF(X53=0,IF(P53="CABECERA","VERDE · Fila descriptiva; la suma usa las líneas del ID","VERDE · Datos numéricos interpretables"),IF(X53=2,"ROJO · ","ÁMBAR · ")&amp;IF(NOT(IF(ISNUMBER($E$6),AND($E$6&gt;=0,$E$6&lt;=6,$E$6=INT($E$6)),FALSE)),"Indicamos entre 0 y 6 decimales en E6. ","")&amp;IF(O53=0,"Falta un ID numérico. ","")&amp;IF(R53=0,"Faltan capítulo, código, unidad o total numérico del ID. ","")&amp;IF(T53&gt;0,"Los datos o el total del ID se contradicen. ","")&amp;IF(AND(P53&lt;&gt;"DIMENSIONES",P53&lt;&gt;"DIRECTA",P53&lt;&gt;"SIN LÍNEAS",P53&lt;&gt;"CABECERA"),"Tipo de fila no reconocido. ","")&amp;IF(AND(OR(P53="SIN LÍNEAS",P53="CABECERA"),COUNTA(G53:J53)&gt;0),"La fila dice que no mide, pero contiene medidas. ","")&amp;IF(AND(OR(P53="DIRECTA",P53="DIMENSIONES"),U53=0),"Línea incompleta o con medidas no numéricas. ","")&amp;IF(P53="SIN LÍNEAS","No constan medidas de esta fila. ","")&amp;IF(Y53&gt;0,"Parece m³: tres dimensiones bajo m². ","")&amp;IF(AND(AB53&lt;&gt;"",SUMPRODUCT(--('LÉEME'!$B$65:$B$86=AC53))&lt;&gt;1),"Revisamos el significado de la unidad. ","")&amp;IF(Z53&gt;0,"Más precisión que los decimales indicados: cotejamos el original. ","")&amp;IF(AA53&gt;0,"Revisamos dimensiones, cantidad directa, ceros o deducción. ","")))</f>
      </c>
      <c r="O53" s="0" t="n">
        <f>IF(ISNUMBER(K53),IF(AND(K53&gt;0,K53=INT(K53),K53&lt;=999999),K53,0),0)</f>
        <v>0</v>
      </c>
      <c r="P53" s="0">
        <f>IF(COUNTA(B53:L53)=0,"",IF(L53="",IF(COUNTA(G53:J53)&gt;0,"DIMENSIONES","SIN LÍNEAS"),UPPER(TRIM(L53))))</f>
      </c>
      <c r="Q53" s="0">
        <f>IF(AND(O53&gt;0,LEN(TRIM(B53&amp;""))&gt;0,LEN(TRIM(C53&amp;""))&gt;0,LEN(TRIM(E53&amp;""))&gt;0,ISNUMBER(F53)),O53,"")</f>
      </c>
      <c r="R53" s="0" t="n">
        <f>IF(O53=0,0,IF(COUNTIFS($Q$13:$Q$512,O53)&gt;0,MATCH(O53,$Q$13:$Q$512,0),0))</f>
        <v>0</v>
      </c>
      <c r="S53" s="0">
        <f>IF(AB53="","",IF(SUMPRODUCT(--('LÉEME'!$B$65:$B$86=AC53))=1,INDEX('LÉEME'!$C$65:$C$86,MATCH(AC53,'LÉEME'!$B$65:$B$86,0)),UPPER(TRIM(AB53))))</f>
      </c>
      <c r="T53" s="0" t="n">
        <f>IF(R53=0,0,IF(OR(AND(LEN(TRIM(B53&amp;""))&gt;0,UPPER(TRIM(B53&amp;""))&lt;&gt;UPPER(TRIM(INDEX($B$13:$B$512,R53)&amp;""))),AND(LEN(TRIM(C53&amp;""))&gt;0,UPPER(TRIM(C53&amp;""))&lt;&gt;UPPER(TRIM(INDEX($C$13:$C$512,R53)&amp;""))),AND(LEN(TRIM(E53&amp;""))&gt;0,S53&lt;&gt;INDEX($S$13:$S$512,R53)),AND(F53&lt;&gt;"",NOT(ISNUMBER(F53)))),1,IF(ISNUMBER(F53),IF(ABS(F53-INDEX($F$13:$F$512,R53))&gt;0.00000001,1,0),0)))</f>
        <v>0</v>
      </c>
      <c r="U53" s="0" t="n">
        <f>IF(P53="DIRECTA",IF(AND(ISNUMBER(G53),COUNTA(H53:J53)=0),1,0),IF(P53="DIMENSIONES",IF(AND(COUNT(G53:J53)&gt;0,COUNTA(G53:J53)=COUNT(G53:J53)),1,0),0))</f>
        <v>0</v>
      </c>
      <c r="V53" s="0" t="n">
        <f>IF(O53=0,0,IF(COUNTIFS($O$13:O53,O53)=1,1,0))</f>
        <v>0</v>
      </c>
      <c r="W53" s="0">
        <f>IF(V53=1,COUNTIFS($V$13:V53,1),"")</f>
      </c>
      <c r="X53" s="0">
        <f>IF(COUNTA(B53:L53)=0,"",IF(OR(NOT(IF(ISNUMBER($E$6),AND($E$6&gt;=0,$E$6&lt;=6,$E$6=INT($E$6)),FALSE)),O53=0,R53=0,T53&gt;0,AND(P53&lt;&gt;"DIMENSIONES",P53&lt;&gt;"DIRECTA",P53&lt;&gt;"SIN LÍNEAS",P53&lt;&gt;"CABECERA"),AND(OR(P53="DIRECTA",P53="DIMENSIONES"),U53=0),AND(OR(P53="SIN LÍNEAS",P53="CABECERA"),COUNTA(G53:J53)&gt;0)),2,IF(OR(P53="SIN LÍNEAS",Y53&gt;0,Z53&gt;0,AA53&gt;0,SUMPRODUCT(--('LÉEME'!$B$65:$B$86=AC53))&lt;&gt;1),1,0)))</f>
      </c>
      <c r="Y53" s="0" t="n">
        <f>IF(AND(P53="DIMENSIONES",S53="m²",COUNT(H53:J53)=3),1,0)</f>
        <v>0</v>
      </c>
      <c r="Z53" s="0" t="n">
        <f>IF(IF(ISNUMBER($E$6),AND($E$6&gt;=0,$E$6&lt;=6,$E$6=INT($E$6)),FALSE),IF(SUM(IF(ISNUMBER(F53),IF(ABS(F53-ROUND(F53,$E$6))&gt;0.00000001,1,0),0),IF(ISNUMBER(G53),IF(ABS(G53-ROUND(G53,$E$6))&gt;0.00000001,1,0),0),IF(ISNUMBER(H53),IF(ABS(H53-ROUND(H53,$E$6))&gt;0.00000001,1,0),0),IF(ISNUMBER(I53),IF(ABS(I53-ROUND(I53,$E$6))&gt;0.00000001,1,0),0),IF(ISNUMBER(J53),IF(ABS(J53-ROUND(J53,$E$6))&gt;0.00000001,1,0),0),IF(ISNUMBER(M53),IF(ABS(M53-ROUND(M53,$E$6))&gt;0.00000001,1,0),0))&gt;0,1,0),0)</f>
        <v>0</v>
      </c>
      <c r="AA53" s="0" t="n">
        <f>IF(COUNTA(B53:L53)=0,0,IF(OR(AND(ISNUMBER(F53),F53&lt;0),AND(U53=1,OR(SUM(IF(ISNUMBER(G53),IF(G53=0,1,0),0),IF(ISNUMBER(H53),IF(H53=0,1,0),0),IF(ISNUMBER(I53),IF(I53=0,1,0),0),IF(ISNUMBER(J53),IF(J53=0,1,0),0))&gt;0,COUNTIFS(G53:J53,"&lt;0")&gt;0)),AND(P53="DIMENSIONES",U53=1,OR(AND(S53="m",COUNT(H53:J53)&lt;&gt;1),AND(S53="m²",COUNT(H53:J53)&lt;&gt;2,Y53=0),AND(S53="m³",COUNT(H53:J53)&lt;&gt;3),AND(S53="ud",COUNT(H53:J53)&gt;0))),AND(P53="DIRECTA",OR(S53="m",S53="m²",S53="m³"))),1,0))</f>
        <v>0</v>
      </c>
      <c r="AB53" s="0">
        <f>IF(LEN(TRIM(E53&amp;""))&gt;0,E53,IF(R53&gt;0,INDEX($E$13:$E$512,R53),""))</f>
      </c>
      <c r="AC53" s="0">
        <f>UPPER(SUBSTITUTE(SUBSTITUTE(SUBSTITUTE(SUBSTITUTE(SUBSTITUTE(TRIM(AB53),"²","2"),"³","3"),"^",""),".","")," ",""))</f>
      </c>
    </row>
    <row r="54" ht="35" customHeight="1">
      <c r="B54" s="35"/>
      <c r="C54" s="35"/>
      <c r="D54" s="37"/>
      <c r="E54" s="35"/>
      <c r="F54" s="38"/>
      <c r="G54" s="38"/>
      <c r="H54" s="38"/>
      <c r="I54" s="38"/>
      <c r="J54" s="38"/>
      <c r="K54" s="35"/>
      <c r="L54" s="35"/>
      <c r="M54" s="39">
        <f>IF(U54&lt;&gt;1,"",IF(P54="DIRECTA",G54,IF(ISNUMBER(G54),G54,1)*IF(ISNUMBER(H54),H54,1)*IF(ISNUMBER(I54),I54,1)*IF(ISNUMBER(J54),J54,1)))</f>
      </c>
      <c r="N54" s="30">
        <f>IF(COUNTA(B54:L54)=0,"",IF(X54=0,IF(P54="CABECERA","VERDE · Fila descriptiva; la suma usa las líneas del ID","VERDE · Datos numéricos interpretables"),IF(X54=2,"ROJO · ","ÁMBAR · ")&amp;IF(NOT(IF(ISNUMBER($E$6),AND($E$6&gt;=0,$E$6&lt;=6,$E$6=INT($E$6)),FALSE)),"Indicamos entre 0 y 6 decimales en E6. ","")&amp;IF(O54=0,"Falta un ID numérico. ","")&amp;IF(R54=0,"Faltan capítulo, código, unidad o total numérico del ID. ","")&amp;IF(T54&gt;0,"Los datos o el total del ID se contradicen. ","")&amp;IF(AND(P54&lt;&gt;"DIMENSIONES",P54&lt;&gt;"DIRECTA",P54&lt;&gt;"SIN LÍNEAS",P54&lt;&gt;"CABECERA"),"Tipo de fila no reconocido. ","")&amp;IF(AND(OR(P54="SIN LÍNEAS",P54="CABECERA"),COUNTA(G54:J54)&gt;0),"La fila dice que no mide, pero contiene medidas. ","")&amp;IF(AND(OR(P54="DIRECTA",P54="DIMENSIONES"),U54=0),"Línea incompleta o con medidas no numéricas. ","")&amp;IF(P54="SIN LÍNEAS","No constan medidas de esta fila. ","")&amp;IF(Y54&gt;0,"Parece m³: tres dimensiones bajo m². ","")&amp;IF(AND(AB54&lt;&gt;"",SUMPRODUCT(--('LÉEME'!$B$65:$B$86=AC54))&lt;&gt;1),"Revisamos el significado de la unidad. ","")&amp;IF(Z54&gt;0,"Más precisión que los decimales indicados: cotejamos el original. ","")&amp;IF(AA54&gt;0,"Revisamos dimensiones, cantidad directa, ceros o deducción. ","")))</f>
      </c>
      <c r="O54" s="0" t="n">
        <f>IF(ISNUMBER(K54),IF(AND(K54&gt;0,K54=INT(K54),K54&lt;=999999),K54,0),0)</f>
        <v>0</v>
      </c>
      <c r="P54" s="0">
        <f>IF(COUNTA(B54:L54)=0,"",IF(L54="",IF(COUNTA(G54:J54)&gt;0,"DIMENSIONES","SIN LÍNEAS"),UPPER(TRIM(L54))))</f>
      </c>
      <c r="Q54" s="0">
        <f>IF(AND(O54&gt;0,LEN(TRIM(B54&amp;""))&gt;0,LEN(TRIM(C54&amp;""))&gt;0,LEN(TRIM(E54&amp;""))&gt;0,ISNUMBER(F54)),O54,"")</f>
      </c>
      <c r="R54" s="0" t="n">
        <f>IF(O54=0,0,IF(COUNTIFS($Q$13:$Q$512,O54)&gt;0,MATCH(O54,$Q$13:$Q$512,0),0))</f>
        <v>0</v>
      </c>
      <c r="S54" s="0">
        <f>IF(AB54="","",IF(SUMPRODUCT(--('LÉEME'!$B$65:$B$86=AC54))=1,INDEX('LÉEME'!$C$65:$C$86,MATCH(AC54,'LÉEME'!$B$65:$B$86,0)),UPPER(TRIM(AB54))))</f>
      </c>
      <c r="T54" s="0" t="n">
        <f>IF(R54=0,0,IF(OR(AND(LEN(TRIM(B54&amp;""))&gt;0,UPPER(TRIM(B54&amp;""))&lt;&gt;UPPER(TRIM(INDEX($B$13:$B$512,R54)&amp;""))),AND(LEN(TRIM(C54&amp;""))&gt;0,UPPER(TRIM(C54&amp;""))&lt;&gt;UPPER(TRIM(INDEX($C$13:$C$512,R54)&amp;""))),AND(LEN(TRIM(E54&amp;""))&gt;0,S54&lt;&gt;INDEX($S$13:$S$512,R54)),AND(F54&lt;&gt;"",NOT(ISNUMBER(F54)))),1,IF(ISNUMBER(F54),IF(ABS(F54-INDEX($F$13:$F$512,R54))&gt;0.00000001,1,0),0)))</f>
        <v>0</v>
      </c>
      <c r="U54" s="0" t="n">
        <f>IF(P54="DIRECTA",IF(AND(ISNUMBER(G54),COUNTA(H54:J54)=0),1,0),IF(P54="DIMENSIONES",IF(AND(COUNT(G54:J54)&gt;0,COUNTA(G54:J54)=COUNT(G54:J54)),1,0),0))</f>
        <v>0</v>
      </c>
      <c r="V54" s="0" t="n">
        <f>IF(O54=0,0,IF(COUNTIFS($O$13:O54,O54)=1,1,0))</f>
        <v>0</v>
      </c>
      <c r="W54" s="0">
        <f>IF(V54=1,COUNTIFS($V$13:V54,1),"")</f>
      </c>
      <c r="X54" s="0">
        <f>IF(COUNTA(B54:L54)=0,"",IF(OR(NOT(IF(ISNUMBER($E$6),AND($E$6&gt;=0,$E$6&lt;=6,$E$6=INT($E$6)),FALSE)),O54=0,R54=0,T54&gt;0,AND(P54&lt;&gt;"DIMENSIONES",P54&lt;&gt;"DIRECTA",P54&lt;&gt;"SIN LÍNEAS",P54&lt;&gt;"CABECERA"),AND(OR(P54="DIRECTA",P54="DIMENSIONES"),U54=0),AND(OR(P54="SIN LÍNEAS",P54="CABECERA"),COUNTA(G54:J54)&gt;0)),2,IF(OR(P54="SIN LÍNEAS",Y54&gt;0,Z54&gt;0,AA54&gt;0,SUMPRODUCT(--('LÉEME'!$B$65:$B$86=AC54))&lt;&gt;1),1,0)))</f>
      </c>
      <c r="Y54" s="0" t="n">
        <f>IF(AND(P54="DIMENSIONES",S54="m²",COUNT(H54:J54)=3),1,0)</f>
        <v>0</v>
      </c>
      <c r="Z54" s="0" t="n">
        <f>IF(IF(ISNUMBER($E$6),AND($E$6&gt;=0,$E$6&lt;=6,$E$6=INT($E$6)),FALSE),IF(SUM(IF(ISNUMBER(F54),IF(ABS(F54-ROUND(F54,$E$6))&gt;0.00000001,1,0),0),IF(ISNUMBER(G54),IF(ABS(G54-ROUND(G54,$E$6))&gt;0.00000001,1,0),0),IF(ISNUMBER(H54),IF(ABS(H54-ROUND(H54,$E$6))&gt;0.00000001,1,0),0),IF(ISNUMBER(I54),IF(ABS(I54-ROUND(I54,$E$6))&gt;0.00000001,1,0),0),IF(ISNUMBER(J54),IF(ABS(J54-ROUND(J54,$E$6))&gt;0.00000001,1,0),0),IF(ISNUMBER(M54),IF(ABS(M54-ROUND(M54,$E$6))&gt;0.00000001,1,0),0))&gt;0,1,0),0)</f>
        <v>0</v>
      </c>
      <c r="AA54" s="0" t="n">
        <f>IF(COUNTA(B54:L54)=0,0,IF(OR(AND(ISNUMBER(F54),F54&lt;0),AND(U54=1,OR(SUM(IF(ISNUMBER(G54),IF(G54=0,1,0),0),IF(ISNUMBER(H54),IF(H54=0,1,0),0),IF(ISNUMBER(I54),IF(I54=0,1,0),0),IF(ISNUMBER(J54),IF(J54=0,1,0),0))&gt;0,COUNTIFS(G54:J54,"&lt;0")&gt;0)),AND(P54="DIMENSIONES",U54=1,OR(AND(S54="m",COUNT(H54:J54)&lt;&gt;1),AND(S54="m²",COUNT(H54:J54)&lt;&gt;2,Y54=0),AND(S54="m³",COUNT(H54:J54)&lt;&gt;3),AND(S54="ud",COUNT(H54:J54)&gt;0))),AND(P54="DIRECTA",OR(S54="m",S54="m²",S54="m³"))),1,0))</f>
        <v>0</v>
      </c>
      <c r="AB54" s="0">
        <f>IF(LEN(TRIM(E54&amp;""))&gt;0,E54,IF(R54&gt;0,INDEX($E$13:$E$512,R54),""))</f>
      </c>
      <c r="AC54" s="0">
        <f>UPPER(SUBSTITUTE(SUBSTITUTE(SUBSTITUTE(SUBSTITUTE(SUBSTITUTE(TRIM(AB54),"²","2"),"³","3"),"^",""),".","")," ",""))</f>
      </c>
    </row>
    <row r="55" ht="35" customHeight="1">
      <c r="B55" s="35"/>
      <c r="C55" s="35"/>
      <c r="D55" s="37"/>
      <c r="E55" s="35"/>
      <c r="F55" s="38"/>
      <c r="G55" s="38"/>
      <c r="H55" s="38"/>
      <c r="I55" s="38"/>
      <c r="J55" s="38"/>
      <c r="K55" s="35"/>
      <c r="L55" s="35"/>
      <c r="M55" s="39">
        <f>IF(U55&lt;&gt;1,"",IF(P55="DIRECTA",G55,IF(ISNUMBER(G55),G55,1)*IF(ISNUMBER(H55),H55,1)*IF(ISNUMBER(I55),I55,1)*IF(ISNUMBER(J55),J55,1)))</f>
      </c>
      <c r="N55" s="30">
        <f>IF(COUNTA(B55:L55)=0,"",IF(X55=0,IF(P55="CABECERA","VERDE · Fila descriptiva; la suma usa las líneas del ID","VERDE · Datos numéricos interpretables"),IF(X55=2,"ROJO · ","ÁMBAR · ")&amp;IF(NOT(IF(ISNUMBER($E$6),AND($E$6&gt;=0,$E$6&lt;=6,$E$6=INT($E$6)),FALSE)),"Indicamos entre 0 y 6 decimales en E6. ","")&amp;IF(O55=0,"Falta un ID numérico. ","")&amp;IF(R55=0,"Faltan capítulo, código, unidad o total numérico del ID. ","")&amp;IF(T55&gt;0,"Los datos o el total del ID se contradicen. ","")&amp;IF(AND(P55&lt;&gt;"DIMENSIONES",P55&lt;&gt;"DIRECTA",P55&lt;&gt;"SIN LÍNEAS",P55&lt;&gt;"CABECERA"),"Tipo de fila no reconocido. ","")&amp;IF(AND(OR(P55="SIN LÍNEAS",P55="CABECERA"),COUNTA(G55:J55)&gt;0),"La fila dice que no mide, pero contiene medidas. ","")&amp;IF(AND(OR(P55="DIRECTA",P55="DIMENSIONES"),U55=0),"Línea incompleta o con medidas no numéricas. ","")&amp;IF(P55="SIN LÍNEAS","No constan medidas de esta fila. ","")&amp;IF(Y55&gt;0,"Parece m³: tres dimensiones bajo m². ","")&amp;IF(AND(AB55&lt;&gt;"",SUMPRODUCT(--('LÉEME'!$B$65:$B$86=AC55))&lt;&gt;1),"Revisamos el significado de la unidad. ","")&amp;IF(Z55&gt;0,"Más precisión que los decimales indicados: cotejamos el original. ","")&amp;IF(AA55&gt;0,"Revisamos dimensiones, cantidad directa, ceros o deducción. ","")))</f>
      </c>
      <c r="O55" s="0" t="n">
        <f>IF(ISNUMBER(K55),IF(AND(K55&gt;0,K55=INT(K55),K55&lt;=999999),K55,0),0)</f>
        <v>0</v>
      </c>
      <c r="P55" s="0">
        <f>IF(COUNTA(B55:L55)=0,"",IF(L55="",IF(COUNTA(G55:J55)&gt;0,"DIMENSIONES","SIN LÍNEAS"),UPPER(TRIM(L55))))</f>
      </c>
      <c r="Q55" s="0">
        <f>IF(AND(O55&gt;0,LEN(TRIM(B55&amp;""))&gt;0,LEN(TRIM(C55&amp;""))&gt;0,LEN(TRIM(E55&amp;""))&gt;0,ISNUMBER(F55)),O55,"")</f>
      </c>
      <c r="R55" s="0" t="n">
        <f>IF(O55=0,0,IF(COUNTIFS($Q$13:$Q$512,O55)&gt;0,MATCH(O55,$Q$13:$Q$512,0),0))</f>
        <v>0</v>
      </c>
      <c r="S55" s="0">
        <f>IF(AB55="","",IF(SUMPRODUCT(--('LÉEME'!$B$65:$B$86=AC55))=1,INDEX('LÉEME'!$C$65:$C$86,MATCH(AC55,'LÉEME'!$B$65:$B$86,0)),UPPER(TRIM(AB55))))</f>
      </c>
      <c r="T55" s="0" t="n">
        <f>IF(R55=0,0,IF(OR(AND(LEN(TRIM(B55&amp;""))&gt;0,UPPER(TRIM(B55&amp;""))&lt;&gt;UPPER(TRIM(INDEX($B$13:$B$512,R55)&amp;""))),AND(LEN(TRIM(C55&amp;""))&gt;0,UPPER(TRIM(C55&amp;""))&lt;&gt;UPPER(TRIM(INDEX($C$13:$C$512,R55)&amp;""))),AND(LEN(TRIM(E55&amp;""))&gt;0,S55&lt;&gt;INDEX($S$13:$S$512,R55)),AND(F55&lt;&gt;"",NOT(ISNUMBER(F55)))),1,IF(ISNUMBER(F55),IF(ABS(F55-INDEX($F$13:$F$512,R55))&gt;0.00000001,1,0),0)))</f>
        <v>0</v>
      </c>
      <c r="U55" s="0" t="n">
        <f>IF(P55="DIRECTA",IF(AND(ISNUMBER(G55),COUNTA(H55:J55)=0),1,0),IF(P55="DIMENSIONES",IF(AND(COUNT(G55:J55)&gt;0,COUNTA(G55:J55)=COUNT(G55:J55)),1,0),0))</f>
        <v>0</v>
      </c>
      <c r="V55" s="0" t="n">
        <f>IF(O55=0,0,IF(COUNTIFS($O$13:O55,O55)=1,1,0))</f>
        <v>0</v>
      </c>
      <c r="W55" s="0">
        <f>IF(V55=1,COUNTIFS($V$13:V55,1),"")</f>
      </c>
      <c r="X55" s="0">
        <f>IF(COUNTA(B55:L55)=0,"",IF(OR(NOT(IF(ISNUMBER($E$6),AND($E$6&gt;=0,$E$6&lt;=6,$E$6=INT($E$6)),FALSE)),O55=0,R55=0,T55&gt;0,AND(P55&lt;&gt;"DIMENSIONES",P55&lt;&gt;"DIRECTA",P55&lt;&gt;"SIN LÍNEAS",P55&lt;&gt;"CABECERA"),AND(OR(P55="DIRECTA",P55="DIMENSIONES"),U55=0),AND(OR(P55="SIN LÍNEAS",P55="CABECERA"),COUNTA(G55:J55)&gt;0)),2,IF(OR(P55="SIN LÍNEAS",Y55&gt;0,Z55&gt;0,AA55&gt;0,SUMPRODUCT(--('LÉEME'!$B$65:$B$86=AC55))&lt;&gt;1),1,0)))</f>
      </c>
      <c r="Y55" s="0" t="n">
        <f>IF(AND(P55="DIMENSIONES",S55="m²",COUNT(H55:J55)=3),1,0)</f>
        <v>0</v>
      </c>
      <c r="Z55" s="0" t="n">
        <f>IF(IF(ISNUMBER($E$6),AND($E$6&gt;=0,$E$6&lt;=6,$E$6=INT($E$6)),FALSE),IF(SUM(IF(ISNUMBER(F55),IF(ABS(F55-ROUND(F55,$E$6))&gt;0.00000001,1,0),0),IF(ISNUMBER(G55),IF(ABS(G55-ROUND(G55,$E$6))&gt;0.00000001,1,0),0),IF(ISNUMBER(H55),IF(ABS(H55-ROUND(H55,$E$6))&gt;0.00000001,1,0),0),IF(ISNUMBER(I55),IF(ABS(I55-ROUND(I55,$E$6))&gt;0.00000001,1,0),0),IF(ISNUMBER(J55),IF(ABS(J55-ROUND(J55,$E$6))&gt;0.00000001,1,0),0),IF(ISNUMBER(M55),IF(ABS(M55-ROUND(M55,$E$6))&gt;0.00000001,1,0),0))&gt;0,1,0),0)</f>
        <v>0</v>
      </c>
      <c r="AA55" s="0" t="n">
        <f>IF(COUNTA(B55:L55)=0,0,IF(OR(AND(ISNUMBER(F55),F55&lt;0),AND(U55=1,OR(SUM(IF(ISNUMBER(G55),IF(G55=0,1,0),0),IF(ISNUMBER(H55),IF(H55=0,1,0),0),IF(ISNUMBER(I55),IF(I55=0,1,0),0),IF(ISNUMBER(J55),IF(J55=0,1,0),0))&gt;0,COUNTIFS(G55:J55,"&lt;0")&gt;0)),AND(P55="DIMENSIONES",U55=1,OR(AND(S55="m",COUNT(H55:J55)&lt;&gt;1),AND(S55="m²",COUNT(H55:J55)&lt;&gt;2,Y55=0),AND(S55="m³",COUNT(H55:J55)&lt;&gt;3),AND(S55="ud",COUNT(H55:J55)&gt;0))),AND(P55="DIRECTA",OR(S55="m",S55="m²",S55="m³"))),1,0))</f>
        <v>0</v>
      </c>
      <c r="AB55" s="0">
        <f>IF(LEN(TRIM(E55&amp;""))&gt;0,E55,IF(R55&gt;0,INDEX($E$13:$E$512,R55),""))</f>
      </c>
      <c r="AC55" s="0">
        <f>UPPER(SUBSTITUTE(SUBSTITUTE(SUBSTITUTE(SUBSTITUTE(SUBSTITUTE(TRIM(AB55),"²","2"),"³","3"),"^",""),".","")," ",""))</f>
      </c>
    </row>
    <row r="56" ht="35" customHeight="1">
      <c r="B56" s="35"/>
      <c r="C56" s="35"/>
      <c r="D56" s="37"/>
      <c r="E56" s="35"/>
      <c r="F56" s="38"/>
      <c r="G56" s="38"/>
      <c r="H56" s="38"/>
      <c r="I56" s="38"/>
      <c r="J56" s="38"/>
      <c r="K56" s="35"/>
      <c r="L56" s="35"/>
      <c r="M56" s="39">
        <f>IF(U56&lt;&gt;1,"",IF(P56="DIRECTA",G56,IF(ISNUMBER(G56),G56,1)*IF(ISNUMBER(H56),H56,1)*IF(ISNUMBER(I56),I56,1)*IF(ISNUMBER(J56),J56,1)))</f>
      </c>
      <c r="N56" s="30">
        <f>IF(COUNTA(B56:L56)=0,"",IF(X56=0,IF(P56="CABECERA","VERDE · Fila descriptiva; la suma usa las líneas del ID","VERDE · Datos numéricos interpretables"),IF(X56=2,"ROJO · ","ÁMBAR · ")&amp;IF(NOT(IF(ISNUMBER($E$6),AND($E$6&gt;=0,$E$6&lt;=6,$E$6=INT($E$6)),FALSE)),"Indicamos entre 0 y 6 decimales en E6. ","")&amp;IF(O56=0,"Falta un ID numérico. ","")&amp;IF(R56=0,"Faltan capítulo, código, unidad o total numérico del ID. ","")&amp;IF(T56&gt;0,"Los datos o el total del ID se contradicen. ","")&amp;IF(AND(P56&lt;&gt;"DIMENSIONES",P56&lt;&gt;"DIRECTA",P56&lt;&gt;"SIN LÍNEAS",P56&lt;&gt;"CABECERA"),"Tipo de fila no reconocido. ","")&amp;IF(AND(OR(P56="SIN LÍNEAS",P56="CABECERA"),COUNTA(G56:J56)&gt;0),"La fila dice que no mide, pero contiene medidas. ","")&amp;IF(AND(OR(P56="DIRECTA",P56="DIMENSIONES"),U56=0),"Línea incompleta o con medidas no numéricas. ","")&amp;IF(P56="SIN LÍNEAS","No constan medidas de esta fila. ","")&amp;IF(Y56&gt;0,"Parece m³: tres dimensiones bajo m². ","")&amp;IF(AND(AB56&lt;&gt;"",SUMPRODUCT(--('LÉEME'!$B$65:$B$86=AC56))&lt;&gt;1),"Revisamos el significado de la unidad. ","")&amp;IF(Z56&gt;0,"Más precisión que los decimales indicados: cotejamos el original. ","")&amp;IF(AA56&gt;0,"Revisamos dimensiones, cantidad directa, ceros o deducción. ","")))</f>
      </c>
      <c r="O56" s="0" t="n">
        <f>IF(ISNUMBER(K56),IF(AND(K56&gt;0,K56=INT(K56),K56&lt;=999999),K56,0),0)</f>
        <v>0</v>
      </c>
      <c r="P56" s="0">
        <f>IF(COUNTA(B56:L56)=0,"",IF(L56="",IF(COUNTA(G56:J56)&gt;0,"DIMENSIONES","SIN LÍNEAS"),UPPER(TRIM(L56))))</f>
      </c>
      <c r="Q56" s="0">
        <f>IF(AND(O56&gt;0,LEN(TRIM(B56&amp;""))&gt;0,LEN(TRIM(C56&amp;""))&gt;0,LEN(TRIM(E56&amp;""))&gt;0,ISNUMBER(F56)),O56,"")</f>
      </c>
      <c r="R56" s="0" t="n">
        <f>IF(O56=0,0,IF(COUNTIFS($Q$13:$Q$512,O56)&gt;0,MATCH(O56,$Q$13:$Q$512,0),0))</f>
        <v>0</v>
      </c>
      <c r="S56" s="0">
        <f>IF(AB56="","",IF(SUMPRODUCT(--('LÉEME'!$B$65:$B$86=AC56))=1,INDEX('LÉEME'!$C$65:$C$86,MATCH(AC56,'LÉEME'!$B$65:$B$86,0)),UPPER(TRIM(AB56))))</f>
      </c>
      <c r="T56" s="0" t="n">
        <f>IF(R56=0,0,IF(OR(AND(LEN(TRIM(B56&amp;""))&gt;0,UPPER(TRIM(B56&amp;""))&lt;&gt;UPPER(TRIM(INDEX($B$13:$B$512,R56)&amp;""))),AND(LEN(TRIM(C56&amp;""))&gt;0,UPPER(TRIM(C56&amp;""))&lt;&gt;UPPER(TRIM(INDEX($C$13:$C$512,R56)&amp;""))),AND(LEN(TRIM(E56&amp;""))&gt;0,S56&lt;&gt;INDEX($S$13:$S$512,R56)),AND(F56&lt;&gt;"",NOT(ISNUMBER(F56)))),1,IF(ISNUMBER(F56),IF(ABS(F56-INDEX($F$13:$F$512,R56))&gt;0.00000001,1,0),0)))</f>
        <v>0</v>
      </c>
      <c r="U56" s="0" t="n">
        <f>IF(P56="DIRECTA",IF(AND(ISNUMBER(G56),COUNTA(H56:J56)=0),1,0),IF(P56="DIMENSIONES",IF(AND(COUNT(G56:J56)&gt;0,COUNTA(G56:J56)=COUNT(G56:J56)),1,0),0))</f>
        <v>0</v>
      </c>
      <c r="V56" s="0" t="n">
        <f>IF(O56=0,0,IF(COUNTIFS($O$13:O56,O56)=1,1,0))</f>
        <v>0</v>
      </c>
      <c r="W56" s="0">
        <f>IF(V56=1,COUNTIFS($V$13:V56,1),"")</f>
      </c>
      <c r="X56" s="0">
        <f>IF(COUNTA(B56:L56)=0,"",IF(OR(NOT(IF(ISNUMBER($E$6),AND($E$6&gt;=0,$E$6&lt;=6,$E$6=INT($E$6)),FALSE)),O56=0,R56=0,T56&gt;0,AND(P56&lt;&gt;"DIMENSIONES",P56&lt;&gt;"DIRECTA",P56&lt;&gt;"SIN LÍNEAS",P56&lt;&gt;"CABECERA"),AND(OR(P56="DIRECTA",P56="DIMENSIONES"),U56=0),AND(OR(P56="SIN LÍNEAS",P56="CABECERA"),COUNTA(G56:J56)&gt;0)),2,IF(OR(P56="SIN LÍNEAS",Y56&gt;0,Z56&gt;0,AA56&gt;0,SUMPRODUCT(--('LÉEME'!$B$65:$B$86=AC56))&lt;&gt;1),1,0)))</f>
      </c>
      <c r="Y56" s="0" t="n">
        <f>IF(AND(P56="DIMENSIONES",S56="m²",COUNT(H56:J56)=3),1,0)</f>
        <v>0</v>
      </c>
      <c r="Z56" s="0" t="n">
        <f>IF(IF(ISNUMBER($E$6),AND($E$6&gt;=0,$E$6&lt;=6,$E$6=INT($E$6)),FALSE),IF(SUM(IF(ISNUMBER(F56),IF(ABS(F56-ROUND(F56,$E$6))&gt;0.00000001,1,0),0),IF(ISNUMBER(G56),IF(ABS(G56-ROUND(G56,$E$6))&gt;0.00000001,1,0),0),IF(ISNUMBER(H56),IF(ABS(H56-ROUND(H56,$E$6))&gt;0.00000001,1,0),0),IF(ISNUMBER(I56),IF(ABS(I56-ROUND(I56,$E$6))&gt;0.00000001,1,0),0),IF(ISNUMBER(J56),IF(ABS(J56-ROUND(J56,$E$6))&gt;0.00000001,1,0),0),IF(ISNUMBER(M56),IF(ABS(M56-ROUND(M56,$E$6))&gt;0.00000001,1,0),0))&gt;0,1,0),0)</f>
        <v>0</v>
      </c>
      <c r="AA56" s="0" t="n">
        <f>IF(COUNTA(B56:L56)=0,0,IF(OR(AND(ISNUMBER(F56),F56&lt;0),AND(U56=1,OR(SUM(IF(ISNUMBER(G56),IF(G56=0,1,0),0),IF(ISNUMBER(H56),IF(H56=0,1,0),0),IF(ISNUMBER(I56),IF(I56=0,1,0),0),IF(ISNUMBER(J56),IF(J56=0,1,0),0))&gt;0,COUNTIFS(G56:J56,"&lt;0")&gt;0)),AND(P56="DIMENSIONES",U56=1,OR(AND(S56="m",COUNT(H56:J56)&lt;&gt;1),AND(S56="m²",COUNT(H56:J56)&lt;&gt;2,Y56=0),AND(S56="m³",COUNT(H56:J56)&lt;&gt;3),AND(S56="ud",COUNT(H56:J56)&gt;0))),AND(P56="DIRECTA",OR(S56="m",S56="m²",S56="m³"))),1,0))</f>
        <v>0</v>
      </c>
      <c r="AB56" s="0">
        <f>IF(LEN(TRIM(E56&amp;""))&gt;0,E56,IF(R56&gt;0,INDEX($E$13:$E$512,R56),""))</f>
      </c>
      <c r="AC56" s="0">
        <f>UPPER(SUBSTITUTE(SUBSTITUTE(SUBSTITUTE(SUBSTITUTE(SUBSTITUTE(TRIM(AB56),"²","2"),"³","3"),"^",""),".","")," ",""))</f>
      </c>
    </row>
    <row r="57" ht="35" customHeight="1">
      <c r="B57" s="35"/>
      <c r="C57" s="35"/>
      <c r="D57" s="37"/>
      <c r="E57" s="35"/>
      <c r="F57" s="38"/>
      <c r="G57" s="38"/>
      <c r="H57" s="38"/>
      <c r="I57" s="38"/>
      <c r="J57" s="38"/>
      <c r="K57" s="35"/>
      <c r="L57" s="35"/>
      <c r="M57" s="39">
        <f>IF(U57&lt;&gt;1,"",IF(P57="DIRECTA",G57,IF(ISNUMBER(G57),G57,1)*IF(ISNUMBER(H57),H57,1)*IF(ISNUMBER(I57),I57,1)*IF(ISNUMBER(J57),J57,1)))</f>
      </c>
      <c r="N57" s="30">
        <f>IF(COUNTA(B57:L57)=0,"",IF(X57=0,IF(P57="CABECERA","VERDE · Fila descriptiva; la suma usa las líneas del ID","VERDE · Datos numéricos interpretables"),IF(X57=2,"ROJO · ","ÁMBAR · ")&amp;IF(NOT(IF(ISNUMBER($E$6),AND($E$6&gt;=0,$E$6&lt;=6,$E$6=INT($E$6)),FALSE)),"Indicamos entre 0 y 6 decimales en E6. ","")&amp;IF(O57=0,"Falta un ID numérico. ","")&amp;IF(R57=0,"Faltan capítulo, código, unidad o total numérico del ID. ","")&amp;IF(T57&gt;0,"Los datos o el total del ID se contradicen. ","")&amp;IF(AND(P57&lt;&gt;"DIMENSIONES",P57&lt;&gt;"DIRECTA",P57&lt;&gt;"SIN LÍNEAS",P57&lt;&gt;"CABECERA"),"Tipo de fila no reconocido. ","")&amp;IF(AND(OR(P57="SIN LÍNEAS",P57="CABECERA"),COUNTA(G57:J57)&gt;0),"La fila dice que no mide, pero contiene medidas. ","")&amp;IF(AND(OR(P57="DIRECTA",P57="DIMENSIONES"),U57=0),"Línea incompleta o con medidas no numéricas. ","")&amp;IF(P57="SIN LÍNEAS","No constan medidas de esta fila. ","")&amp;IF(Y57&gt;0,"Parece m³: tres dimensiones bajo m². ","")&amp;IF(AND(AB57&lt;&gt;"",SUMPRODUCT(--('LÉEME'!$B$65:$B$86=AC57))&lt;&gt;1),"Revisamos el significado de la unidad. ","")&amp;IF(Z57&gt;0,"Más precisión que los decimales indicados: cotejamos el original. ","")&amp;IF(AA57&gt;0,"Revisamos dimensiones, cantidad directa, ceros o deducción. ","")))</f>
      </c>
      <c r="O57" s="0" t="n">
        <f>IF(ISNUMBER(K57),IF(AND(K57&gt;0,K57=INT(K57),K57&lt;=999999),K57,0),0)</f>
        <v>0</v>
      </c>
      <c r="P57" s="0">
        <f>IF(COUNTA(B57:L57)=0,"",IF(L57="",IF(COUNTA(G57:J57)&gt;0,"DIMENSIONES","SIN LÍNEAS"),UPPER(TRIM(L57))))</f>
      </c>
      <c r="Q57" s="0">
        <f>IF(AND(O57&gt;0,LEN(TRIM(B57&amp;""))&gt;0,LEN(TRIM(C57&amp;""))&gt;0,LEN(TRIM(E57&amp;""))&gt;0,ISNUMBER(F57)),O57,"")</f>
      </c>
      <c r="R57" s="0" t="n">
        <f>IF(O57=0,0,IF(COUNTIFS($Q$13:$Q$512,O57)&gt;0,MATCH(O57,$Q$13:$Q$512,0),0))</f>
        <v>0</v>
      </c>
      <c r="S57" s="0">
        <f>IF(AB57="","",IF(SUMPRODUCT(--('LÉEME'!$B$65:$B$86=AC57))=1,INDEX('LÉEME'!$C$65:$C$86,MATCH(AC57,'LÉEME'!$B$65:$B$86,0)),UPPER(TRIM(AB57))))</f>
      </c>
      <c r="T57" s="0" t="n">
        <f>IF(R57=0,0,IF(OR(AND(LEN(TRIM(B57&amp;""))&gt;0,UPPER(TRIM(B57&amp;""))&lt;&gt;UPPER(TRIM(INDEX($B$13:$B$512,R57)&amp;""))),AND(LEN(TRIM(C57&amp;""))&gt;0,UPPER(TRIM(C57&amp;""))&lt;&gt;UPPER(TRIM(INDEX($C$13:$C$512,R57)&amp;""))),AND(LEN(TRIM(E57&amp;""))&gt;0,S57&lt;&gt;INDEX($S$13:$S$512,R57)),AND(F57&lt;&gt;"",NOT(ISNUMBER(F57)))),1,IF(ISNUMBER(F57),IF(ABS(F57-INDEX($F$13:$F$512,R57))&gt;0.00000001,1,0),0)))</f>
        <v>0</v>
      </c>
      <c r="U57" s="0" t="n">
        <f>IF(P57="DIRECTA",IF(AND(ISNUMBER(G57),COUNTA(H57:J57)=0),1,0),IF(P57="DIMENSIONES",IF(AND(COUNT(G57:J57)&gt;0,COUNTA(G57:J57)=COUNT(G57:J57)),1,0),0))</f>
        <v>0</v>
      </c>
      <c r="V57" s="0" t="n">
        <f>IF(O57=0,0,IF(COUNTIFS($O$13:O57,O57)=1,1,0))</f>
        <v>0</v>
      </c>
      <c r="W57" s="0">
        <f>IF(V57=1,COUNTIFS($V$13:V57,1),"")</f>
      </c>
      <c r="X57" s="0">
        <f>IF(COUNTA(B57:L57)=0,"",IF(OR(NOT(IF(ISNUMBER($E$6),AND($E$6&gt;=0,$E$6&lt;=6,$E$6=INT($E$6)),FALSE)),O57=0,R57=0,T57&gt;0,AND(P57&lt;&gt;"DIMENSIONES",P57&lt;&gt;"DIRECTA",P57&lt;&gt;"SIN LÍNEAS",P57&lt;&gt;"CABECERA"),AND(OR(P57="DIRECTA",P57="DIMENSIONES"),U57=0),AND(OR(P57="SIN LÍNEAS",P57="CABECERA"),COUNTA(G57:J57)&gt;0)),2,IF(OR(P57="SIN LÍNEAS",Y57&gt;0,Z57&gt;0,AA57&gt;0,SUMPRODUCT(--('LÉEME'!$B$65:$B$86=AC57))&lt;&gt;1),1,0)))</f>
      </c>
      <c r="Y57" s="0" t="n">
        <f>IF(AND(P57="DIMENSIONES",S57="m²",COUNT(H57:J57)=3),1,0)</f>
        <v>0</v>
      </c>
      <c r="Z57" s="0" t="n">
        <f>IF(IF(ISNUMBER($E$6),AND($E$6&gt;=0,$E$6&lt;=6,$E$6=INT($E$6)),FALSE),IF(SUM(IF(ISNUMBER(F57),IF(ABS(F57-ROUND(F57,$E$6))&gt;0.00000001,1,0),0),IF(ISNUMBER(G57),IF(ABS(G57-ROUND(G57,$E$6))&gt;0.00000001,1,0),0),IF(ISNUMBER(H57),IF(ABS(H57-ROUND(H57,$E$6))&gt;0.00000001,1,0),0),IF(ISNUMBER(I57),IF(ABS(I57-ROUND(I57,$E$6))&gt;0.00000001,1,0),0),IF(ISNUMBER(J57),IF(ABS(J57-ROUND(J57,$E$6))&gt;0.00000001,1,0),0),IF(ISNUMBER(M57),IF(ABS(M57-ROUND(M57,$E$6))&gt;0.00000001,1,0),0))&gt;0,1,0),0)</f>
        <v>0</v>
      </c>
      <c r="AA57" s="0" t="n">
        <f>IF(COUNTA(B57:L57)=0,0,IF(OR(AND(ISNUMBER(F57),F57&lt;0),AND(U57=1,OR(SUM(IF(ISNUMBER(G57),IF(G57=0,1,0),0),IF(ISNUMBER(H57),IF(H57=0,1,0),0),IF(ISNUMBER(I57),IF(I57=0,1,0),0),IF(ISNUMBER(J57),IF(J57=0,1,0),0))&gt;0,COUNTIFS(G57:J57,"&lt;0")&gt;0)),AND(P57="DIMENSIONES",U57=1,OR(AND(S57="m",COUNT(H57:J57)&lt;&gt;1),AND(S57="m²",COUNT(H57:J57)&lt;&gt;2,Y57=0),AND(S57="m³",COUNT(H57:J57)&lt;&gt;3),AND(S57="ud",COUNT(H57:J57)&gt;0))),AND(P57="DIRECTA",OR(S57="m",S57="m²",S57="m³"))),1,0))</f>
        <v>0</v>
      </c>
      <c r="AB57" s="0">
        <f>IF(LEN(TRIM(E57&amp;""))&gt;0,E57,IF(R57&gt;0,INDEX($E$13:$E$512,R57),""))</f>
      </c>
      <c r="AC57" s="0">
        <f>UPPER(SUBSTITUTE(SUBSTITUTE(SUBSTITUTE(SUBSTITUTE(SUBSTITUTE(TRIM(AB57),"²","2"),"³","3"),"^",""),".","")," ",""))</f>
      </c>
    </row>
    <row r="58" ht="35" customHeight="1">
      <c r="B58" s="35"/>
      <c r="C58" s="35"/>
      <c r="D58" s="37"/>
      <c r="E58" s="35"/>
      <c r="F58" s="38"/>
      <c r="G58" s="38"/>
      <c r="H58" s="38"/>
      <c r="I58" s="38"/>
      <c r="J58" s="38"/>
      <c r="K58" s="35"/>
      <c r="L58" s="35"/>
      <c r="M58" s="39">
        <f>IF(U58&lt;&gt;1,"",IF(P58="DIRECTA",G58,IF(ISNUMBER(G58),G58,1)*IF(ISNUMBER(H58),H58,1)*IF(ISNUMBER(I58),I58,1)*IF(ISNUMBER(J58),J58,1)))</f>
      </c>
      <c r="N58" s="30">
        <f>IF(COUNTA(B58:L58)=0,"",IF(X58=0,IF(P58="CABECERA","VERDE · Fila descriptiva; la suma usa las líneas del ID","VERDE · Datos numéricos interpretables"),IF(X58=2,"ROJO · ","ÁMBAR · ")&amp;IF(NOT(IF(ISNUMBER($E$6),AND($E$6&gt;=0,$E$6&lt;=6,$E$6=INT($E$6)),FALSE)),"Indicamos entre 0 y 6 decimales en E6. ","")&amp;IF(O58=0,"Falta un ID numérico. ","")&amp;IF(R58=0,"Faltan capítulo, código, unidad o total numérico del ID. ","")&amp;IF(T58&gt;0,"Los datos o el total del ID se contradicen. ","")&amp;IF(AND(P58&lt;&gt;"DIMENSIONES",P58&lt;&gt;"DIRECTA",P58&lt;&gt;"SIN LÍNEAS",P58&lt;&gt;"CABECERA"),"Tipo de fila no reconocido. ","")&amp;IF(AND(OR(P58="SIN LÍNEAS",P58="CABECERA"),COUNTA(G58:J58)&gt;0),"La fila dice que no mide, pero contiene medidas. ","")&amp;IF(AND(OR(P58="DIRECTA",P58="DIMENSIONES"),U58=0),"Línea incompleta o con medidas no numéricas. ","")&amp;IF(P58="SIN LÍNEAS","No constan medidas de esta fila. ","")&amp;IF(Y58&gt;0,"Parece m³: tres dimensiones bajo m². ","")&amp;IF(AND(AB58&lt;&gt;"",SUMPRODUCT(--('LÉEME'!$B$65:$B$86=AC58))&lt;&gt;1),"Revisamos el significado de la unidad. ","")&amp;IF(Z58&gt;0,"Más precisión que los decimales indicados: cotejamos el original. ","")&amp;IF(AA58&gt;0,"Revisamos dimensiones, cantidad directa, ceros o deducción. ","")))</f>
      </c>
      <c r="O58" s="0" t="n">
        <f>IF(ISNUMBER(K58),IF(AND(K58&gt;0,K58=INT(K58),K58&lt;=999999),K58,0),0)</f>
        <v>0</v>
      </c>
      <c r="P58" s="0">
        <f>IF(COUNTA(B58:L58)=0,"",IF(L58="",IF(COUNTA(G58:J58)&gt;0,"DIMENSIONES","SIN LÍNEAS"),UPPER(TRIM(L58))))</f>
      </c>
      <c r="Q58" s="0">
        <f>IF(AND(O58&gt;0,LEN(TRIM(B58&amp;""))&gt;0,LEN(TRIM(C58&amp;""))&gt;0,LEN(TRIM(E58&amp;""))&gt;0,ISNUMBER(F58)),O58,"")</f>
      </c>
      <c r="R58" s="0" t="n">
        <f>IF(O58=0,0,IF(COUNTIFS($Q$13:$Q$512,O58)&gt;0,MATCH(O58,$Q$13:$Q$512,0),0))</f>
        <v>0</v>
      </c>
      <c r="S58" s="0">
        <f>IF(AB58="","",IF(SUMPRODUCT(--('LÉEME'!$B$65:$B$86=AC58))=1,INDEX('LÉEME'!$C$65:$C$86,MATCH(AC58,'LÉEME'!$B$65:$B$86,0)),UPPER(TRIM(AB58))))</f>
      </c>
      <c r="T58" s="0" t="n">
        <f>IF(R58=0,0,IF(OR(AND(LEN(TRIM(B58&amp;""))&gt;0,UPPER(TRIM(B58&amp;""))&lt;&gt;UPPER(TRIM(INDEX($B$13:$B$512,R58)&amp;""))),AND(LEN(TRIM(C58&amp;""))&gt;0,UPPER(TRIM(C58&amp;""))&lt;&gt;UPPER(TRIM(INDEX($C$13:$C$512,R58)&amp;""))),AND(LEN(TRIM(E58&amp;""))&gt;0,S58&lt;&gt;INDEX($S$13:$S$512,R58)),AND(F58&lt;&gt;"",NOT(ISNUMBER(F58)))),1,IF(ISNUMBER(F58),IF(ABS(F58-INDEX($F$13:$F$512,R58))&gt;0.00000001,1,0),0)))</f>
        <v>0</v>
      </c>
      <c r="U58" s="0" t="n">
        <f>IF(P58="DIRECTA",IF(AND(ISNUMBER(G58),COUNTA(H58:J58)=0),1,0),IF(P58="DIMENSIONES",IF(AND(COUNT(G58:J58)&gt;0,COUNTA(G58:J58)=COUNT(G58:J58)),1,0),0))</f>
        <v>0</v>
      </c>
      <c r="V58" s="0" t="n">
        <f>IF(O58=0,0,IF(COUNTIFS($O$13:O58,O58)=1,1,0))</f>
        <v>0</v>
      </c>
      <c r="W58" s="0">
        <f>IF(V58=1,COUNTIFS($V$13:V58,1),"")</f>
      </c>
      <c r="X58" s="0">
        <f>IF(COUNTA(B58:L58)=0,"",IF(OR(NOT(IF(ISNUMBER($E$6),AND($E$6&gt;=0,$E$6&lt;=6,$E$6=INT($E$6)),FALSE)),O58=0,R58=0,T58&gt;0,AND(P58&lt;&gt;"DIMENSIONES",P58&lt;&gt;"DIRECTA",P58&lt;&gt;"SIN LÍNEAS",P58&lt;&gt;"CABECERA"),AND(OR(P58="DIRECTA",P58="DIMENSIONES"),U58=0),AND(OR(P58="SIN LÍNEAS",P58="CABECERA"),COUNTA(G58:J58)&gt;0)),2,IF(OR(P58="SIN LÍNEAS",Y58&gt;0,Z58&gt;0,AA58&gt;0,SUMPRODUCT(--('LÉEME'!$B$65:$B$86=AC58))&lt;&gt;1),1,0)))</f>
      </c>
      <c r="Y58" s="0" t="n">
        <f>IF(AND(P58="DIMENSIONES",S58="m²",COUNT(H58:J58)=3),1,0)</f>
        <v>0</v>
      </c>
      <c r="Z58" s="0" t="n">
        <f>IF(IF(ISNUMBER($E$6),AND($E$6&gt;=0,$E$6&lt;=6,$E$6=INT($E$6)),FALSE),IF(SUM(IF(ISNUMBER(F58),IF(ABS(F58-ROUND(F58,$E$6))&gt;0.00000001,1,0),0),IF(ISNUMBER(G58),IF(ABS(G58-ROUND(G58,$E$6))&gt;0.00000001,1,0),0),IF(ISNUMBER(H58),IF(ABS(H58-ROUND(H58,$E$6))&gt;0.00000001,1,0),0),IF(ISNUMBER(I58),IF(ABS(I58-ROUND(I58,$E$6))&gt;0.00000001,1,0),0),IF(ISNUMBER(J58),IF(ABS(J58-ROUND(J58,$E$6))&gt;0.00000001,1,0),0),IF(ISNUMBER(M58),IF(ABS(M58-ROUND(M58,$E$6))&gt;0.00000001,1,0),0))&gt;0,1,0),0)</f>
        <v>0</v>
      </c>
      <c r="AA58" s="0" t="n">
        <f>IF(COUNTA(B58:L58)=0,0,IF(OR(AND(ISNUMBER(F58),F58&lt;0),AND(U58=1,OR(SUM(IF(ISNUMBER(G58),IF(G58=0,1,0),0),IF(ISNUMBER(H58),IF(H58=0,1,0),0),IF(ISNUMBER(I58),IF(I58=0,1,0),0),IF(ISNUMBER(J58),IF(J58=0,1,0),0))&gt;0,COUNTIFS(G58:J58,"&lt;0")&gt;0)),AND(P58="DIMENSIONES",U58=1,OR(AND(S58="m",COUNT(H58:J58)&lt;&gt;1),AND(S58="m²",COUNT(H58:J58)&lt;&gt;2,Y58=0),AND(S58="m³",COUNT(H58:J58)&lt;&gt;3),AND(S58="ud",COUNT(H58:J58)&gt;0))),AND(P58="DIRECTA",OR(S58="m",S58="m²",S58="m³"))),1,0))</f>
        <v>0</v>
      </c>
      <c r="AB58" s="0">
        <f>IF(LEN(TRIM(E58&amp;""))&gt;0,E58,IF(R58&gt;0,INDEX($E$13:$E$512,R58),""))</f>
      </c>
      <c r="AC58" s="0">
        <f>UPPER(SUBSTITUTE(SUBSTITUTE(SUBSTITUTE(SUBSTITUTE(SUBSTITUTE(TRIM(AB58),"²","2"),"³","3"),"^",""),".","")," ",""))</f>
      </c>
    </row>
    <row r="59" ht="35" customHeight="1">
      <c r="B59" s="35"/>
      <c r="C59" s="35"/>
      <c r="D59" s="37"/>
      <c r="E59" s="35"/>
      <c r="F59" s="38"/>
      <c r="G59" s="38"/>
      <c r="H59" s="38"/>
      <c r="I59" s="38"/>
      <c r="J59" s="38"/>
      <c r="K59" s="35"/>
      <c r="L59" s="35"/>
      <c r="M59" s="39">
        <f>IF(U59&lt;&gt;1,"",IF(P59="DIRECTA",G59,IF(ISNUMBER(G59),G59,1)*IF(ISNUMBER(H59),H59,1)*IF(ISNUMBER(I59),I59,1)*IF(ISNUMBER(J59),J59,1)))</f>
      </c>
      <c r="N59" s="30">
        <f>IF(COUNTA(B59:L59)=0,"",IF(X59=0,IF(P59="CABECERA","VERDE · Fila descriptiva; la suma usa las líneas del ID","VERDE · Datos numéricos interpretables"),IF(X59=2,"ROJO · ","ÁMBAR · ")&amp;IF(NOT(IF(ISNUMBER($E$6),AND($E$6&gt;=0,$E$6&lt;=6,$E$6=INT($E$6)),FALSE)),"Indicamos entre 0 y 6 decimales en E6. ","")&amp;IF(O59=0,"Falta un ID numérico. ","")&amp;IF(R59=0,"Faltan capítulo, código, unidad o total numérico del ID. ","")&amp;IF(T59&gt;0,"Los datos o el total del ID se contradicen. ","")&amp;IF(AND(P59&lt;&gt;"DIMENSIONES",P59&lt;&gt;"DIRECTA",P59&lt;&gt;"SIN LÍNEAS",P59&lt;&gt;"CABECERA"),"Tipo de fila no reconocido. ","")&amp;IF(AND(OR(P59="SIN LÍNEAS",P59="CABECERA"),COUNTA(G59:J59)&gt;0),"La fila dice que no mide, pero contiene medidas. ","")&amp;IF(AND(OR(P59="DIRECTA",P59="DIMENSIONES"),U59=0),"Línea incompleta o con medidas no numéricas. ","")&amp;IF(P59="SIN LÍNEAS","No constan medidas de esta fila. ","")&amp;IF(Y59&gt;0,"Parece m³: tres dimensiones bajo m². ","")&amp;IF(AND(AB59&lt;&gt;"",SUMPRODUCT(--('LÉEME'!$B$65:$B$86=AC59))&lt;&gt;1),"Revisamos el significado de la unidad. ","")&amp;IF(Z59&gt;0,"Más precisión que los decimales indicados: cotejamos el original. ","")&amp;IF(AA59&gt;0,"Revisamos dimensiones, cantidad directa, ceros o deducción. ","")))</f>
      </c>
      <c r="O59" s="0" t="n">
        <f>IF(ISNUMBER(K59),IF(AND(K59&gt;0,K59=INT(K59),K59&lt;=999999),K59,0),0)</f>
        <v>0</v>
      </c>
      <c r="P59" s="0">
        <f>IF(COUNTA(B59:L59)=0,"",IF(L59="",IF(COUNTA(G59:J59)&gt;0,"DIMENSIONES","SIN LÍNEAS"),UPPER(TRIM(L59))))</f>
      </c>
      <c r="Q59" s="0">
        <f>IF(AND(O59&gt;0,LEN(TRIM(B59&amp;""))&gt;0,LEN(TRIM(C59&amp;""))&gt;0,LEN(TRIM(E59&amp;""))&gt;0,ISNUMBER(F59)),O59,"")</f>
      </c>
      <c r="R59" s="0" t="n">
        <f>IF(O59=0,0,IF(COUNTIFS($Q$13:$Q$512,O59)&gt;0,MATCH(O59,$Q$13:$Q$512,0),0))</f>
        <v>0</v>
      </c>
      <c r="S59" s="0">
        <f>IF(AB59="","",IF(SUMPRODUCT(--('LÉEME'!$B$65:$B$86=AC59))=1,INDEX('LÉEME'!$C$65:$C$86,MATCH(AC59,'LÉEME'!$B$65:$B$86,0)),UPPER(TRIM(AB59))))</f>
      </c>
      <c r="T59" s="0" t="n">
        <f>IF(R59=0,0,IF(OR(AND(LEN(TRIM(B59&amp;""))&gt;0,UPPER(TRIM(B59&amp;""))&lt;&gt;UPPER(TRIM(INDEX($B$13:$B$512,R59)&amp;""))),AND(LEN(TRIM(C59&amp;""))&gt;0,UPPER(TRIM(C59&amp;""))&lt;&gt;UPPER(TRIM(INDEX($C$13:$C$512,R59)&amp;""))),AND(LEN(TRIM(E59&amp;""))&gt;0,S59&lt;&gt;INDEX($S$13:$S$512,R59)),AND(F59&lt;&gt;"",NOT(ISNUMBER(F59)))),1,IF(ISNUMBER(F59),IF(ABS(F59-INDEX($F$13:$F$512,R59))&gt;0.00000001,1,0),0)))</f>
        <v>0</v>
      </c>
      <c r="U59" s="0" t="n">
        <f>IF(P59="DIRECTA",IF(AND(ISNUMBER(G59),COUNTA(H59:J59)=0),1,0),IF(P59="DIMENSIONES",IF(AND(COUNT(G59:J59)&gt;0,COUNTA(G59:J59)=COUNT(G59:J59)),1,0),0))</f>
        <v>0</v>
      </c>
      <c r="V59" s="0" t="n">
        <f>IF(O59=0,0,IF(COUNTIFS($O$13:O59,O59)=1,1,0))</f>
        <v>0</v>
      </c>
      <c r="W59" s="0">
        <f>IF(V59=1,COUNTIFS($V$13:V59,1),"")</f>
      </c>
      <c r="X59" s="0">
        <f>IF(COUNTA(B59:L59)=0,"",IF(OR(NOT(IF(ISNUMBER($E$6),AND($E$6&gt;=0,$E$6&lt;=6,$E$6=INT($E$6)),FALSE)),O59=0,R59=0,T59&gt;0,AND(P59&lt;&gt;"DIMENSIONES",P59&lt;&gt;"DIRECTA",P59&lt;&gt;"SIN LÍNEAS",P59&lt;&gt;"CABECERA"),AND(OR(P59="DIRECTA",P59="DIMENSIONES"),U59=0),AND(OR(P59="SIN LÍNEAS",P59="CABECERA"),COUNTA(G59:J59)&gt;0)),2,IF(OR(P59="SIN LÍNEAS",Y59&gt;0,Z59&gt;0,AA59&gt;0,SUMPRODUCT(--('LÉEME'!$B$65:$B$86=AC59))&lt;&gt;1),1,0)))</f>
      </c>
      <c r="Y59" s="0" t="n">
        <f>IF(AND(P59="DIMENSIONES",S59="m²",COUNT(H59:J59)=3),1,0)</f>
        <v>0</v>
      </c>
      <c r="Z59" s="0" t="n">
        <f>IF(IF(ISNUMBER($E$6),AND($E$6&gt;=0,$E$6&lt;=6,$E$6=INT($E$6)),FALSE),IF(SUM(IF(ISNUMBER(F59),IF(ABS(F59-ROUND(F59,$E$6))&gt;0.00000001,1,0),0),IF(ISNUMBER(G59),IF(ABS(G59-ROUND(G59,$E$6))&gt;0.00000001,1,0),0),IF(ISNUMBER(H59),IF(ABS(H59-ROUND(H59,$E$6))&gt;0.00000001,1,0),0),IF(ISNUMBER(I59),IF(ABS(I59-ROUND(I59,$E$6))&gt;0.00000001,1,0),0),IF(ISNUMBER(J59),IF(ABS(J59-ROUND(J59,$E$6))&gt;0.00000001,1,0),0),IF(ISNUMBER(M59),IF(ABS(M59-ROUND(M59,$E$6))&gt;0.00000001,1,0),0))&gt;0,1,0),0)</f>
        <v>0</v>
      </c>
      <c r="AA59" s="0" t="n">
        <f>IF(COUNTA(B59:L59)=0,0,IF(OR(AND(ISNUMBER(F59),F59&lt;0),AND(U59=1,OR(SUM(IF(ISNUMBER(G59),IF(G59=0,1,0),0),IF(ISNUMBER(H59),IF(H59=0,1,0),0),IF(ISNUMBER(I59),IF(I59=0,1,0),0),IF(ISNUMBER(J59),IF(J59=0,1,0),0))&gt;0,COUNTIFS(G59:J59,"&lt;0")&gt;0)),AND(P59="DIMENSIONES",U59=1,OR(AND(S59="m",COUNT(H59:J59)&lt;&gt;1),AND(S59="m²",COUNT(H59:J59)&lt;&gt;2,Y59=0),AND(S59="m³",COUNT(H59:J59)&lt;&gt;3),AND(S59="ud",COUNT(H59:J59)&gt;0))),AND(P59="DIRECTA",OR(S59="m",S59="m²",S59="m³"))),1,0))</f>
        <v>0</v>
      </c>
      <c r="AB59" s="0">
        <f>IF(LEN(TRIM(E59&amp;""))&gt;0,E59,IF(R59&gt;0,INDEX($E$13:$E$512,R59),""))</f>
      </c>
      <c r="AC59" s="0">
        <f>UPPER(SUBSTITUTE(SUBSTITUTE(SUBSTITUTE(SUBSTITUTE(SUBSTITUTE(TRIM(AB59),"²","2"),"³","3"),"^",""),".","")," ",""))</f>
      </c>
    </row>
    <row r="60" ht="35" customHeight="1">
      <c r="B60" s="35"/>
      <c r="C60" s="35"/>
      <c r="D60" s="37"/>
      <c r="E60" s="35"/>
      <c r="F60" s="38"/>
      <c r="G60" s="38"/>
      <c r="H60" s="38"/>
      <c r="I60" s="38"/>
      <c r="J60" s="38"/>
      <c r="K60" s="35"/>
      <c r="L60" s="35"/>
      <c r="M60" s="39">
        <f>IF(U60&lt;&gt;1,"",IF(P60="DIRECTA",G60,IF(ISNUMBER(G60),G60,1)*IF(ISNUMBER(H60),H60,1)*IF(ISNUMBER(I60),I60,1)*IF(ISNUMBER(J60),J60,1)))</f>
      </c>
      <c r="N60" s="30">
        <f>IF(COUNTA(B60:L60)=0,"",IF(X60=0,IF(P60="CABECERA","VERDE · Fila descriptiva; la suma usa las líneas del ID","VERDE · Datos numéricos interpretables"),IF(X60=2,"ROJO · ","ÁMBAR · ")&amp;IF(NOT(IF(ISNUMBER($E$6),AND($E$6&gt;=0,$E$6&lt;=6,$E$6=INT($E$6)),FALSE)),"Indicamos entre 0 y 6 decimales en E6. ","")&amp;IF(O60=0,"Falta un ID numérico. ","")&amp;IF(R60=0,"Faltan capítulo, código, unidad o total numérico del ID. ","")&amp;IF(T60&gt;0,"Los datos o el total del ID se contradicen. ","")&amp;IF(AND(P60&lt;&gt;"DIMENSIONES",P60&lt;&gt;"DIRECTA",P60&lt;&gt;"SIN LÍNEAS",P60&lt;&gt;"CABECERA"),"Tipo de fila no reconocido. ","")&amp;IF(AND(OR(P60="SIN LÍNEAS",P60="CABECERA"),COUNTA(G60:J60)&gt;0),"La fila dice que no mide, pero contiene medidas. ","")&amp;IF(AND(OR(P60="DIRECTA",P60="DIMENSIONES"),U60=0),"Línea incompleta o con medidas no numéricas. ","")&amp;IF(P60="SIN LÍNEAS","No constan medidas de esta fila. ","")&amp;IF(Y60&gt;0,"Parece m³: tres dimensiones bajo m². ","")&amp;IF(AND(AB60&lt;&gt;"",SUMPRODUCT(--('LÉEME'!$B$65:$B$86=AC60))&lt;&gt;1),"Revisamos el significado de la unidad. ","")&amp;IF(Z60&gt;0,"Más precisión que los decimales indicados: cotejamos el original. ","")&amp;IF(AA60&gt;0,"Revisamos dimensiones, cantidad directa, ceros o deducción. ","")))</f>
      </c>
      <c r="O60" s="0" t="n">
        <f>IF(ISNUMBER(K60),IF(AND(K60&gt;0,K60=INT(K60),K60&lt;=999999),K60,0),0)</f>
        <v>0</v>
      </c>
      <c r="P60" s="0">
        <f>IF(COUNTA(B60:L60)=0,"",IF(L60="",IF(COUNTA(G60:J60)&gt;0,"DIMENSIONES","SIN LÍNEAS"),UPPER(TRIM(L60))))</f>
      </c>
      <c r="Q60" s="0">
        <f>IF(AND(O60&gt;0,LEN(TRIM(B60&amp;""))&gt;0,LEN(TRIM(C60&amp;""))&gt;0,LEN(TRIM(E60&amp;""))&gt;0,ISNUMBER(F60)),O60,"")</f>
      </c>
      <c r="R60" s="0" t="n">
        <f>IF(O60=0,0,IF(COUNTIFS($Q$13:$Q$512,O60)&gt;0,MATCH(O60,$Q$13:$Q$512,0),0))</f>
        <v>0</v>
      </c>
      <c r="S60" s="0">
        <f>IF(AB60="","",IF(SUMPRODUCT(--('LÉEME'!$B$65:$B$86=AC60))=1,INDEX('LÉEME'!$C$65:$C$86,MATCH(AC60,'LÉEME'!$B$65:$B$86,0)),UPPER(TRIM(AB60))))</f>
      </c>
      <c r="T60" s="0" t="n">
        <f>IF(R60=0,0,IF(OR(AND(LEN(TRIM(B60&amp;""))&gt;0,UPPER(TRIM(B60&amp;""))&lt;&gt;UPPER(TRIM(INDEX($B$13:$B$512,R60)&amp;""))),AND(LEN(TRIM(C60&amp;""))&gt;0,UPPER(TRIM(C60&amp;""))&lt;&gt;UPPER(TRIM(INDEX($C$13:$C$512,R60)&amp;""))),AND(LEN(TRIM(E60&amp;""))&gt;0,S60&lt;&gt;INDEX($S$13:$S$512,R60)),AND(F60&lt;&gt;"",NOT(ISNUMBER(F60)))),1,IF(ISNUMBER(F60),IF(ABS(F60-INDEX($F$13:$F$512,R60))&gt;0.00000001,1,0),0)))</f>
        <v>0</v>
      </c>
      <c r="U60" s="0" t="n">
        <f>IF(P60="DIRECTA",IF(AND(ISNUMBER(G60),COUNTA(H60:J60)=0),1,0),IF(P60="DIMENSIONES",IF(AND(COUNT(G60:J60)&gt;0,COUNTA(G60:J60)=COUNT(G60:J60)),1,0),0))</f>
        <v>0</v>
      </c>
      <c r="V60" s="0" t="n">
        <f>IF(O60=0,0,IF(COUNTIFS($O$13:O60,O60)=1,1,0))</f>
        <v>0</v>
      </c>
      <c r="W60" s="0">
        <f>IF(V60=1,COUNTIFS($V$13:V60,1),"")</f>
      </c>
      <c r="X60" s="0">
        <f>IF(COUNTA(B60:L60)=0,"",IF(OR(NOT(IF(ISNUMBER($E$6),AND($E$6&gt;=0,$E$6&lt;=6,$E$6=INT($E$6)),FALSE)),O60=0,R60=0,T60&gt;0,AND(P60&lt;&gt;"DIMENSIONES",P60&lt;&gt;"DIRECTA",P60&lt;&gt;"SIN LÍNEAS",P60&lt;&gt;"CABECERA"),AND(OR(P60="DIRECTA",P60="DIMENSIONES"),U60=0),AND(OR(P60="SIN LÍNEAS",P60="CABECERA"),COUNTA(G60:J60)&gt;0)),2,IF(OR(P60="SIN LÍNEAS",Y60&gt;0,Z60&gt;0,AA60&gt;0,SUMPRODUCT(--('LÉEME'!$B$65:$B$86=AC60))&lt;&gt;1),1,0)))</f>
      </c>
      <c r="Y60" s="0" t="n">
        <f>IF(AND(P60="DIMENSIONES",S60="m²",COUNT(H60:J60)=3),1,0)</f>
        <v>0</v>
      </c>
      <c r="Z60" s="0" t="n">
        <f>IF(IF(ISNUMBER($E$6),AND($E$6&gt;=0,$E$6&lt;=6,$E$6=INT($E$6)),FALSE),IF(SUM(IF(ISNUMBER(F60),IF(ABS(F60-ROUND(F60,$E$6))&gt;0.00000001,1,0),0),IF(ISNUMBER(G60),IF(ABS(G60-ROUND(G60,$E$6))&gt;0.00000001,1,0),0),IF(ISNUMBER(H60),IF(ABS(H60-ROUND(H60,$E$6))&gt;0.00000001,1,0),0),IF(ISNUMBER(I60),IF(ABS(I60-ROUND(I60,$E$6))&gt;0.00000001,1,0),0),IF(ISNUMBER(J60),IF(ABS(J60-ROUND(J60,$E$6))&gt;0.00000001,1,0),0),IF(ISNUMBER(M60),IF(ABS(M60-ROUND(M60,$E$6))&gt;0.00000001,1,0),0))&gt;0,1,0),0)</f>
        <v>0</v>
      </c>
      <c r="AA60" s="0" t="n">
        <f>IF(COUNTA(B60:L60)=0,0,IF(OR(AND(ISNUMBER(F60),F60&lt;0),AND(U60=1,OR(SUM(IF(ISNUMBER(G60),IF(G60=0,1,0),0),IF(ISNUMBER(H60),IF(H60=0,1,0),0),IF(ISNUMBER(I60),IF(I60=0,1,0),0),IF(ISNUMBER(J60),IF(J60=0,1,0),0))&gt;0,COUNTIFS(G60:J60,"&lt;0")&gt;0)),AND(P60="DIMENSIONES",U60=1,OR(AND(S60="m",COUNT(H60:J60)&lt;&gt;1),AND(S60="m²",COUNT(H60:J60)&lt;&gt;2,Y60=0),AND(S60="m³",COUNT(H60:J60)&lt;&gt;3),AND(S60="ud",COUNT(H60:J60)&gt;0))),AND(P60="DIRECTA",OR(S60="m",S60="m²",S60="m³"))),1,0))</f>
        <v>0</v>
      </c>
      <c r="AB60" s="0">
        <f>IF(LEN(TRIM(E60&amp;""))&gt;0,E60,IF(R60&gt;0,INDEX($E$13:$E$512,R60),""))</f>
      </c>
      <c r="AC60" s="0">
        <f>UPPER(SUBSTITUTE(SUBSTITUTE(SUBSTITUTE(SUBSTITUTE(SUBSTITUTE(TRIM(AB60),"²","2"),"³","3"),"^",""),".","")," ",""))</f>
      </c>
    </row>
    <row r="61" ht="35" customHeight="1">
      <c r="B61" s="35"/>
      <c r="C61" s="35"/>
      <c r="D61" s="37"/>
      <c r="E61" s="35"/>
      <c r="F61" s="38"/>
      <c r="G61" s="38"/>
      <c r="H61" s="38"/>
      <c r="I61" s="38"/>
      <c r="J61" s="38"/>
      <c r="K61" s="35"/>
      <c r="L61" s="35"/>
      <c r="M61" s="39">
        <f>IF(U61&lt;&gt;1,"",IF(P61="DIRECTA",G61,IF(ISNUMBER(G61),G61,1)*IF(ISNUMBER(H61),H61,1)*IF(ISNUMBER(I61),I61,1)*IF(ISNUMBER(J61),J61,1)))</f>
      </c>
      <c r="N61" s="30">
        <f>IF(COUNTA(B61:L61)=0,"",IF(X61=0,IF(P61="CABECERA","VERDE · Fila descriptiva; la suma usa las líneas del ID","VERDE · Datos numéricos interpretables"),IF(X61=2,"ROJO · ","ÁMBAR · ")&amp;IF(NOT(IF(ISNUMBER($E$6),AND($E$6&gt;=0,$E$6&lt;=6,$E$6=INT($E$6)),FALSE)),"Indicamos entre 0 y 6 decimales en E6. ","")&amp;IF(O61=0,"Falta un ID numérico. ","")&amp;IF(R61=0,"Faltan capítulo, código, unidad o total numérico del ID. ","")&amp;IF(T61&gt;0,"Los datos o el total del ID se contradicen. ","")&amp;IF(AND(P61&lt;&gt;"DIMENSIONES",P61&lt;&gt;"DIRECTA",P61&lt;&gt;"SIN LÍNEAS",P61&lt;&gt;"CABECERA"),"Tipo de fila no reconocido. ","")&amp;IF(AND(OR(P61="SIN LÍNEAS",P61="CABECERA"),COUNTA(G61:J61)&gt;0),"La fila dice que no mide, pero contiene medidas. ","")&amp;IF(AND(OR(P61="DIRECTA",P61="DIMENSIONES"),U61=0),"Línea incompleta o con medidas no numéricas. ","")&amp;IF(P61="SIN LÍNEAS","No constan medidas de esta fila. ","")&amp;IF(Y61&gt;0,"Parece m³: tres dimensiones bajo m². ","")&amp;IF(AND(AB61&lt;&gt;"",SUMPRODUCT(--('LÉEME'!$B$65:$B$86=AC61))&lt;&gt;1),"Revisamos el significado de la unidad. ","")&amp;IF(Z61&gt;0,"Más precisión que los decimales indicados: cotejamos el original. ","")&amp;IF(AA61&gt;0,"Revisamos dimensiones, cantidad directa, ceros o deducción. ","")))</f>
      </c>
      <c r="O61" s="0" t="n">
        <f>IF(ISNUMBER(K61),IF(AND(K61&gt;0,K61=INT(K61),K61&lt;=999999),K61,0),0)</f>
        <v>0</v>
      </c>
      <c r="P61" s="0">
        <f>IF(COUNTA(B61:L61)=0,"",IF(L61="",IF(COUNTA(G61:J61)&gt;0,"DIMENSIONES","SIN LÍNEAS"),UPPER(TRIM(L61))))</f>
      </c>
      <c r="Q61" s="0">
        <f>IF(AND(O61&gt;0,LEN(TRIM(B61&amp;""))&gt;0,LEN(TRIM(C61&amp;""))&gt;0,LEN(TRIM(E61&amp;""))&gt;0,ISNUMBER(F61)),O61,"")</f>
      </c>
      <c r="R61" s="0" t="n">
        <f>IF(O61=0,0,IF(COUNTIFS($Q$13:$Q$512,O61)&gt;0,MATCH(O61,$Q$13:$Q$512,0),0))</f>
        <v>0</v>
      </c>
      <c r="S61" s="0">
        <f>IF(AB61="","",IF(SUMPRODUCT(--('LÉEME'!$B$65:$B$86=AC61))=1,INDEX('LÉEME'!$C$65:$C$86,MATCH(AC61,'LÉEME'!$B$65:$B$86,0)),UPPER(TRIM(AB61))))</f>
      </c>
      <c r="T61" s="0" t="n">
        <f>IF(R61=0,0,IF(OR(AND(LEN(TRIM(B61&amp;""))&gt;0,UPPER(TRIM(B61&amp;""))&lt;&gt;UPPER(TRIM(INDEX($B$13:$B$512,R61)&amp;""))),AND(LEN(TRIM(C61&amp;""))&gt;0,UPPER(TRIM(C61&amp;""))&lt;&gt;UPPER(TRIM(INDEX($C$13:$C$512,R61)&amp;""))),AND(LEN(TRIM(E61&amp;""))&gt;0,S61&lt;&gt;INDEX($S$13:$S$512,R61)),AND(F61&lt;&gt;"",NOT(ISNUMBER(F61)))),1,IF(ISNUMBER(F61),IF(ABS(F61-INDEX($F$13:$F$512,R61))&gt;0.00000001,1,0),0)))</f>
        <v>0</v>
      </c>
      <c r="U61" s="0" t="n">
        <f>IF(P61="DIRECTA",IF(AND(ISNUMBER(G61),COUNTA(H61:J61)=0),1,0),IF(P61="DIMENSIONES",IF(AND(COUNT(G61:J61)&gt;0,COUNTA(G61:J61)=COUNT(G61:J61)),1,0),0))</f>
        <v>0</v>
      </c>
      <c r="V61" s="0" t="n">
        <f>IF(O61=0,0,IF(COUNTIFS($O$13:O61,O61)=1,1,0))</f>
        <v>0</v>
      </c>
      <c r="W61" s="0">
        <f>IF(V61=1,COUNTIFS($V$13:V61,1),"")</f>
      </c>
      <c r="X61" s="0">
        <f>IF(COUNTA(B61:L61)=0,"",IF(OR(NOT(IF(ISNUMBER($E$6),AND($E$6&gt;=0,$E$6&lt;=6,$E$6=INT($E$6)),FALSE)),O61=0,R61=0,T61&gt;0,AND(P61&lt;&gt;"DIMENSIONES",P61&lt;&gt;"DIRECTA",P61&lt;&gt;"SIN LÍNEAS",P61&lt;&gt;"CABECERA"),AND(OR(P61="DIRECTA",P61="DIMENSIONES"),U61=0),AND(OR(P61="SIN LÍNEAS",P61="CABECERA"),COUNTA(G61:J61)&gt;0)),2,IF(OR(P61="SIN LÍNEAS",Y61&gt;0,Z61&gt;0,AA61&gt;0,SUMPRODUCT(--('LÉEME'!$B$65:$B$86=AC61))&lt;&gt;1),1,0)))</f>
      </c>
      <c r="Y61" s="0" t="n">
        <f>IF(AND(P61="DIMENSIONES",S61="m²",COUNT(H61:J61)=3),1,0)</f>
        <v>0</v>
      </c>
      <c r="Z61" s="0" t="n">
        <f>IF(IF(ISNUMBER($E$6),AND($E$6&gt;=0,$E$6&lt;=6,$E$6=INT($E$6)),FALSE),IF(SUM(IF(ISNUMBER(F61),IF(ABS(F61-ROUND(F61,$E$6))&gt;0.00000001,1,0),0),IF(ISNUMBER(G61),IF(ABS(G61-ROUND(G61,$E$6))&gt;0.00000001,1,0),0),IF(ISNUMBER(H61),IF(ABS(H61-ROUND(H61,$E$6))&gt;0.00000001,1,0),0),IF(ISNUMBER(I61),IF(ABS(I61-ROUND(I61,$E$6))&gt;0.00000001,1,0),0),IF(ISNUMBER(J61),IF(ABS(J61-ROUND(J61,$E$6))&gt;0.00000001,1,0),0),IF(ISNUMBER(M61),IF(ABS(M61-ROUND(M61,$E$6))&gt;0.00000001,1,0),0))&gt;0,1,0),0)</f>
        <v>0</v>
      </c>
      <c r="AA61" s="0" t="n">
        <f>IF(COUNTA(B61:L61)=0,0,IF(OR(AND(ISNUMBER(F61),F61&lt;0),AND(U61=1,OR(SUM(IF(ISNUMBER(G61),IF(G61=0,1,0),0),IF(ISNUMBER(H61),IF(H61=0,1,0),0),IF(ISNUMBER(I61),IF(I61=0,1,0),0),IF(ISNUMBER(J61),IF(J61=0,1,0),0))&gt;0,COUNTIFS(G61:J61,"&lt;0")&gt;0)),AND(P61="DIMENSIONES",U61=1,OR(AND(S61="m",COUNT(H61:J61)&lt;&gt;1),AND(S61="m²",COUNT(H61:J61)&lt;&gt;2,Y61=0),AND(S61="m³",COUNT(H61:J61)&lt;&gt;3),AND(S61="ud",COUNT(H61:J61)&gt;0))),AND(P61="DIRECTA",OR(S61="m",S61="m²",S61="m³"))),1,0))</f>
        <v>0</v>
      </c>
      <c r="AB61" s="0">
        <f>IF(LEN(TRIM(E61&amp;""))&gt;0,E61,IF(R61&gt;0,INDEX($E$13:$E$512,R61),""))</f>
      </c>
      <c r="AC61" s="0">
        <f>UPPER(SUBSTITUTE(SUBSTITUTE(SUBSTITUTE(SUBSTITUTE(SUBSTITUTE(TRIM(AB61),"²","2"),"³","3"),"^",""),".","")," ",""))</f>
      </c>
    </row>
    <row r="62" ht="35" customHeight="1">
      <c r="B62" s="35"/>
      <c r="C62" s="35"/>
      <c r="D62" s="37"/>
      <c r="E62" s="35"/>
      <c r="F62" s="38"/>
      <c r="G62" s="38"/>
      <c r="H62" s="38"/>
      <c r="I62" s="38"/>
      <c r="J62" s="38"/>
      <c r="K62" s="35"/>
      <c r="L62" s="35"/>
      <c r="M62" s="39">
        <f>IF(U62&lt;&gt;1,"",IF(P62="DIRECTA",G62,IF(ISNUMBER(G62),G62,1)*IF(ISNUMBER(H62),H62,1)*IF(ISNUMBER(I62),I62,1)*IF(ISNUMBER(J62),J62,1)))</f>
      </c>
      <c r="N62" s="30">
        <f>IF(COUNTA(B62:L62)=0,"",IF(X62=0,IF(P62="CABECERA","VERDE · Fila descriptiva; la suma usa las líneas del ID","VERDE · Datos numéricos interpretables"),IF(X62=2,"ROJO · ","ÁMBAR · ")&amp;IF(NOT(IF(ISNUMBER($E$6),AND($E$6&gt;=0,$E$6&lt;=6,$E$6=INT($E$6)),FALSE)),"Indicamos entre 0 y 6 decimales en E6. ","")&amp;IF(O62=0,"Falta un ID numérico. ","")&amp;IF(R62=0,"Faltan capítulo, código, unidad o total numérico del ID. ","")&amp;IF(T62&gt;0,"Los datos o el total del ID se contradicen. ","")&amp;IF(AND(P62&lt;&gt;"DIMENSIONES",P62&lt;&gt;"DIRECTA",P62&lt;&gt;"SIN LÍNEAS",P62&lt;&gt;"CABECERA"),"Tipo de fila no reconocido. ","")&amp;IF(AND(OR(P62="SIN LÍNEAS",P62="CABECERA"),COUNTA(G62:J62)&gt;0),"La fila dice que no mide, pero contiene medidas. ","")&amp;IF(AND(OR(P62="DIRECTA",P62="DIMENSIONES"),U62=0),"Línea incompleta o con medidas no numéricas. ","")&amp;IF(P62="SIN LÍNEAS","No constan medidas de esta fila. ","")&amp;IF(Y62&gt;0,"Parece m³: tres dimensiones bajo m². ","")&amp;IF(AND(AB62&lt;&gt;"",SUMPRODUCT(--('LÉEME'!$B$65:$B$86=AC62))&lt;&gt;1),"Revisamos el significado de la unidad. ","")&amp;IF(Z62&gt;0,"Más precisión que los decimales indicados: cotejamos el original. ","")&amp;IF(AA62&gt;0,"Revisamos dimensiones, cantidad directa, ceros o deducción. ","")))</f>
      </c>
      <c r="O62" s="0" t="n">
        <f>IF(ISNUMBER(K62),IF(AND(K62&gt;0,K62=INT(K62),K62&lt;=999999),K62,0),0)</f>
        <v>0</v>
      </c>
      <c r="P62" s="0">
        <f>IF(COUNTA(B62:L62)=0,"",IF(L62="",IF(COUNTA(G62:J62)&gt;0,"DIMENSIONES","SIN LÍNEAS"),UPPER(TRIM(L62))))</f>
      </c>
      <c r="Q62" s="0">
        <f>IF(AND(O62&gt;0,LEN(TRIM(B62&amp;""))&gt;0,LEN(TRIM(C62&amp;""))&gt;0,LEN(TRIM(E62&amp;""))&gt;0,ISNUMBER(F62)),O62,"")</f>
      </c>
      <c r="R62" s="0" t="n">
        <f>IF(O62=0,0,IF(COUNTIFS($Q$13:$Q$512,O62)&gt;0,MATCH(O62,$Q$13:$Q$512,0),0))</f>
        <v>0</v>
      </c>
      <c r="S62" s="0">
        <f>IF(AB62="","",IF(SUMPRODUCT(--('LÉEME'!$B$65:$B$86=AC62))=1,INDEX('LÉEME'!$C$65:$C$86,MATCH(AC62,'LÉEME'!$B$65:$B$86,0)),UPPER(TRIM(AB62))))</f>
      </c>
      <c r="T62" s="0" t="n">
        <f>IF(R62=0,0,IF(OR(AND(LEN(TRIM(B62&amp;""))&gt;0,UPPER(TRIM(B62&amp;""))&lt;&gt;UPPER(TRIM(INDEX($B$13:$B$512,R62)&amp;""))),AND(LEN(TRIM(C62&amp;""))&gt;0,UPPER(TRIM(C62&amp;""))&lt;&gt;UPPER(TRIM(INDEX($C$13:$C$512,R62)&amp;""))),AND(LEN(TRIM(E62&amp;""))&gt;0,S62&lt;&gt;INDEX($S$13:$S$512,R62)),AND(F62&lt;&gt;"",NOT(ISNUMBER(F62)))),1,IF(ISNUMBER(F62),IF(ABS(F62-INDEX($F$13:$F$512,R62))&gt;0.00000001,1,0),0)))</f>
        <v>0</v>
      </c>
      <c r="U62" s="0" t="n">
        <f>IF(P62="DIRECTA",IF(AND(ISNUMBER(G62),COUNTA(H62:J62)=0),1,0),IF(P62="DIMENSIONES",IF(AND(COUNT(G62:J62)&gt;0,COUNTA(G62:J62)=COUNT(G62:J62)),1,0),0))</f>
        <v>0</v>
      </c>
      <c r="V62" s="0" t="n">
        <f>IF(O62=0,0,IF(COUNTIFS($O$13:O62,O62)=1,1,0))</f>
        <v>0</v>
      </c>
      <c r="W62" s="0">
        <f>IF(V62=1,COUNTIFS($V$13:V62,1),"")</f>
      </c>
      <c r="X62" s="0">
        <f>IF(COUNTA(B62:L62)=0,"",IF(OR(NOT(IF(ISNUMBER($E$6),AND($E$6&gt;=0,$E$6&lt;=6,$E$6=INT($E$6)),FALSE)),O62=0,R62=0,T62&gt;0,AND(P62&lt;&gt;"DIMENSIONES",P62&lt;&gt;"DIRECTA",P62&lt;&gt;"SIN LÍNEAS",P62&lt;&gt;"CABECERA"),AND(OR(P62="DIRECTA",P62="DIMENSIONES"),U62=0),AND(OR(P62="SIN LÍNEAS",P62="CABECERA"),COUNTA(G62:J62)&gt;0)),2,IF(OR(P62="SIN LÍNEAS",Y62&gt;0,Z62&gt;0,AA62&gt;0,SUMPRODUCT(--('LÉEME'!$B$65:$B$86=AC62))&lt;&gt;1),1,0)))</f>
      </c>
      <c r="Y62" s="0" t="n">
        <f>IF(AND(P62="DIMENSIONES",S62="m²",COUNT(H62:J62)=3),1,0)</f>
        <v>0</v>
      </c>
      <c r="Z62" s="0" t="n">
        <f>IF(IF(ISNUMBER($E$6),AND($E$6&gt;=0,$E$6&lt;=6,$E$6=INT($E$6)),FALSE),IF(SUM(IF(ISNUMBER(F62),IF(ABS(F62-ROUND(F62,$E$6))&gt;0.00000001,1,0),0),IF(ISNUMBER(G62),IF(ABS(G62-ROUND(G62,$E$6))&gt;0.00000001,1,0),0),IF(ISNUMBER(H62),IF(ABS(H62-ROUND(H62,$E$6))&gt;0.00000001,1,0),0),IF(ISNUMBER(I62),IF(ABS(I62-ROUND(I62,$E$6))&gt;0.00000001,1,0),0),IF(ISNUMBER(J62),IF(ABS(J62-ROUND(J62,$E$6))&gt;0.00000001,1,0),0),IF(ISNUMBER(M62),IF(ABS(M62-ROUND(M62,$E$6))&gt;0.00000001,1,0),0))&gt;0,1,0),0)</f>
        <v>0</v>
      </c>
      <c r="AA62" s="0" t="n">
        <f>IF(COUNTA(B62:L62)=0,0,IF(OR(AND(ISNUMBER(F62),F62&lt;0),AND(U62=1,OR(SUM(IF(ISNUMBER(G62),IF(G62=0,1,0),0),IF(ISNUMBER(H62),IF(H62=0,1,0),0),IF(ISNUMBER(I62),IF(I62=0,1,0),0),IF(ISNUMBER(J62),IF(J62=0,1,0),0))&gt;0,COUNTIFS(G62:J62,"&lt;0")&gt;0)),AND(P62="DIMENSIONES",U62=1,OR(AND(S62="m",COUNT(H62:J62)&lt;&gt;1),AND(S62="m²",COUNT(H62:J62)&lt;&gt;2,Y62=0),AND(S62="m³",COUNT(H62:J62)&lt;&gt;3),AND(S62="ud",COUNT(H62:J62)&gt;0))),AND(P62="DIRECTA",OR(S62="m",S62="m²",S62="m³"))),1,0))</f>
        <v>0</v>
      </c>
      <c r="AB62" s="0">
        <f>IF(LEN(TRIM(E62&amp;""))&gt;0,E62,IF(R62&gt;0,INDEX($E$13:$E$512,R62),""))</f>
      </c>
      <c r="AC62" s="0">
        <f>UPPER(SUBSTITUTE(SUBSTITUTE(SUBSTITUTE(SUBSTITUTE(SUBSTITUTE(TRIM(AB62),"²","2"),"³","3"),"^",""),".","")," ",""))</f>
      </c>
    </row>
    <row r="63" ht="35" customHeight="1">
      <c r="B63" s="35"/>
      <c r="C63" s="35"/>
      <c r="D63" s="37"/>
      <c r="E63" s="35"/>
      <c r="F63" s="38"/>
      <c r="G63" s="38"/>
      <c r="H63" s="38"/>
      <c r="I63" s="38"/>
      <c r="J63" s="38"/>
      <c r="K63" s="35"/>
      <c r="L63" s="35"/>
      <c r="M63" s="39">
        <f>IF(U63&lt;&gt;1,"",IF(P63="DIRECTA",G63,IF(ISNUMBER(G63),G63,1)*IF(ISNUMBER(H63),H63,1)*IF(ISNUMBER(I63),I63,1)*IF(ISNUMBER(J63),J63,1)))</f>
      </c>
      <c r="N63" s="30">
        <f>IF(COUNTA(B63:L63)=0,"",IF(X63=0,IF(P63="CABECERA","VERDE · Fila descriptiva; la suma usa las líneas del ID","VERDE · Datos numéricos interpretables"),IF(X63=2,"ROJO · ","ÁMBAR · ")&amp;IF(NOT(IF(ISNUMBER($E$6),AND($E$6&gt;=0,$E$6&lt;=6,$E$6=INT($E$6)),FALSE)),"Indicamos entre 0 y 6 decimales en E6. ","")&amp;IF(O63=0,"Falta un ID numérico. ","")&amp;IF(R63=0,"Faltan capítulo, código, unidad o total numérico del ID. ","")&amp;IF(T63&gt;0,"Los datos o el total del ID se contradicen. ","")&amp;IF(AND(P63&lt;&gt;"DIMENSIONES",P63&lt;&gt;"DIRECTA",P63&lt;&gt;"SIN LÍNEAS",P63&lt;&gt;"CABECERA"),"Tipo de fila no reconocido. ","")&amp;IF(AND(OR(P63="SIN LÍNEAS",P63="CABECERA"),COUNTA(G63:J63)&gt;0),"La fila dice que no mide, pero contiene medidas. ","")&amp;IF(AND(OR(P63="DIRECTA",P63="DIMENSIONES"),U63=0),"Línea incompleta o con medidas no numéricas. ","")&amp;IF(P63="SIN LÍNEAS","No constan medidas de esta fila. ","")&amp;IF(Y63&gt;0,"Parece m³: tres dimensiones bajo m². ","")&amp;IF(AND(AB63&lt;&gt;"",SUMPRODUCT(--('LÉEME'!$B$65:$B$86=AC63))&lt;&gt;1),"Revisamos el significado de la unidad. ","")&amp;IF(Z63&gt;0,"Más precisión que los decimales indicados: cotejamos el original. ","")&amp;IF(AA63&gt;0,"Revisamos dimensiones, cantidad directa, ceros o deducción. ","")))</f>
      </c>
      <c r="O63" s="0" t="n">
        <f>IF(ISNUMBER(K63),IF(AND(K63&gt;0,K63=INT(K63),K63&lt;=999999),K63,0),0)</f>
        <v>0</v>
      </c>
      <c r="P63" s="0">
        <f>IF(COUNTA(B63:L63)=0,"",IF(L63="",IF(COUNTA(G63:J63)&gt;0,"DIMENSIONES","SIN LÍNEAS"),UPPER(TRIM(L63))))</f>
      </c>
      <c r="Q63" s="0">
        <f>IF(AND(O63&gt;0,LEN(TRIM(B63&amp;""))&gt;0,LEN(TRIM(C63&amp;""))&gt;0,LEN(TRIM(E63&amp;""))&gt;0,ISNUMBER(F63)),O63,"")</f>
      </c>
      <c r="R63" s="0" t="n">
        <f>IF(O63=0,0,IF(COUNTIFS($Q$13:$Q$512,O63)&gt;0,MATCH(O63,$Q$13:$Q$512,0),0))</f>
        <v>0</v>
      </c>
      <c r="S63" s="0">
        <f>IF(AB63="","",IF(SUMPRODUCT(--('LÉEME'!$B$65:$B$86=AC63))=1,INDEX('LÉEME'!$C$65:$C$86,MATCH(AC63,'LÉEME'!$B$65:$B$86,0)),UPPER(TRIM(AB63))))</f>
      </c>
      <c r="T63" s="0" t="n">
        <f>IF(R63=0,0,IF(OR(AND(LEN(TRIM(B63&amp;""))&gt;0,UPPER(TRIM(B63&amp;""))&lt;&gt;UPPER(TRIM(INDEX($B$13:$B$512,R63)&amp;""))),AND(LEN(TRIM(C63&amp;""))&gt;0,UPPER(TRIM(C63&amp;""))&lt;&gt;UPPER(TRIM(INDEX($C$13:$C$512,R63)&amp;""))),AND(LEN(TRIM(E63&amp;""))&gt;0,S63&lt;&gt;INDEX($S$13:$S$512,R63)),AND(F63&lt;&gt;"",NOT(ISNUMBER(F63)))),1,IF(ISNUMBER(F63),IF(ABS(F63-INDEX($F$13:$F$512,R63))&gt;0.00000001,1,0),0)))</f>
        <v>0</v>
      </c>
      <c r="U63" s="0" t="n">
        <f>IF(P63="DIRECTA",IF(AND(ISNUMBER(G63),COUNTA(H63:J63)=0),1,0),IF(P63="DIMENSIONES",IF(AND(COUNT(G63:J63)&gt;0,COUNTA(G63:J63)=COUNT(G63:J63)),1,0),0))</f>
        <v>0</v>
      </c>
      <c r="V63" s="0" t="n">
        <f>IF(O63=0,0,IF(COUNTIFS($O$13:O63,O63)=1,1,0))</f>
        <v>0</v>
      </c>
      <c r="W63" s="0">
        <f>IF(V63=1,COUNTIFS($V$13:V63,1),"")</f>
      </c>
      <c r="X63" s="0">
        <f>IF(COUNTA(B63:L63)=0,"",IF(OR(NOT(IF(ISNUMBER($E$6),AND($E$6&gt;=0,$E$6&lt;=6,$E$6=INT($E$6)),FALSE)),O63=0,R63=0,T63&gt;0,AND(P63&lt;&gt;"DIMENSIONES",P63&lt;&gt;"DIRECTA",P63&lt;&gt;"SIN LÍNEAS",P63&lt;&gt;"CABECERA"),AND(OR(P63="DIRECTA",P63="DIMENSIONES"),U63=0),AND(OR(P63="SIN LÍNEAS",P63="CABECERA"),COUNTA(G63:J63)&gt;0)),2,IF(OR(P63="SIN LÍNEAS",Y63&gt;0,Z63&gt;0,AA63&gt;0,SUMPRODUCT(--('LÉEME'!$B$65:$B$86=AC63))&lt;&gt;1),1,0)))</f>
      </c>
      <c r="Y63" s="0" t="n">
        <f>IF(AND(P63="DIMENSIONES",S63="m²",COUNT(H63:J63)=3),1,0)</f>
        <v>0</v>
      </c>
      <c r="Z63" s="0" t="n">
        <f>IF(IF(ISNUMBER($E$6),AND($E$6&gt;=0,$E$6&lt;=6,$E$6=INT($E$6)),FALSE),IF(SUM(IF(ISNUMBER(F63),IF(ABS(F63-ROUND(F63,$E$6))&gt;0.00000001,1,0),0),IF(ISNUMBER(G63),IF(ABS(G63-ROUND(G63,$E$6))&gt;0.00000001,1,0),0),IF(ISNUMBER(H63),IF(ABS(H63-ROUND(H63,$E$6))&gt;0.00000001,1,0),0),IF(ISNUMBER(I63),IF(ABS(I63-ROUND(I63,$E$6))&gt;0.00000001,1,0),0),IF(ISNUMBER(J63),IF(ABS(J63-ROUND(J63,$E$6))&gt;0.00000001,1,0),0),IF(ISNUMBER(M63),IF(ABS(M63-ROUND(M63,$E$6))&gt;0.00000001,1,0),0))&gt;0,1,0),0)</f>
        <v>0</v>
      </c>
      <c r="AA63" s="0" t="n">
        <f>IF(COUNTA(B63:L63)=0,0,IF(OR(AND(ISNUMBER(F63),F63&lt;0),AND(U63=1,OR(SUM(IF(ISNUMBER(G63),IF(G63=0,1,0),0),IF(ISNUMBER(H63),IF(H63=0,1,0),0),IF(ISNUMBER(I63),IF(I63=0,1,0),0),IF(ISNUMBER(J63),IF(J63=0,1,0),0))&gt;0,COUNTIFS(G63:J63,"&lt;0")&gt;0)),AND(P63="DIMENSIONES",U63=1,OR(AND(S63="m",COUNT(H63:J63)&lt;&gt;1),AND(S63="m²",COUNT(H63:J63)&lt;&gt;2,Y63=0),AND(S63="m³",COUNT(H63:J63)&lt;&gt;3),AND(S63="ud",COUNT(H63:J63)&gt;0))),AND(P63="DIRECTA",OR(S63="m",S63="m²",S63="m³"))),1,0))</f>
        <v>0</v>
      </c>
      <c r="AB63" s="0">
        <f>IF(LEN(TRIM(E63&amp;""))&gt;0,E63,IF(R63&gt;0,INDEX($E$13:$E$512,R63),""))</f>
      </c>
      <c r="AC63" s="0">
        <f>UPPER(SUBSTITUTE(SUBSTITUTE(SUBSTITUTE(SUBSTITUTE(SUBSTITUTE(TRIM(AB63),"²","2"),"³","3"),"^",""),".","")," ",""))</f>
      </c>
    </row>
    <row r="64" ht="35" customHeight="1">
      <c r="B64" s="35"/>
      <c r="C64" s="35"/>
      <c r="D64" s="37"/>
      <c r="E64" s="35"/>
      <c r="F64" s="38"/>
      <c r="G64" s="38"/>
      <c r="H64" s="38"/>
      <c r="I64" s="38"/>
      <c r="J64" s="38"/>
      <c r="K64" s="35"/>
      <c r="L64" s="35"/>
      <c r="M64" s="39">
        <f>IF(U64&lt;&gt;1,"",IF(P64="DIRECTA",G64,IF(ISNUMBER(G64),G64,1)*IF(ISNUMBER(H64),H64,1)*IF(ISNUMBER(I64),I64,1)*IF(ISNUMBER(J64),J64,1)))</f>
      </c>
      <c r="N64" s="30">
        <f>IF(COUNTA(B64:L64)=0,"",IF(X64=0,IF(P64="CABECERA","VERDE · Fila descriptiva; la suma usa las líneas del ID","VERDE · Datos numéricos interpretables"),IF(X64=2,"ROJO · ","ÁMBAR · ")&amp;IF(NOT(IF(ISNUMBER($E$6),AND($E$6&gt;=0,$E$6&lt;=6,$E$6=INT($E$6)),FALSE)),"Indicamos entre 0 y 6 decimales en E6. ","")&amp;IF(O64=0,"Falta un ID numérico. ","")&amp;IF(R64=0,"Faltan capítulo, código, unidad o total numérico del ID. ","")&amp;IF(T64&gt;0,"Los datos o el total del ID se contradicen. ","")&amp;IF(AND(P64&lt;&gt;"DIMENSIONES",P64&lt;&gt;"DIRECTA",P64&lt;&gt;"SIN LÍNEAS",P64&lt;&gt;"CABECERA"),"Tipo de fila no reconocido. ","")&amp;IF(AND(OR(P64="SIN LÍNEAS",P64="CABECERA"),COUNTA(G64:J64)&gt;0),"La fila dice que no mide, pero contiene medidas. ","")&amp;IF(AND(OR(P64="DIRECTA",P64="DIMENSIONES"),U64=0),"Línea incompleta o con medidas no numéricas. ","")&amp;IF(P64="SIN LÍNEAS","No constan medidas de esta fila. ","")&amp;IF(Y64&gt;0,"Parece m³: tres dimensiones bajo m². ","")&amp;IF(AND(AB64&lt;&gt;"",SUMPRODUCT(--('LÉEME'!$B$65:$B$86=AC64))&lt;&gt;1),"Revisamos el significado de la unidad. ","")&amp;IF(Z64&gt;0,"Más precisión que los decimales indicados: cotejamos el original. ","")&amp;IF(AA64&gt;0,"Revisamos dimensiones, cantidad directa, ceros o deducción. ","")))</f>
      </c>
      <c r="O64" s="0" t="n">
        <f>IF(ISNUMBER(K64),IF(AND(K64&gt;0,K64=INT(K64),K64&lt;=999999),K64,0),0)</f>
        <v>0</v>
      </c>
      <c r="P64" s="0">
        <f>IF(COUNTA(B64:L64)=0,"",IF(L64="",IF(COUNTA(G64:J64)&gt;0,"DIMENSIONES","SIN LÍNEAS"),UPPER(TRIM(L64))))</f>
      </c>
      <c r="Q64" s="0">
        <f>IF(AND(O64&gt;0,LEN(TRIM(B64&amp;""))&gt;0,LEN(TRIM(C64&amp;""))&gt;0,LEN(TRIM(E64&amp;""))&gt;0,ISNUMBER(F64)),O64,"")</f>
      </c>
      <c r="R64" s="0" t="n">
        <f>IF(O64=0,0,IF(COUNTIFS($Q$13:$Q$512,O64)&gt;0,MATCH(O64,$Q$13:$Q$512,0),0))</f>
        <v>0</v>
      </c>
      <c r="S64" s="0">
        <f>IF(AB64="","",IF(SUMPRODUCT(--('LÉEME'!$B$65:$B$86=AC64))=1,INDEX('LÉEME'!$C$65:$C$86,MATCH(AC64,'LÉEME'!$B$65:$B$86,0)),UPPER(TRIM(AB64))))</f>
      </c>
      <c r="T64" s="0" t="n">
        <f>IF(R64=0,0,IF(OR(AND(LEN(TRIM(B64&amp;""))&gt;0,UPPER(TRIM(B64&amp;""))&lt;&gt;UPPER(TRIM(INDEX($B$13:$B$512,R64)&amp;""))),AND(LEN(TRIM(C64&amp;""))&gt;0,UPPER(TRIM(C64&amp;""))&lt;&gt;UPPER(TRIM(INDEX($C$13:$C$512,R64)&amp;""))),AND(LEN(TRIM(E64&amp;""))&gt;0,S64&lt;&gt;INDEX($S$13:$S$512,R64)),AND(F64&lt;&gt;"",NOT(ISNUMBER(F64)))),1,IF(ISNUMBER(F64),IF(ABS(F64-INDEX($F$13:$F$512,R64))&gt;0.00000001,1,0),0)))</f>
        <v>0</v>
      </c>
      <c r="U64" s="0" t="n">
        <f>IF(P64="DIRECTA",IF(AND(ISNUMBER(G64),COUNTA(H64:J64)=0),1,0),IF(P64="DIMENSIONES",IF(AND(COUNT(G64:J64)&gt;0,COUNTA(G64:J64)=COUNT(G64:J64)),1,0),0))</f>
        <v>0</v>
      </c>
      <c r="V64" s="0" t="n">
        <f>IF(O64=0,0,IF(COUNTIFS($O$13:O64,O64)=1,1,0))</f>
        <v>0</v>
      </c>
      <c r="W64" s="0">
        <f>IF(V64=1,COUNTIFS($V$13:V64,1),"")</f>
      </c>
      <c r="X64" s="0">
        <f>IF(COUNTA(B64:L64)=0,"",IF(OR(NOT(IF(ISNUMBER($E$6),AND($E$6&gt;=0,$E$6&lt;=6,$E$6=INT($E$6)),FALSE)),O64=0,R64=0,T64&gt;0,AND(P64&lt;&gt;"DIMENSIONES",P64&lt;&gt;"DIRECTA",P64&lt;&gt;"SIN LÍNEAS",P64&lt;&gt;"CABECERA"),AND(OR(P64="DIRECTA",P64="DIMENSIONES"),U64=0),AND(OR(P64="SIN LÍNEAS",P64="CABECERA"),COUNTA(G64:J64)&gt;0)),2,IF(OR(P64="SIN LÍNEAS",Y64&gt;0,Z64&gt;0,AA64&gt;0,SUMPRODUCT(--('LÉEME'!$B$65:$B$86=AC64))&lt;&gt;1),1,0)))</f>
      </c>
      <c r="Y64" s="0" t="n">
        <f>IF(AND(P64="DIMENSIONES",S64="m²",COUNT(H64:J64)=3),1,0)</f>
        <v>0</v>
      </c>
      <c r="Z64" s="0" t="n">
        <f>IF(IF(ISNUMBER($E$6),AND($E$6&gt;=0,$E$6&lt;=6,$E$6=INT($E$6)),FALSE),IF(SUM(IF(ISNUMBER(F64),IF(ABS(F64-ROUND(F64,$E$6))&gt;0.00000001,1,0),0),IF(ISNUMBER(G64),IF(ABS(G64-ROUND(G64,$E$6))&gt;0.00000001,1,0),0),IF(ISNUMBER(H64),IF(ABS(H64-ROUND(H64,$E$6))&gt;0.00000001,1,0),0),IF(ISNUMBER(I64),IF(ABS(I64-ROUND(I64,$E$6))&gt;0.00000001,1,0),0),IF(ISNUMBER(J64),IF(ABS(J64-ROUND(J64,$E$6))&gt;0.00000001,1,0),0),IF(ISNUMBER(M64),IF(ABS(M64-ROUND(M64,$E$6))&gt;0.00000001,1,0),0))&gt;0,1,0),0)</f>
        <v>0</v>
      </c>
      <c r="AA64" s="0" t="n">
        <f>IF(COUNTA(B64:L64)=0,0,IF(OR(AND(ISNUMBER(F64),F64&lt;0),AND(U64=1,OR(SUM(IF(ISNUMBER(G64),IF(G64=0,1,0),0),IF(ISNUMBER(H64),IF(H64=0,1,0),0),IF(ISNUMBER(I64),IF(I64=0,1,0),0),IF(ISNUMBER(J64),IF(J64=0,1,0),0))&gt;0,COUNTIFS(G64:J64,"&lt;0")&gt;0)),AND(P64="DIMENSIONES",U64=1,OR(AND(S64="m",COUNT(H64:J64)&lt;&gt;1),AND(S64="m²",COUNT(H64:J64)&lt;&gt;2,Y64=0),AND(S64="m³",COUNT(H64:J64)&lt;&gt;3),AND(S64="ud",COUNT(H64:J64)&gt;0))),AND(P64="DIRECTA",OR(S64="m",S64="m²",S64="m³"))),1,0))</f>
        <v>0</v>
      </c>
      <c r="AB64" s="0">
        <f>IF(LEN(TRIM(E64&amp;""))&gt;0,E64,IF(R64&gt;0,INDEX($E$13:$E$512,R64),""))</f>
      </c>
      <c r="AC64" s="0">
        <f>UPPER(SUBSTITUTE(SUBSTITUTE(SUBSTITUTE(SUBSTITUTE(SUBSTITUTE(TRIM(AB64),"²","2"),"³","3"),"^",""),".","")," ",""))</f>
      </c>
    </row>
    <row r="65" ht="35" customHeight="1">
      <c r="B65" s="35"/>
      <c r="C65" s="35"/>
      <c r="D65" s="37"/>
      <c r="E65" s="35"/>
      <c r="F65" s="38"/>
      <c r="G65" s="38"/>
      <c r="H65" s="38"/>
      <c r="I65" s="38"/>
      <c r="J65" s="38"/>
      <c r="K65" s="35"/>
      <c r="L65" s="35"/>
      <c r="M65" s="39">
        <f>IF(U65&lt;&gt;1,"",IF(P65="DIRECTA",G65,IF(ISNUMBER(G65),G65,1)*IF(ISNUMBER(H65),H65,1)*IF(ISNUMBER(I65),I65,1)*IF(ISNUMBER(J65),J65,1)))</f>
      </c>
      <c r="N65" s="30">
        <f>IF(COUNTA(B65:L65)=0,"",IF(X65=0,IF(P65="CABECERA","VERDE · Fila descriptiva; la suma usa las líneas del ID","VERDE · Datos numéricos interpretables"),IF(X65=2,"ROJO · ","ÁMBAR · ")&amp;IF(NOT(IF(ISNUMBER($E$6),AND($E$6&gt;=0,$E$6&lt;=6,$E$6=INT($E$6)),FALSE)),"Indicamos entre 0 y 6 decimales en E6. ","")&amp;IF(O65=0,"Falta un ID numérico. ","")&amp;IF(R65=0,"Faltan capítulo, código, unidad o total numérico del ID. ","")&amp;IF(T65&gt;0,"Los datos o el total del ID se contradicen. ","")&amp;IF(AND(P65&lt;&gt;"DIMENSIONES",P65&lt;&gt;"DIRECTA",P65&lt;&gt;"SIN LÍNEAS",P65&lt;&gt;"CABECERA"),"Tipo de fila no reconocido. ","")&amp;IF(AND(OR(P65="SIN LÍNEAS",P65="CABECERA"),COUNTA(G65:J65)&gt;0),"La fila dice que no mide, pero contiene medidas. ","")&amp;IF(AND(OR(P65="DIRECTA",P65="DIMENSIONES"),U65=0),"Línea incompleta o con medidas no numéricas. ","")&amp;IF(P65="SIN LÍNEAS","No constan medidas de esta fila. ","")&amp;IF(Y65&gt;0,"Parece m³: tres dimensiones bajo m². ","")&amp;IF(AND(AB65&lt;&gt;"",SUMPRODUCT(--('LÉEME'!$B$65:$B$86=AC65))&lt;&gt;1),"Revisamos el significado de la unidad. ","")&amp;IF(Z65&gt;0,"Más precisión que los decimales indicados: cotejamos el original. ","")&amp;IF(AA65&gt;0,"Revisamos dimensiones, cantidad directa, ceros o deducción. ","")))</f>
      </c>
      <c r="O65" s="0" t="n">
        <f>IF(ISNUMBER(K65),IF(AND(K65&gt;0,K65=INT(K65),K65&lt;=999999),K65,0),0)</f>
        <v>0</v>
      </c>
      <c r="P65" s="0">
        <f>IF(COUNTA(B65:L65)=0,"",IF(L65="",IF(COUNTA(G65:J65)&gt;0,"DIMENSIONES","SIN LÍNEAS"),UPPER(TRIM(L65))))</f>
      </c>
      <c r="Q65" s="0">
        <f>IF(AND(O65&gt;0,LEN(TRIM(B65&amp;""))&gt;0,LEN(TRIM(C65&amp;""))&gt;0,LEN(TRIM(E65&amp;""))&gt;0,ISNUMBER(F65)),O65,"")</f>
      </c>
      <c r="R65" s="0" t="n">
        <f>IF(O65=0,0,IF(COUNTIFS($Q$13:$Q$512,O65)&gt;0,MATCH(O65,$Q$13:$Q$512,0),0))</f>
        <v>0</v>
      </c>
      <c r="S65" s="0">
        <f>IF(AB65="","",IF(SUMPRODUCT(--('LÉEME'!$B$65:$B$86=AC65))=1,INDEX('LÉEME'!$C$65:$C$86,MATCH(AC65,'LÉEME'!$B$65:$B$86,0)),UPPER(TRIM(AB65))))</f>
      </c>
      <c r="T65" s="0" t="n">
        <f>IF(R65=0,0,IF(OR(AND(LEN(TRIM(B65&amp;""))&gt;0,UPPER(TRIM(B65&amp;""))&lt;&gt;UPPER(TRIM(INDEX($B$13:$B$512,R65)&amp;""))),AND(LEN(TRIM(C65&amp;""))&gt;0,UPPER(TRIM(C65&amp;""))&lt;&gt;UPPER(TRIM(INDEX($C$13:$C$512,R65)&amp;""))),AND(LEN(TRIM(E65&amp;""))&gt;0,S65&lt;&gt;INDEX($S$13:$S$512,R65)),AND(F65&lt;&gt;"",NOT(ISNUMBER(F65)))),1,IF(ISNUMBER(F65),IF(ABS(F65-INDEX($F$13:$F$512,R65))&gt;0.00000001,1,0),0)))</f>
        <v>0</v>
      </c>
      <c r="U65" s="0" t="n">
        <f>IF(P65="DIRECTA",IF(AND(ISNUMBER(G65),COUNTA(H65:J65)=0),1,0),IF(P65="DIMENSIONES",IF(AND(COUNT(G65:J65)&gt;0,COUNTA(G65:J65)=COUNT(G65:J65)),1,0),0))</f>
        <v>0</v>
      </c>
      <c r="V65" s="0" t="n">
        <f>IF(O65=0,0,IF(COUNTIFS($O$13:O65,O65)=1,1,0))</f>
        <v>0</v>
      </c>
      <c r="W65" s="0">
        <f>IF(V65=1,COUNTIFS($V$13:V65,1),"")</f>
      </c>
      <c r="X65" s="0">
        <f>IF(COUNTA(B65:L65)=0,"",IF(OR(NOT(IF(ISNUMBER($E$6),AND($E$6&gt;=0,$E$6&lt;=6,$E$6=INT($E$6)),FALSE)),O65=0,R65=0,T65&gt;0,AND(P65&lt;&gt;"DIMENSIONES",P65&lt;&gt;"DIRECTA",P65&lt;&gt;"SIN LÍNEAS",P65&lt;&gt;"CABECERA"),AND(OR(P65="DIRECTA",P65="DIMENSIONES"),U65=0),AND(OR(P65="SIN LÍNEAS",P65="CABECERA"),COUNTA(G65:J65)&gt;0)),2,IF(OR(P65="SIN LÍNEAS",Y65&gt;0,Z65&gt;0,AA65&gt;0,SUMPRODUCT(--('LÉEME'!$B$65:$B$86=AC65))&lt;&gt;1),1,0)))</f>
      </c>
      <c r="Y65" s="0" t="n">
        <f>IF(AND(P65="DIMENSIONES",S65="m²",COUNT(H65:J65)=3),1,0)</f>
        <v>0</v>
      </c>
      <c r="Z65" s="0" t="n">
        <f>IF(IF(ISNUMBER($E$6),AND($E$6&gt;=0,$E$6&lt;=6,$E$6=INT($E$6)),FALSE),IF(SUM(IF(ISNUMBER(F65),IF(ABS(F65-ROUND(F65,$E$6))&gt;0.00000001,1,0),0),IF(ISNUMBER(G65),IF(ABS(G65-ROUND(G65,$E$6))&gt;0.00000001,1,0),0),IF(ISNUMBER(H65),IF(ABS(H65-ROUND(H65,$E$6))&gt;0.00000001,1,0),0),IF(ISNUMBER(I65),IF(ABS(I65-ROUND(I65,$E$6))&gt;0.00000001,1,0),0),IF(ISNUMBER(J65),IF(ABS(J65-ROUND(J65,$E$6))&gt;0.00000001,1,0),0),IF(ISNUMBER(M65),IF(ABS(M65-ROUND(M65,$E$6))&gt;0.00000001,1,0),0))&gt;0,1,0),0)</f>
        <v>0</v>
      </c>
      <c r="AA65" s="0" t="n">
        <f>IF(COUNTA(B65:L65)=0,0,IF(OR(AND(ISNUMBER(F65),F65&lt;0),AND(U65=1,OR(SUM(IF(ISNUMBER(G65),IF(G65=0,1,0),0),IF(ISNUMBER(H65),IF(H65=0,1,0),0),IF(ISNUMBER(I65),IF(I65=0,1,0),0),IF(ISNUMBER(J65),IF(J65=0,1,0),0))&gt;0,COUNTIFS(G65:J65,"&lt;0")&gt;0)),AND(P65="DIMENSIONES",U65=1,OR(AND(S65="m",COUNT(H65:J65)&lt;&gt;1),AND(S65="m²",COUNT(H65:J65)&lt;&gt;2,Y65=0),AND(S65="m³",COUNT(H65:J65)&lt;&gt;3),AND(S65="ud",COUNT(H65:J65)&gt;0))),AND(P65="DIRECTA",OR(S65="m",S65="m²",S65="m³"))),1,0))</f>
        <v>0</v>
      </c>
      <c r="AB65" s="0">
        <f>IF(LEN(TRIM(E65&amp;""))&gt;0,E65,IF(R65&gt;0,INDEX($E$13:$E$512,R65),""))</f>
      </c>
      <c r="AC65" s="0">
        <f>UPPER(SUBSTITUTE(SUBSTITUTE(SUBSTITUTE(SUBSTITUTE(SUBSTITUTE(TRIM(AB65),"²","2"),"³","3"),"^",""),".","")," ",""))</f>
      </c>
    </row>
    <row r="66" ht="35" customHeight="1">
      <c r="B66" s="35"/>
      <c r="C66" s="35"/>
      <c r="D66" s="37"/>
      <c r="E66" s="35"/>
      <c r="F66" s="38"/>
      <c r="G66" s="38"/>
      <c r="H66" s="38"/>
      <c r="I66" s="38"/>
      <c r="J66" s="38"/>
      <c r="K66" s="35"/>
      <c r="L66" s="35"/>
      <c r="M66" s="39">
        <f>IF(U66&lt;&gt;1,"",IF(P66="DIRECTA",G66,IF(ISNUMBER(G66),G66,1)*IF(ISNUMBER(H66),H66,1)*IF(ISNUMBER(I66),I66,1)*IF(ISNUMBER(J66),J66,1)))</f>
      </c>
      <c r="N66" s="30">
        <f>IF(COUNTA(B66:L66)=0,"",IF(X66=0,IF(P66="CABECERA","VERDE · Fila descriptiva; la suma usa las líneas del ID","VERDE · Datos numéricos interpretables"),IF(X66=2,"ROJO · ","ÁMBAR · ")&amp;IF(NOT(IF(ISNUMBER($E$6),AND($E$6&gt;=0,$E$6&lt;=6,$E$6=INT($E$6)),FALSE)),"Indicamos entre 0 y 6 decimales en E6. ","")&amp;IF(O66=0,"Falta un ID numérico. ","")&amp;IF(R66=0,"Faltan capítulo, código, unidad o total numérico del ID. ","")&amp;IF(T66&gt;0,"Los datos o el total del ID se contradicen. ","")&amp;IF(AND(P66&lt;&gt;"DIMENSIONES",P66&lt;&gt;"DIRECTA",P66&lt;&gt;"SIN LÍNEAS",P66&lt;&gt;"CABECERA"),"Tipo de fila no reconocido. ","")&amp;IF(AND(OR(P66="SIN LÍNEAS",P66="CABECERA"),COUNTA(G66:J66)&gt;0),"La fila dice que no mide, pero contiene medidas. ","")&amp;IF(AND(OR(P66="DIRECTA",P66="DIMENSIONES"),U66=0),"Línea incompleta o con medidas no numéricas. ","")&amp;IF(P66="SIN LÍNEAS","No constan medidas de esta fila. ","")&amp;IF(Y66&gt;0,"Parece m³: tres dimensiones bajo m². ","")&amp;IF(AND(AB66&lt;&gt;"",SUMPRODUCT(--('LÉEME'!$B$65:$B$86=AC66))&lt;&gt;1),"Revisamos el significado de la unidad. ","")&amp;IF(Z66&gt;0,"Más precisión que los decimales indicados: cotejamos el original. ","")&amp;IF(AA66&gt;0,"Revisamos dimensiones, cantidad directa, ceros o deducción. ","")))</f>
      </c>
      <c r="O66" s="0" t="n">
        <f>IF(ISNUMBER(K66),IF(AND(K66&gt;0,K66=INT(K66),K66&lt;=999999),K66,0),0)</f>
        <v>0</v>
      </c>
      <c r="P66" s="0">
        <f>IF(COUNTA(B66:L66)=0,"",IF(L66="",IF(COUNTA(G66:J66)&gt;0,"DIMENSIONES","SIN LÍNEAS"),UPPER(TRIM(L66))))</f>
      </c>
      <c r="Q66" s="0">
        <f>IF(AND(O66&gt;0,LEN(TRIM(B66&amp;""))&gt;0,LEN(TRIM(C66&amp;""))&gt;0,LEN(TRIM(E66&amp;""))&gt;0,ISNUMBER(F66)),O66,"")</f>
      </c>
      <c r="R66" s="0" t="n">
        <f>IF(O66=0,0,IF(COUNTIFS($Q$13:$Q$512,O66)&gt;0,MATCH(O66,$Q$13:$Q$512,0),0))</f>
        <v>0</v>
      </c>
      <c r="S66" s="0">
        <f>IF(AB66="","",IF(SUMPRODUCT(--('LÉEME'!$B$65:$B$86=AC66))=1,INDEX('LÉEME'!$C$65:$C$86,MATCH(AC66,'LÉEME'!$B$65:$B$86,0)),UPPER(TRIM(AB66))))</f>
      </c>
      <c r="T66" s="0" t="n">
        <f>IF(R66=0,0,IF(OR(AND(LEN(TRIM(B66&amp;""))&gt;0,UPPER(TRIM(B66&amp;""))&lt;&gt;UPPER(TRIM(INDEX($B$13:$B$512,R66)&amp;""))),AND(LEN(TRIM(C66&amp;""))&gt;0,UPPER(TRIM(C66&amp;""))&lt;&gt;UPPER(TRIM(INDEX($C$13:$C$512,R66)&amp;""))),AND(LEN(TRIM(E66&amp;""))&gt;0,S66&lt;&gt;INDEX($S$13:$S$512,R66)),AND(F66&lt;&gt;"",NOT(ISNUMBER(F66)))),1,IF(ISNUMBER(F66),IF(ABS(F66-INDEX($F$13:$F$512,R66))&gt;0.00000001,1,0),0)))</f>
        <v>0</v>
      </c>
      <c r="U66" s="0" t="n">
        <f>IF(P66="DIRECTA",IF(AND(ISNUMBER(G66),COUNTA(H66:J66)=0),1,0),IF(P66="DIMENSIONES",IF(AND(COUNT(G66:J66)&gt;0,COUNTA(G66:J66)=COUNT(G66:J66)),1,0),0))</f>
        <v>0</v>
      </c>
      <c r="V66" s="0" t="n">
        <f>IF(O66=0,0,IF(COUNTIFS($O$13:O66,O66)=1,1,0))</f>
        <v>0</v>
      </c>
      <c r="W66" s="0">
        <f>IF(V66=1,COUNTIFS($V$13:V66,1),"")</f>
      </c>
      <c r="X66" s="0">
        <f>IF(COUNTA(B66:L66)=0,"",IF(OR(NOT(IF(ISNUMBER($E$6),AND($E$6&gt;=0,$E$6&lt;=6,$E$6=INT($E$6)),FALSE)),O66=0,R66=0,T66&gt;0,AND(P66&lt;&gt;"DIMENSIONES",P66&lt;&gt;"DIRECTA",P66&lt;&gt;"SIN LÍNEAS",P66&lt;&gt;"CABECERA"),AND(OR(P66="DIRECTA",P66="DIMENSIONES"),U66=0),AND(OR(P66="SIN LÍNEAS",P66="CABECERA"),COUNTA(G66:J66)&gt;0)),2,IF(OR(P66="SIN LÍNEAS",Y66&gt;0,Z66&gt;0,AA66&gt;0,SUMPRODUCT(--('LÉEME'!$B$65:$B$86=AC66))&lt;&gt;1),1,0)))</f>
      </c>
      <c r="Y66" s="0" t="n">
        <f>IF(AND(P66="DIMENSIONES",S66="m²",COUNT(H66:J66)=3),1,0)</f>
        <v>0</v>
      </c>
      <c r="Z66" s="0" t="n">
        <f>IF(IF(ISNUMBER($E$6),AND($E$6&gt;=0,$E$6&lt;=6,$E$6=INT($E$6)),FALSE),IF(SUM(IF(ISNUMBER(F66),IF(ABS(F66-ROUND(F66,$E$6))&gt;0.00000001,1,0),0),IF(ISNUMBER(G66),IF(ABS(G66-ROUND(G66,$E$6))&gt;0.00000001,1,0),0),IF(ISNUMBER(H66),IF(ABS(H66-ROUND(H66,$E$6))&gt;0.00000001,1,0),0),IF(ISNUMBER(I66),IF(ABS(I66-ROUND(I66,$E$6))&gt;0.00000001,1,0),0),IF(ISNUMBER(J66),IF(ABS(J66-ROUND(J66,$E$6))&gt;0.00000001,1,0),0),IF(ISNUMBER(M66),IF(ABS(M66-ROUND(M66,$E$6))&gt;0.00000001,1,0),0))&gt;0,1,0),0)</f>
        <v>0</v>
      </c>
      <c r="AA66" s="0" t="n">
        <f>IF(COUNTA(B66:L66)=0,0,IF(OR(AND(ISNUMBER(F66),F66&lt;0),AND(U66=1,OR(SUM(IF(ISNUMBER(G66),IF(G66=0,1,0),0),IF(ISNUMBER(H66),IF(H66=0,1,0),0),IF(ISNUMBER(I66),IF(I66=0,1,0),0),IF(ISNUMBER(J66),IF(J66=0,1,0),0))&gt;0,COUNTIFS(G66:J66,"&lt;0")&gt;0)),AND(P66="DIMENSIONES",U66=1,OR(AND(S66="m",COUNT(H66:J66)&lt;&gt;1),AND(S66="m²",COUNT(H66:J66)&lt;&gt;2,Y66=0),AND(S66="m³",COUNT(H66:J66)&lt;&gt;3),AND(S66="ud",COUNT(H66:J66)&gt;0))),AND(P66="DIRECTA",OR(S66="m",S66="m²",S66="m³"))),1,0))</f>
        <v>0</v>
      </c>
      <c r="AB66" s="0">
        <f>IF(LEN(TRIM(E66&amp;""))&gt;0,E66,IF(R66&gt;0,INDEX($E$13:$E$512,R66),""))</f>
      </c>
      <c r="AC66" s="0">
        <f>UPPER(SUBSTITUTE(SUBSTITUTE(SUBSTITUTE(SUBSTITUTE(SUBSTITUTE(TRIM(AB66),"²","2"),"³","3"),"^",""),".","")," ",""))</f>
      </c>
    </row>
    <row r="67" ht="35" customHeight="1">
      <c r="B67" s="35"/>
      <c r="C67" s="35"/>
      <c r="D67" s="37"/>
      <c r="E67" s="35"/>
      <c r="F67" s="38"/>
      <c r="G67" s="38"/>
      <c r="H67" s="38"/>
      <c r="I67" s="38"/>
      <c r="J67" s="38"/>
      <c r="K67" s="35"/>
      <c r="L67" s="35"/>
      <c r="M67" s="39">
        <f>IF(U67&lt;&gt;1,"",IF(P67="DIRECTA",G67,IF(ISNUMBER(G67),G67,1)*IF(ISNUMBER(H67),H67,1)*IF(ISNUMBER(I67),I67,1)*IF(ISNUMBER(J67),J67,1)))</f>
      </c>
      <c r="N67" s="30">
        <f>IF(COUNTA(B67:L67)=0,"",IF(X67=0,IF(P67="CABECERA","VERDE · Fila descriptiva; la suma usa las líneas del ID","VERDE · Datos numéricos interpretables"),IF(X67=2,"ROJO · ","ÁMBAR · ")&amp;IF(NOT(IF(ISNUMBER($E$6),AND($E$6&gt;=0,$E$6&lt;=6,$E$6=INT($E$6)),FALSE)),"Indicamos entre 0 y 6 decimales en E6. ","")&amp;IF(O67=0,"Falta un ID numérico. ","")&amp;IF(R67=0,"Faltan capítulo, código, unidad o total numérico del ID. ","")&amp;IF(T67&gt;0,"Los datos o el total del ID se contradicen. ","")&amp;IF(AND(P67&lt;&gt;"DIMENSIONES",P67&lt;&gt;"DIRECTA",P67&lt;&gt;"SIN LÍNEAS",P67&lt;&gt;"CABECERA"),"Tipo de fila no reconocido. ","")&amp;IF(AND(OR(P67="SIN LÍNEAS",P67="CABECERA"),COUNTA(G67:J67)&gt;0),"La fila dice que no mide, pero contiene medidas. ","")&amp;IF(AND(OR(P67="DIRECTA",P67="DIMENSIONES"),U67=0),"Línea incompleta o con medidas no numéricas. ","")&amp;IF(P67="SIN LÍNEAS","No constan medidas de esta fila. ","")&amp;IF(Y67&gt;0,"Parece m³: tres dimensiones bajo m². ","")&amp;IF(AND(AB67&lt;&gt;"",SUMPRODUCT(--('LÉEME'!$B$65:$B$86=AC67))&lt;&gt;1),"Revisamos el significado de la unidad. ","")&amp;IF(Z67&gt;0,"Más precisión que los decimales indicados: cotejamos el original. ","")&amp;IF(AA67&gt;0,"Revisamos dimensiones, cantidad directa, ceros o deducción. ","")))</f>
      </c>
      <c r="O67" s="0" t="n">
        <f>IF(ISNUMBER(K67),IF(AND(K67&gt;0,K67=INT(K67),K67&lt;=999999),K67,0),0)</f>
        <v>0</v>
      </c>
      <c r="P67" s="0">
        <f>IF(COUNTA(B67:L67)=0,"",IF(L67="",IF(COUNTA(G67:J67)&gt;0,"DIMENSIONES","SIN LÍNEAS"),UPPER(TRIM(L67))))</f>
      </c>
      <c r="Q67" s="0">
        <f>IF(AND(O67&gt;0,LEN(TRIM(B67&amp;""))&gt;0,LEN(TRIM(C67&amp;""))&gt;0,LEN(TRIM(E67&amp;""))&gt;0,ISNUMBER(F67)),O67,"")</f>
      </c>
      <c r="R67" s="0" t="n">
        <f>IF(O67=0,0,IF(COUNTIFS($Q$13:$Q$512,O67)&gt;0,MATCH(O67,$Q$13:$Q$512,0),0))</f>
        <v>0</v>
      </c>
      <c r="S67" s="0">
        <f>IF(AB67="","",IF(SUMPRODUCT(--('LÉEME'!$B$65:$B$86=AC67))=1,INDEX('LÉEME'!$C$65:$C$86,MATCH(AC67,'LÉEME'!$B$65:$B$86,0)),UPPER(TRIM(AB67))))</f>
      </c>
      <c r="T67" s="0" t="n">
        <f>IF(R67=0,0,IF(OR(AND(LEN(TRIM(B67&amp;""))&gt;0,UPPER(TRIM(B67&amp;""))&lt;&gt;UPPER(TRIM(INDEX($B$13:$B$512,R67)&amp;""))),AND(LEN(TRIM(C67&amp;""))&gt;0,UPPER(TRIM(C67&amp;""))&lt;&gt;UPPER(TRIM(INDEX($C$13:$C$512,R67)&amp;""))),AND(LEN(TRIM(E67&amp;""))&gt;0,S67&lt;&gt;INDEX($S$13:$S$512,R67)),AND(F67&lt;&gt;"",NOT(ISNUMBER(F67)))),1,IF(ISNUMBER(F67),IF(ABS(F67-INDEX($F$13:$F$512,R67))&gt;0.00000001,1,0),0)))</f>
        <v>0</v>
      </c>
      <c r="U67" s="0" t="n">
        <f>IF(P67="DIRECTA",IF(AND(ISNUMBER(G67),COUNTA(H67:J67)=0),1,0),IF(P67="DIMENSIONES",IF(AND(COUNT(G67:J67)&gt;0,COUNTA(G67:J67)=COUNT(G67:J67)),1,0),0))</f>
        <v>0</v>
      </c>
      <c r="V67" s="0" t="n">
        <f>IF(O67=0,0,IF(COUNTIFS($O$13:O67,O67)=1,1,0))</f>
        <v>0</v>
      </c>
      <c r="W67" s="0">
        <f>IF(V67=1,COUNTIFS($V$13:V67,1),"")</f>
      </c>
      <c r="X67" s="0">
        <f>IF(COUNTA(B67:L67)=0,"",IF(OR(NOT(IF(ISNUMBER($E$6),AND($E$6&gt;=0,$E$6&lt;=6,$E$6=INT($E$6)),FALSE)),O67=0,R67=0,T67&gt;0,AND(P67&lt;&gt;"DIMENSIONES",P67&lt;&gt;"DIRECTA",P67&lt;&gt;"SIN LÍNEAS",P67&lt;&gt;"CABECERA"),AND(OR(P67="DIRECTA",P67="DIMENSIONES"),U67=0),AND(OR(P67="SIN LÍNEAS",P67="CABECERA"),COUNTA(G67:J67)&gt;0)),2,IF(OR(P67="SIN LÍNEAS",Y67&gt;0,Z67&gt;0,AA67&gt;0,SUMPRODUCT(--('LÉEME'!$B$65:$B$86=AC67))&lt;&gt;1),1,0)))</f>
      </c>
      <c r="Y67" s="0" t="n">
        <f>IF(AND(P67="DIMENSIONES",S67="m²",COUNT(H67:J67)=3),1,0)</f>
        <v>0</v>
      </c>
      <c r="Z67" s="0" t="n">
        <f>IF(IF(ISNUMBER($E$6),AND($E$6&gt;=0,$E$6&lt;=6,$E$6=INT($E$6)),FALSE),IF(SUM(IF(ISNUMBER(F67),IF(ABS(F67-ROUND(F67,$E$6))&gt;0.00000001,1,0),0),IF(ISNUMBER(G67),IF(ABS(G67-ROUND(G67,$E$6))&gt;0.00000001,1,0),0),IF(ISNUMBER(H67),IF(ABS(H67-ROUND(H67,$E$6))&gt;0.00000001,1,0),0),IF(ISNUMBER(I67),IF(ABS(I67-ROUND(I67,$E$6))&gt;0.00000001,1,0),0),IF(ISNUMBER(J67),IF(ABS(J67-ROUND(J67,$E$6))&gt;0.00000001,1,0),0),IF(ISNUMBER(M67),IF(ABS(M67-ROUND(M67,$E$6))&gt;0.00000001,1,0),0))&gt;0,1,0),0)</f>
        <v>0</v>
      </c>
      <c r="AA67" s="0" t="n">
        <f>IF(COUNTA(B67:L67)=0,0,IF(OR(AND(ISNUMBER(F67),F67&lt;0),AND(U67=1,OR(SUM(IF(ISNUMBER(G67),IF(G67=0,1,0),0),IF(ISNUMBER(H67),IF(H67=0,1,0),0),IF(ISNUMBER(I67),IF(I67=0,1,0),0),IF(ISNUMBER(J67),IF(J67=0,1,0),0))&gt;0,COUNTIFS(G67:J67,"&lt;0")&gt;0)),AND(P67="DIMENSIONES",U67=1,OR(AND(S67="m",COUNT(H67:J67)&lt;&gt;1),AND(S67="m²",COUNT(H67:J67)&lt;&gt;2,Y67=0),AND(S67="m³",COUNT(H67:J67)&lt;&gt;3),AND(S67="ud",COUNT(H67:J67)&gt;0))),AND(P67="DIRECTA",OR(S67="m",S67="m²",S67="m³"))),1,0))</f>
        <v>0</v>
      </c>
      <c r="AB67" s="0">
        <f>IF(LEN(TRIM(E67&amp;""))&gt;0,E67,IF(R67&gt;0,INDEX($E$13:$E$512,R67),""))</f>
      </c>
      <c r="AC67" s="0">
        <f>UPPER(SUBSTITUTE(SUBSTITUTE(SUBSTITUTE(SUBSTITUTE(SUBSTITUTE(TRIM(AB67),"²","2"),"³","3"),"^",""),".","")," ",""))</f>
      </c>
    </row>
    <row r="68" ht="35" customHeight="1">
      <c r="B68" s="35"/>
      <c r="C68" s="35"/>
      <c r="D68" s="37"/>
      <c r="E68" s="35"/>
      <c r="F68" s="38"/>
      <c r="G68" s="38"/>
      <c r="H68" s="38"/>
      <c r="I68" s="38"/>
      <c r="J68" s="38"/>
      <c r="K68" s="35"/>
      <c r="L68" s="35"/>
      <c r="M68" s="39">
        <f>IF(U68&lt;&gt;1,"",IF(P68="DIRECTA",G68,IF(ISNUMBER(G68),G68,1)*IF(ISNUMBER(H68),H68,1)*IF(ISNUMBER(I68),I68,1)*IF(ISNUMBER(J68),J68,1)))</f>
      </c>
      <c r="N68" s="30">
        <f>IF(COUNTA(B68:L68)=0,"",IF(X68=0,IF(P68="CABECERA","VERDE · Fila descriptiva; la suma usa las líneas del ID","VERDE · Datos numéricos interpretables"),IF(X68=2,"ROJO · ","ÁMBAR · ")&amp;IF(NOT(IF(ISNUMBER($E$6),AND($E$6&gt;=0,$E$6&lt;=6,$E$6=INT($E$6)),FALSE)),"Indicamos entre 0 y 6 decimales en E6. ","")&amp;IF(O68=0,"Falta un ID numérico. ","")&amp;IF(R68=0,"Faltan capítulo, código, unidad o total numérico del ID. ","")&amp;IF(T68&gt;0,"Los datos o el total del ID se contradicen. ","")&amp;IF(AND(P68&lt;&gt;"DIMENSIONES",P68&lt;&gt;"DIRECTA",P68&lt;&gt;"SIN LÍNEAS",P68&lt;&gt;"CABECERA"),"Tipo de fila no reconocido. ","")&amp;IF(AND(OR(P68="SIN LÍNEAS",P68="CABECERA"),COUNTA(G68:J68)&gt;0),"La fila dice que no mide, pero contiene medidas. ","")&amp;IF(AND(OR(P68="DIRECTA",P68="DIMENSIONES"),U68=0),"Línea incompleta o con medidas no numéricas. ","")&amp;IF(P68="SIN LÍNEAS","No constan medidas de esta fila. ","")&amp;IF(Y68&gt;0,"Parece m³: tres dimensiones bajo m². ","")&amp;IF(AND(AB68&lt;&gt;"",SUMPRODUCT(--('LÉEME'!$B$65:$B$86=AC68))&lt;&gt;1),"Revisamos el significado de la unidad. ","")&amp;IF(Z68&gt;0,"Más precisión que los decimales indicados: cotejamos el original. ","")&amp;IF(AA68&gt;0,"Revisamos dimensiones, cantidad directa, ceros o deducción. ","")))</f>
      </c>
      <c r="O68" s="0" t="n">
        <f>IF(ISNUMBER(K68),IF(AND(K68&gt;0,K68=INT(K68),K68&lt;=999999),K68,0),0)</f>
        <v>0</v>
      </c>
      <c r="P68" s="0">
        <f>IF(COUNTA(B68:L68)=0,"",IF(L68="",IF(COUNTA(G68:J68)&gt;0,"DIMENSIONES","SIN LÍNEAS"),UPPER(TRIM(L68))))</f>
      </c>
      <c r="Q68" s="0">
        <f>IF(AND(O68&gt;0,LEN(TRIM(B68&amp;""))&gt;0,LEN(TRIM(C68&amp;""))&gt;0,LEN(TRIM(E68&amp;""))&gt;0,ISNUMBER(F68)),O68,"")</f>
      </c>
      <c r="R68" s="0" t="n">
        <f>IF(O68=0,0,IF(COUNTIFS($Q$13:$Q$512,O68)&gt;0,MATCH(O68,$Q$13:$Q$512,0),0))</f>
        <v>0</v>
      </c>
      <c r="S68" s="0">
        <f>IF(AB68="","",IF(SUMPRODUCT(--('LÉEME'!$B$65:$B$86=AC68))=1,INDEX('LÉEME'!$C$65:$C$86,MATCH(AC68,'LÉEME'!$B$65:$B$86,0)),UPPER(TRIM(AB68))))</f>
      </c>
      <c r="T68" s="0" t="n">
        <f>IF(R68=0,0,IF(OR(AND(LEN(TRIM(B68&amp;""))&gt;0,UPPER(TRIM(B68&amp;""))&lt;&gt;UPPER(TRIM(INDEX($B$13:$B$512,R68)&amp;""))),AND(LEN(TRIM(C68&amp;""))&gt;0,UPPER(TRIM(C68&amp;""))&lt;&gt;UPPER(TRIM(INDEX($C$13:$C$512,R68)&amp;""))),AND(LEN(TRIM(E68&amp;""))&gt;0,S68&lt;&gt;INDEX($S$13:$S$512,R68)),AND(F68&lt;&gt;"",NOT(ISNUMBER(F68)))),1,IF(ISNUMBER(F68),IF(ABS(F68-INDEX($F$13:$F$512,R68))&gt;0.00000001,1,0),0)))</f>
        <v>0</v>
      </c>
      <c r="U68" s="0" t="n">
        <f>IF(P68="DIRECTA",IF(AND(ISNUMBER(G68),COUNTA(H68:J68)=0),1,0),IF(P68="DIMENSIONES",IF(AND(COUNT(G68:J68)&gt;0,COUNTA(G68:J68)=COUNT(G68:J68)),1,0),0))</f>
        <v>0</v>
      </c>
      <c r="V68" s="0" t="n">
        <f>IF(O68=0,0,IF(COUNTIFS($O$13:O68,O68)=1,1,0))</f>
        <v>0</v>
      </c>
      <c r="W68" s="0">
        <f>IF(V68=1,COUNTIFS($V$13:V68,1),"")</f>
      </c>
      <c r="X68" s="0">
        <f>IF(COUNTA(B68:L68)=0,"",IF(OR(NOT(IF(ISNUMBER($E$6),AND($E$6&gt;=0,$E$6&lt;=6,$E$6=INT($E$6)),FALSE)),O68=0,R68=0,T68&gt;0,AND(P68&lt;&gt;"DIMENSIONES",P68&lt;&gt;"DIRECTA",P68&lt;&gt;"SIN LÍNEAS",P68&lt;&gt;"CABECERA"),AND(OR(P68="DIRECTA",P68="DIMENSIONES"),U68=0),AND(OR(P68="SIN LÍNEAS",P68="CABECERA"),COUNTA(G68:J68)&gt;0)),2,IF(OR(P68="SIN LÍNEAS",Y68&gt;0,Z68&gt;0,AA68&gt;0,SUMPRODUCT(--('LÉEME'!$B$65:$B$86=AC68))&lt;&gt;1),1,0)))</f>
      </c>
      <c r="Y68" s="0" t="n">
        <f>IF(AND(P68="DIMENSIONES",S68="m²",COUNT(H68:J68)=3),1,0)</f>
        <v>0</v>
      </c>
      <c r="Z68" s="0" t="n">
        <f>IF(IF(ISNUMBER($E$6),AND($E$6&gt;=0,$E$6&lt;=6,$E$6=INT($E$6)),FALSE),IF(SUM(IF(ISNUMBER(F68),IF(ABS(F68-ROUND(F68,$E$6))&gt;0.00000001,1,0),0),IF(ISNUMBER(G68),IF(ABS(G68-ROUND(G68,$E$6))&gt;0.00000001,1,0),0),IF(ISNUMBER(H68),IF(ABS(H68-ROUND(H68,$E$6))&gt;0.00000001,1,0),0),IF(ISNUMBER(I68),IF(ABS(I68-ROUND(I68,$E$6))&gt;0.00000001,1,0),0),IF(ISNUMBER(J68),IF(ABS(J68-ROUND(J68,$E$6))&gt;0.00000001,1,0),0),IF(ISNUMBER(M68),IF(ABS(M68-ROUND(M68,$E$6))&gt;0.00000001,1,0),0))&gt;0,1,0),0)</f>
        <v>0</v>
      </c>
      <c r="AA68" s="0" t="n">
        <f>IF(COUNTA(B68:L68)=0,0,IF(OR(AND(ISNUMBER(F68),F68&lt;0),AND(U68=1,OR(SUM(IF(ISNUMBER(G68),IF(G68=0,1,0),0),IF(ISNUMBER(H68),IF(H68=0,1,0),0),IF(ISNUMBER(I68),IF(I68=0,1,0),0),IF(ISNUMBER(J68),IF(J68=0,1,0),0))&gt;0,COUNTIFS(G68:J68,"&lt;0")&gt;0)),AND(P68="DIMENSIONES",U68=1,OR(AND(S68="m",COUNT(H68:J68)&lt;&gt;1),AND(S68="m²",COUNT(H68:J68)&lt;&gt;2,Y68=0),AND(S68="m³",COUNT(H68:J68)&lt;&gt;3),AND(S68="ud",COUNT(H68:J68)&gt;0))),AND(P68="DIRECTA",OR(S68="m",S68="m²",S68="m³"))),1,0))</f>
        <v>0</v>
      </c>
      <c r="AB68" s="0">
        <f>IF(LEN(TRIM(E68&amp;""))&gt;0,E68,IF(R68&gt;0,INDEX($E$13:$E$512,R68),""))</f>
      </c>
      <c r="AC68" s="0">
        <f>UPPER(SUBSTITUTE(SUBSTITUTE(SUBSTITUTE(SUBSTITUTE(SUBSTITUTE(TRIM(AB68),"²","2"),"³","3"),"^",""),".","")," ",""))</f>
      </c>
    </row>
    <row r="69" ht="35" customHeight="1">
      <c r="B69" s="35"/>
      <c r="C69" s="35"/>
      <c r="D69" s="37"/>
      <c r="E69" s="35"/>
      <c r="F69" s="38"/>
      <c r="G69" s="38"/>
      <c r="H69" s="38"/>
      <c r="I69" s="38"/>
      <c r="J69" s="38"/>
      <c r="K69" s="35"/>
      <c r="L69" s="35"/>
      <c r="M69" s="39">
        <f>IF(U69&lt;&gt;1,"",IF(P69="DIRECTA",G69,IF(ISNUMBER(G69),G69,1)*IF(ISNUMBER(H69),H69,1)*IF(ISNUMBER(I69),I69,1)*IF(ISNUMBER(J69),J69,1)))</f>
      </c>
      <c r="N69" s="30">
        <f>IF(COUNTA(B69:L69)=0,"",IF(X69=0,IF(P69="CABECERA","VERDE · Fila descriptiva; la suma usa las líneas del ID","VERDE · Datos numéricos interpretables"),IF(X69=2,"ROJO · ","ÁMBAR · ")&amp;IF(NOT(IF(ISNUMBER($E$6),AND($E$6&gt;=0,$E$6&lt;=6,$E$6=INT($E$6)),FALSE)),"Indicamos entre 0 y 6 decimales en E6. ","")&amp;IF(O69=0,"Falta un ID numérico. ","")&amp;IF(R69=0,"Faltan capítulo, código, unidad o total numérico del ID. ","")&amp;IF(T69&gt;0,"Los datos o el total del ID se contradicen. ","")&amp;IF(AND(P69&lt;&gt;"DIMENSIONES",P69&lt;&gt;"DIRECTA",P69&lt;&gt;"SIN LÍNEAS",P69&lt;&gt;"CABECERA"),"Tipo de fila no reconocido. ","")&amp;IF(AND(OR(P69="SIN LÍNEAS",P69="CABECERA"),COUNTA(G69:J69)&gt;0),"La fila dice que no mide, pero contiene medidas. ","")&amp;IF(AND(OR(P69="DIRECTA",P69="DIMENSIONES"),U69=0),"Línea incompleta o con medidas no numéricas. ","")&amp;IF(P69="SIN LÍNEAS","No constan medidas de esta fila. ","")&amp;IF(Y69&gt;0,"Parece m³: tres dimensiones bajo m². ","")&amp;IF(AND(AB69&lt;&gt;"",SUMPRODUCT(--('LÉEME'!$B$65:$B$86=AC69))&lt;&gt;1),"Revisamos el significado de la unidad. ","")&amp;IF(Z69&gt;0,"Más precisión que los decimales indicados: cotejamos el original. ","")&amp;IF(AA69&gt;0,"Revisamos dimensiones, cantidad directa, ceros o deducción. ","")))</f>
      </c>
      <c r="O69" s="0" t="n">
        <f>IF(ISNUMBER(K69),IF(AND(K69&gt;0,K69=INT(K69),K69&lt;=999999),K69,0),0)</f>
        <v>0</v>
      </c>
      <c r="P69" s="0">
        <f>IF(COUNTA(B69:L69)=0,"",IF(L69="",IF(COUNTA(G69:J69)&gt;0,"DIMENSIONES","SIN LÍNEAS"),UPPER(TRIM(L69))))</f>
      </c>
      <c r="Q69" s="0">
        <f>IF(AND(O69&gt;0,LEN(TRIM(B69&amp;""))&gt;0,LEN(TRIM(C69&amp;""))&gt;0,LEN(TRIM(E69&amp;""))&gt;0,ISNUMBER(F69)),O69,"")</f>
      </c>
      <c r="R69" s="0" t="n">
        <f>IF(O69=0,0,IF(COUNTIFS($Q$13:$Q$512,O69)&gt;0,MATCH(O69,$Q$13:$Q$512,0),0))</f>
        <v>0</v>
      </c>
      <c r="S69" s="0">
        <f>IF(AB69="","",IF(SUMPRODUCT(--('LÉEME'!$B$65:$B$86=AC69))=1,INDEX('LÉEME'!$C$65:$C$86,MATCH(AC69,'LÉEME'!$B$65:$B$86,0)),UPPER(TRIM(AB69))))</f>
      </c>
      <c r="T69" s="0" t="n">
        <f>IF(R69=0,0,IF(OR(AND(LEN(TRIM(B69&amp;""))&gt;0,UPPER(TRIM(B69&amp;""))&lt;&gt;UPPER(TRIM(INDEX($B$13:$B$512,R69)&amp;""))),AND(LEN(TRIM(C69&amp;""))&gt;0,UPPER(TRIM(C69&amp;""))&lt;&gt;UPPER(TRIM(INDEX($C$13:$C$512,R69)&amp;""))),AND(LEN(TRIM(E69&amp;""))&gt;0,S69&lt;&gt;INDEX($S$13:$S$512,R69)),AND(F69&lt;&gt;"",NOT(ISNUMBER(F69)))),1,IF(ISNUMBER(F69),IF(ABS(F69-INDEX($F$13:$F$512,R69))&gt;0.00000001,1,0),0)))</f>
        <v>0</v>
      </c>
      <c r="U69" s="0" t="n">
        <f>IF(P69="DIRECTA",IF(AND(ISNUMBER(G69),COUNTA(H69:J69)=0),1,0),IF(P69="DIMENSIONES",IF(AND(COUNT(G69:J69)&gt;0,COUNTA(G69:J69)=COUNT(G69:J69)),1,0),0))</f>
        <v>0</v>
      </c>
      <c r="V69" s="0" t="n">
        <f>IF(O69=0,0,IF(COUNTIFS($O$13:O69,O69)=1,1,0))</f>
        <v>0</v>
      </c>
      <c r="W69" s="0">
        <f>IF(V69=1,COUNTIFS($V$13:V69,1),"")</f>
      </c>
      <c r="X69" s="0">
        <f>IF(COUNTA(B69:L69)=0,"",IF(OR(NOT(IF(ISNUMBER($E$6),AND($E$6&gt;=0,$E$6&lt;=6,$E$6=INT($E$6)),FALSE)),O69=0,R69=0,T69&gt;0,AND(P69&lt;&gt;"DIMENSIONES",P69&lt;&gt;"DIRECTA",P69&lt;&gt;"SIN LÍNEAS",P69&lt;&gt;"CABECERA"),AND(OR(P69="DIRECTA",P69="DIMENSIONES"),U69=0),AND(OR(P69="SIN LÍNEAS",P69="CABECERA"),COUNTA(G69:J69)&gt;0)),2,IF(OR(P69="SIN LÍNEAS",Y69&gt;0,Z69&gt;0,AA69&gt;0,SUMPRODUCT(--('LÉEME'!$B$65:$B$86=AC69))&lt;&gt;1),1,0)))</f>
      </c>
      <c r="Y69" s="0" t="n">
        <f>IF(AND(P69="DIMENSIONES",S69="m²",COUNT(H69:J69)=3),1,0)</f>
        <v>0</v>
      </c>
      <c r="Z69" s="0" t="n">
        <f>IF(IF(ISNUMBER($E$6),AND($E$6&gt;=0,$E$6&lt;=6,$E$6=INT($E$6)),FALSE),IF(SUM(IF(ISNUMBER(F69),IF(ABS(F69-ROUND(F69,$E$6))&gt;0.00000001,1,0),0),IF(ISNUMBER(G69),IF(ABS(G69-ROUND(G69,$E$6))&gt;0.00000001,1,0),0),IF(ISNUMBER(H69),IF(ABS(H69-ROUND(H69,$E$6))&gt;0.00000001,1,0),0),IF(ISNUMBER(I69),IF(ABS(I69-ROUND(I69,$E$6))&gt;0.00000001,1,0),0),IF(ISNUMBER(J69),IF(ABS(J69-ROUND(J69,$E$6))&gt;0.00000001,1,0),0),IF(ISNUMBER(M69),IF(ABS(M69-ROUND(M69,$E$6))&gt;0.00000001,1,0),0))&gt;0,1,0),0)</f>
        <v>0</v>
      </c>
      <c r="AA69" s="0" t="n">
        <f>IF(COUNTA(B69:L69)=0,0,IF(OR(AND(ISNUMBER(F69),F69&lt;0),AND(U69=1,OR(SUM(IF(ISNUMBER(G69),IF(G69=0,1,0),0),IF(ISNUMBER(H69),IF(H69=0,1,0),0),IF(ISNUMBER(I69),IF(I69=0,1,0),0),IF(ISNUMBER(J69),IF(J69=0,1,0),0))&gt;0,COUNTIFS(G69:J69,"&lt;0")&gt;0)),AND(P69="DIMENSIONES",U69=1,OR(AND(S69="m",COUNT(H69:J69)&lt;&gt;1),AND(S69="m²",COUNT(H69:J69)&lt;&gt;2,Y69=0),AND(S69="m³",COUNT(H69:J69)&lt;&gt;3),AND(S69="ud",COUNT(H69:J69)&gt;0))),AND(P69="DIRECTA",OR(S69="m",S69="m²",S69="m³"))),1,0))</f>
        <v>0</v>
      </c>
      <c r="AB69" s="0">
        <f>IF(LEN(TRIM(E69&amp;""))&gt;0,E69,IF(R69&gt;0,INDEX($E$13:$E$512,R69),""))</f>
      </c>
      <c r="AC69" s="0">
        <f>UPPER(SUBSTITUTE(SUBSTITUTE(SUBSTITUTE(SUBSTITUTE(SUBSTITUTE(TRIM(AB69),"²","2"),"³","3"),"^",""),".","")," ",""))</f>
      </c>
    </row>
    <row r="70" ht="35" customHeight="1">
      <c r="B70" s="35"/>
      <c r="C70" s="35"/>
      <c r="D70" s="37"/>
      <c r="E70" s="35"/>
      <c r="F70" s="38"/>
      <c r="G70" s="38"/>
      <c r="H70" s="38"/>
      <c r="I70" s="38"/>
      <c r="J70" s="38"/>
      <c r="K70" s="35"/>
      <c r="L70" s="35"/>
      <c r="M70" s="39">
        <f>IF(U70&lt;&gt;1,"",IF(P70="DIRECTA",G70,IF(ISNUMBER(G70),G70,1)*IF(ISNUMBER(H70),H70,1)*IF(ISNUMBER(I70),I70,1)*IF(ISNUMBER(J70),J70,1)))</f>
      </c>
      <c r="N70" s="30">
        <f>IF(COUNTA(B70:L70)=0,"",IF(X70=0,IF(P70="CABECERA","VERDE · Fila descriptiva; la suma usa las líneas del ID","VERDE · Datos numéricos interpretables"),IF(X70=2,"ROJO · ","ÁMBAR · ")&amp;IF(NOT(IF(ISNUMBER($E$6),AND($E$6&gt;=0,$E$6&lt;=6,$E$6=INT($E$6)),FALSE)),"Indicamos entre 0 y 6 decimales en E6. ","")&amp;IF(O70=0,"Falta un ID numérico. ","")&amp;IF(R70=0,"Faltan capítulo, código, unidad o total numérico del ID. ","")&amp;IF(T70&gt;0,"Los datos o el total del ID se contradicen. ","")&amp;IF(AND(P70&lt;&gt;"DIMENSIONES",P70&lt;&gt;"DIRECTA",P70&lt;&gt;"SIN LÍNEAS",P70&lt;&gt;"CABECERA"),"Tipo de fila no reconocido. ","")&amp;IF(AND(OR(P70="SIN LÍNEAS",P70="CABECERA"),COUNTA(G70:J70)&gt;0),"La fila dice que no mide, pero contiene medidas. ","")&amp;IF(AND(OR(P70="DIRECTA",P70="DIMENSIONES"),U70=0),"Línea incompleta o con medidas no numéricas. ","")&amp;IF(P70="SIN LÍNEAS","No constan medidas de esta fila. ","")&amp;IF(Y70&gt;0,"Parece m³: tres dimensiones bajo m². ","")&amp;IF(AND(AB70&lt;&gt;"",SUMPRODUCT(--('LÉEME'!$B$65:$B$86=AC70))&lt;&gt;1),"Revisamos el significado de la unidad. ","")&amp;IF(Z70&gt;0,"Más precisión que los decimales indicados: cotejamos el original. ","")&amp;IF(AA70&gt;0,"Revisamos dimensiones, cantidad directa, ceros o deducción. ","")))</f>
      </c>
      <c r="O70" s="0" t="n">
        <f>IF(ISNUMBER(K70),IF(AND(K70&gt;0,K70=INT(K70),K70&lt;=999999),K70,0),0)</f>
        <v>0</v>
      </c>
      <c r="P70" s="0">
        <f>IF(COUNTA(B70:L70)=0,"",IF(L70="",IF(COUNTA(G70:J70)&gt;0,"DIMENSIONES","SIN LÍNEAS"),UPPER(TRIM(L70))))</f>
      </c>
      <c r="Q70" s="0">
        <f>IF(AND(O70&gt;0,LEN(TRIM(B70&amp;""))&gt;0,LEN(TRIM(C70&amp;""))&gt;0,LEN(TRIM(E70&amp;""))&gt;0,ISNUMBER(F70)),O70,"")</f>
      </c>
      <c r="R70" s="0" t="n">
        <f>IF(O70=0,0,IF(COUNTIFS($Q$13:$Q$512,O70)&gt;0,MATCH(O70,$Q$13:$Q$512,0),0))</f>
        <v>0</v>
      </c>
      <c r="S70" s="0">
        <f>IF(AB70="","",IF(SUMPRODUCT(--('LÉEME'!$B$65:$B$86=AC70))=1,INDEX('LÉEME'!$C$65:$C$86,MATCH(AC70,'LÉEME'!$B$65:$B$86,0)),UPPER(TRIM(AB70))))</f>
      </c>
      <c r="T70" s="0" t="n">
        <f>IF(R70=0,0,IF(OR(AND(LEN(TRIM(B70&amp;""))&gt;0,UPPER(TRIM(B70&amp;""))&lt;&gt;UPPER(TRIM(INDEX($B$13:$B$512,R70)&amp;""))),AND(LEN(TRIM(C70&amp;""))&gt;0,UPPER(TRIM(C70&amp;""))&lt;&gt;UPPER(TRIM(INDEX($C$13:$C$512,R70)&amp;""))),AND(LEN(TRIM(E70&amp;""))&gt;0,S70&lt;&gt;INDEX($S$13:$S$512,R70)),AND(F70&lt;&gt;"",NOT(ISNUMBER(F70)))),1,IF(ISNUMBER(F70),IF(ABS(F70-INDEX($F$13:$F$512,R70))&gt;0.00000001,1,0),0)))</f>
        <v>0</v>
      </c>
      <c r="U70" s="0" t="n">
        <f>IF(P70="DIRECTA",IF(AND(ISNUMBER(G70),COUNTA(H70:J70)=0),1,0),IF(P70="DIMENSIONES",IF(AND(COUNT(G70:J70)&gt;0,COUNTA(G70:J70)=COUNT(G70:J70)),1,0),0))</f>
        <v>0</v>
      </c>
      <c r="V70" s="0" t="n">
        <f>IF(O70=0,0,IF(COUNTIFS($O$13:O70,O70)=1,1,0))</f>
        <v>0</v>
      </c>
      <c r="W70" s="0">
        <f>IF(V70=1,COUNTIFS($V$13:V70,1),"")</f>
      </c>
      <c r="X70" s="0">
        <f>IF(COUNTA(B70:L70)=0,"",IF(OR(NOT(IF(ISNUMBER($E$6),AND($E$6&gt;=0,$E$6&lt;=6,$E$6=INT($E$6)),FALSE)),O70=0,R70=0,T70&gt;0,AND(P70&lt;&gt;"DIMENSIONES",P70&lt;&gt;"DIRECTA",P70&lt;&gt;"SIN LÍNEAS",P70&lt;&gt;"CABECERA"),AND(OR(P70="DIRECTA",P70="DIMENSIONES"),U70=0),AND(OR(P70="SIN LÍNEAS",P70="CABECERA"),COUNTA(G70:J70)&gt;0)),2,IF(OR(P70="SIN LÍNEAS",Y70&gt;0,Z70&gt;0,AA70&gt;0,SUMPRODUCT(--('LÉEME'!$B$65:$B$86=AC70))&lt;&gt;1),1,0)))</f>
      </c>
      <c r="Y70" s="0" t="n">
        <f>IF(AND(P70="DIMENSIONES",S70="m²",COUNT(H70:J70)=3),1,0)</f>
        <v>0</v>
      </c>
      <c r="Z70" s="0" t="n">
        <f>IF(IF(ISNUMBER($E$6),AND($E$6&gt;=0,$E$6&lt;=6,$E$6=INT($E$6)),FALSE),IF(SUM(IF(ISNUMBER(F70),IF(ABS(F70-ROUND(F70,$E$6))&gt;0.00000001,1,0),0),IF(ISNUMBER(G70),IF(ABS(G70-ROUND(G70,$E$6))&gt;0.00000001,1,0),0),IF(ISNUMBER(H70),IF(ABS(H70-ROUND(H70,$E$6))&gt;0.00000001,1,0),0),IF(ISNUMBER(I70),IF(ABS(I70-ROUND(I70,$E$6))&gt;0.00000001,1,0),0),IF(ISNUMBER(J70),IF(ABS(J70-ROUND(J70,$E$6))&gt;0.00000001,1,0),0),IF(ISNUMBER(M70),IF(ABS(M70-ROUND(M70,$E$6))&gt;0.00000001,1,0),0))&gt;0,1,0),0)</f>
        <v>0</v>
      </c>
      <c r="AA70" s="0" t="n">
        <f>IF(COUNTA(B70:L70)=0,0,IF(OR(AND(ISNUMBER(F70),F70&lt;0),AND(U70=1,OR(SUM(IF(ISNUMBER(G70),IF(G70=0,1,0),0),IF(ISNUMBER(H70),IF(H70=0,1,0),0),IF(ISNUMBER(I70),IF(I70=0,1,0),0),IF(ISNUMBER(J70),IF(J70=0,1,0),0))&gt;0,COUNTIFS(G70:J70,"&lt;0")&gt;0)),AND(P70="DIMENSIONES",U70=1,OR(AND(S70="m",COUNT(H70:J70)&lt;&gt;1),AND(S70="m²",COUNT(H70:J70)&lt;&gt;2,Y70=0),AND(S70="m³",COUNT(H70:J70)&lt;&gt;3),AND(S70="ud",COUNT(H70:J70)&gt;0))),AND(P70="DIRECTA",OR(S70="m",S70="m²",S70="m³"))),1,0))</f>
        <v>0</v>
      </c>
      <c r="AB70" s="0">
        <f>IF(LEN(TRIM(E70&amp;""))&gt;0,E70,IF(R70&gt;0,INDEX($E$13:$E$512,R70),""))</f>
      </c>
      <c r="AC70" s="0">
        <f>UPPER(SUBSTITUTE(SUBSTITUTE(SUBSTITUTE(SUBSTITUTE(SUBSTITUTE(TRIM(AB70),"²","2"),"³","3"),"^",""),".","")," ",""))</f>
      </c>
    </row>
    <row r="71" ht="35" customHeight="1">
      <c r="B71" s="35"/>
      <c r="C71" s="35"/>
      <c r="D71" s="37"/>
      <c r="E71" s="35"/>
      <c r="F71" s="38"/>
      <c r="G71" s="38"/>
      <c r="H71" s="38"/>
      <c r="I71" s="38"/>
      <c r="J71" s="38"/>
      <c r="K71" s="35"/>
      <c r="L71" s="35"/>
      <c r="M71" s="39">
        <f>IF(U71&lt;&gt;1,"",IF(P71="DIRECTA",G71,IF(ISNUMBER(G71),G71,1)*IF(ISNUMBER(H71),H71,1)*IF(ISNUMBER(I71),I71,1)*IF(ISNUMBER(J71),J71,1)))</f>
      </c>
      <c r="N71" s="30">
        <f>IF(COUNTA(B71:L71)=0,"",IF(X71=0,IF(P71="CABECERA","VERDE · Fila descriptiva; la suma usa las líneas del ID","VERDE · Datos numéricos interpretables"),IF(X71=2,"ROJO · ","ÁMBAR · ")&amp;IF(NOT(IF(ISNUMBER($E$6),AND($E$6&gt;=0,$E$6&lt;=6,$E$6=INT($E$6)),FALSE)),"Indicamos entre 0 y 6 decimales en E6. ","")&amp;IF(O71=0,"Falta un ID numérico. ","")&amp;IF(R71=0,"Faltan capítulo, código, unidad o total numérico del ID. ","")&amp;IF(T71&gt;0,"Los datos o el total del ID se contradicen. ","")&amp;IF(AND(P71&lt;&gt;"DIMENSIONES",P71&lt;&gt;"DIRECTA",P71&lt;&gt;"SIN LÍNEAS",P71&lt;&gt;"CABECERA"),"Tipo de fila no reconocido. ","")&amp;IF(AND(OR(P71="SIN LÍNEAS",P71="CABECERA"),COUNTA(G71:J71)&gt;0),"La fila dice que no mide, pero contiene medidas. ","")&amp;IF(AND(OR(P71="DIRECTA",P71="DIMENSIONES"),U71=0),"Línea incompleta o con medidas no numéricas. ","")&amp;IF(P71="SIN LÍNEAS","No constan medidas de esta fila. ","")&amp;IF(Y71&gt;0,"Parece m³: tres dimensiones bajo m². ","")&amp;IF(AND(AB71&lt;&gt;"",SUMPRODUCT(--('LÉEME'!$B$65:$B$86=AC71))&lt;&gt;1),"Revisamos el significado de la unidad. ","")&amp;IF(Z71&gt;0,"Más precisión que los decimales indicados: cotejamos el original. ","")&amp;IF(AA71&gt;0,"Revisamos dimensiones, cantidad directa, ceros o deducción. ","")))</f>
      </c>
      <c r="O71" s="0" t="n">
        <f>IF(ISNUMBER(K71),IF(AND(K71&gt;0,K71=INT(K71),K71&lt;=999999),K71,0),0)</f>
        <v>0</v>
      </c>
      <c r="P71" s="0">
        <f>IF(COUNTA(B71:L71)=0,"",IF(L71="",IF(COUNTA(G71:J71)&gt;0,"DIMENSIONES","SIN LÍNEAS"),UPPER(TRIM(L71))))</f>
      </c>
      <c r="Q71" s="0">
        <f>IF(AND(O71&gt;0,LEN(TRIM(B71&amp;""))&gt;0,LEN(TRIM(C71&amp;""))&gt;0,LEN(TRIM(E71&amp;""))&gt;0,ISNUMBER(F71)),O71,"")</f>
      </c>
      <c r="R71" s="0" t="n">
        <f>IF(O71=0,0,IF(COUNTIFS($Q$13:$Q$512,O71)&gt;0,MATCH(O71,$Q$13:$Q$512,0),0))</f>
        <v>0</v>
      </c>
      <c r="S71" s="0">
        <f>IF(AB71="","",IF(SUMPRODUCT(--('LÉEME'!$B$65:$B$86=AC71))=1,INDEX('LÉEME'!$C$65:$C$86,MATCH(AC71,'LÉEME'!$B$65:$B$86,0)),UPPER(TRIM(AB71))))</f>
      </c>
      <c r="T71" s="0" t="n">
        <f>IF(R71=0,0,IF(OR(AND(LEN(TRIM(B71&amp;""))&gt;0,UPPER(TRIM(B71&amp;""))&lt;&gt;UPPER(TRIM(INDEX($B$13:$B$512,R71)&amp;""))),AND(LEN(TRIM(C71&amp;""))&gt;0,UPPER(TRIM(C71&amp;""))&lt;&gt;UPPER(TRIM(INDEX($C$13:$C$512,R71)&amp;""))),AND(LEN(TRIM(E71&amp;""))&gt;0,S71&lt;&gt;INDEX($S$13:$S$512,R71)),AND(F71&lt;&gt;"",NOT(ISNUMBER(F71)))),1,IF(ISNUMBER(F71),IF(ABS(F71-INDEX($F$13:$F$512,R71))&gt;0.00000001,1,0),0)))</f>
        <v>0</v>
      </c>
      <c r="U71" s="0" t="n">
        <f>IF(P71="DIRECTA",IF(AND(ISNUMBER(G71),COUNTA(H71:J71)=0),1,0),IF(P71="DIMENSIONES",IF(AND(COUNT(G71:J71)&gt;0,COUNTA(G71:J71)=COUNT(G71:J71)),1,0),0))</f>
        <v>0</v>
      </c>
      <c r="V71" s="0" t="n">
        <f>IF(O71=0,0,IF(COUNTIFS($O$13:O71,O71)=1,1,0))</f>
        <v>0</v>
      </c>
      <c r="W71" s="0">
        <f>IF(V71=1,COUNTIFS($V$13:V71,1),"")</f>
      </c>
      <c r="X71" s="0">
        <f>IF(COUNTA(B71:L71)=0,"",IF(OR(NOT(IF(ISNUMBER($E$6),AND($E$6&gt;=0,$E$6&lt;=6,$E$6=INT($E$6)),FALSE)),O71=0,R71=0,T71&gt;0,AND(P71&lt;&gt;"DIMENSIONES",P71&lt;&gt;"DIRECTA",P71&lt;&gt;"SIN LÍNEAS",P71&lt;&gt;"CABECERA"),AND(OR(P71="DIRECTA",P71="DIMENSIONES"),U71=0),AND(OR(P71="SIN LÍNEAS",P71="CABECERA"),COUNTA(G71:J71)&gt;0)),2,IF(OR(P71="SIN LÍNEAS",Y71&gt;0,Z71&gt;0,AA71&gt;0,SUMPRODUCT(--('LÉEME'!$B$65:$B$86=AC71))&lt;&gt;1),1,0)))</f>
      </c>
      <c r="Y71" s="0" t="n">
        <f>IF(AND(P71="DIMENSIONES",S71="m²",COUNT(H71:J71)=3),1,0)</f>
        <v>0</v>
      </c>
      <c r="Z71" s="0" t="n">
        <f>IF(IF(ISNUMBER($E$6),AND($E$6&gt;=0,$E$6&lt;=6,$E$6=INT($E$6)),FALSE),IF(SUM(IF(ISNUMBER(F71),IF(ABS(F71-ROUND(F71,$E$6))&gt;0.00000001,1,0),0),IF(ISNUMBER(G71),IF(ABS(G71-ROUND(G71,$E$6))&gt;0.00000001,1,0),0),IF(ISNUMBER(H71),IF(ABS(H71-ROUND(H71,$E$6))&gt;0.00000001,1,0),0),IF(ISNUMBER(I71),IF(ABS(I71-ROUND(I71,$E$6))&gt;0.00000001,1,0),0),IF(ISNUMBER(J71),IF(ABS(J71-ROUND(J71,$E$6))&gt;0.00000001,1,0),0),IF(ISNUMBER(M71),IF(ABS(M71-ROUND(M71,$E$6))&gt;0.00000001,1,0),0))&gt;0,1,0),0)</f>
        <v>0</v>
      </c>
      <c r="AA71" s="0" t="n">
        <f>IF(COUNTA(B71:L71)=0,0,IF(OR(AND(ISNUMBER(F71),F71&lt;0),AND(U71=1,OR(SUM(IF(ISNUMBER(G71),IF(G71=0,1,0),0),IF(ISNUMBER(H71),IF(H71=0,1,0),0),IF(ISNUMBER(I71),IF(I71=0,1,0),0),IF(ISNUMBER(J71),IF(J71=0,1,0),0))&gt;0,COUNTIFS(G71:J71,"&lt;0")&gt;0)),AND(P71="DIMENSIONES",U71=1,OR(AND(S71="m",COUNT(H71:J71)&lt;&gt;1),AND(S71="m²",COUNT(H71:J71)&lt;&gt;2,Y71=0),AND(S71="m³",COUNT(H71:J71)&lt;&gt;3),AND(S71="ud",COUNT(H71:J71)&gt;0))),AND(P71="DIRECTA",OR(S71="m",S71="m²",S71="m³"))),1,0))</f>
        <v>0</v>
      </c>
      <c r="AB71" s="0">
        <f>IF(LEN(TRIM(E71&amp;""))&gt;0,E71,IF(R71&gt;0,INDEX($E$13:$E$512,R71),""))</f>
      </c>
      <c r="AC71" s="0">
        <f>UPPER(SUBSTITUTE(SUBSTITUTE(SUBSTITUTE(SUBSTITUTE(SUBSTITUTE(TRIM(AB71),"²","2"),"³","3"),"^",""),".","")," ",""))</f>
      </c>
    </row>
    <row r="72" ht="35" customHeight="1">
      <c r="B72" s="35"/>
      <c r="C72" s="35"/>
      <c r="D72" s="37"/>
      <c r="E72" s="35"/>
      <c r="F72" s="38"/>
      <c r="G72" s="38"/>
      <c r="H72" s="38"/>
      <c r="I72" s="38"/>
      <c r="J72" s="38"/>
      <c r="K72" s="35"/>
      <c r="L72" s="35"/>
      <c r="M72" s="39">
        <f>IF(U72&lt;&gt;1,"",IF(P72="DIRECTA",G72,IF(ISNUMBER(G72),G72,1)*IF(ISNUMBER(H72),H72,1)*IF(ISNUMBER(I72),I72,1)*IF(ISNUMBER(J72),J72,1)))</f>
      </c>
      <c r="N72" s="30">
        <f>IF(COUNTA(B72:L72)=0,"",IF(X72=0,IF(P72="CABECERA","VERDE · Fila descriptiva; la suma usa las líneas del ID","VERDE · Datos numéricos interpretables"),IF(X72=2,"ROJO · ","ÁMBAR · ")&amp;IF(NOT(IF(ISNUMBER($E$6),AND($E$6&gt;=0,$E$6&lt;=6,$E$6=INT($E$6)),FALSE)),"Indicamos entre 0 y 6 decimales en E6. ","")&amp;IF(O72=0,"Falta un ID numérico. ","")&amp;IF(R72=0,"Faltan capítulo, código, unidad o total numérico del ID. ","")&amp;IF(T72&gt;0,"Los datos o el total del ID se contradicen. ","")&amp;IF(AND(P72&lt;&gt;"DIMENSIONES",P72&lt;&gt;"DIRECTA",P72&lt;&gt;"SIN LÍNEAS",P72&lt;&gt;"CABECERA"),"Tipo de fila no reconocido. ","")&amp;IF(AND(OR(P72="SIN LÍNEAS",P72="CABECERA"),COUNTA(G72:J72)&gt;0),"La fila dice que no mide, pero contiene medidas. ","")&amp;IF(AND(OR(P72="DIRECTA",P72="DIMENSIONES"),U72=0),"Línea incompleta o con medidas no numéricas. ","")&amp;IF(P72="SIN LÍNEAS","No constan medidas de esta fila. ","")&amp;IF(Y72&gt;0,"Parece m³: tres dimensiones bajo m². ","")&amp;IF(AND(AB72&lt;&gt;"",SUMPRODUCT(--('LÉEME'!$B$65:$B$86=AC72))&lt;&gt;1),"Revisamos el significado de la unidad. ","")&amp;IF(Z72&gt;0,"Más precisión que los decimales indicados: cotejamos el original. ","")&amp;IF(AA72&gt;0,"Revisamos dimensiones, cantidad directa, ceros o deducción. ","")))</f>
      </c>
      <c r="O72" s="0" t="n">
        <f>IF(ISNUMBER(K72),IF(AND(K72&gt;0,K72=INT(K72),K72&lt;=999999),K72,0),0)</f>
        <v>0</v>
      </c>
      <c r="P72" s="0">
        <f>IF(COUNTA(B72:L72)=0,"",IF(L72="",IF(COUNTA(G72:J72)&gt;0,"DIMENSIONES","SIN LÍNEAS"),UPPER(TRIM(L72))))</f>
      </c>
      <c r="Q72" s="0">
        <f>IF(AND(O72&gt;0,LEN(TRIM(B72&amp;""))&gt;0,LEN(TRIM(C72&amp;""))&gt;0,LEN(TRIM(E72&amp;""))&gt;0,ISNUMBER(F72)),O72,"")</f>
      </c>
      <c r="R72" s="0" t="n">
        <f>IF(O72=0,0,IF(COUNTIFS($Q$13:$Q$512,O72)&gt;0,MATCH(O72,$Q$13:$Q$512,0),0))</f>
        <v>0</v>
      </c>
      <c r="S72" s="0">
        <f>IF(AB72="","",IF(SUMPRODUCT(--('LÉEME'!$B$65:$B$86=AC72))=1,INDEX('LÉEME'!$C$65:$C$86,MATCH(AC72,'LÉEME'!$B$65:$B$86,0)),UPPER(TRIM(AB72))))</f>
      </c>
      <c r="T72" s="0" t="n">
        <f>IF(R72=0,0,IF(OR(AND(LEN(TRIM(B72&amp;""))&gt;0,UPPER(TRIM(B72&amp;""))&lt;&gt;UPPER(TRIM(INDEX($B$13:$B$512,R72)&amp;""))),AND(LEN(TRIM(C72&amp;""))&gt;0,UPPER(TRIM(C72&amp;""))&lt;&gt;UPPER(TRIM(INDEX($C$13:$C$512,R72)&amp;""))),AND(LEN(TRIM(E72&amp;""))&gt;0,S72&lt;&gt;INDEX($S$13:$S$512,R72)),AND(F72&lt;&gt;"",NOT(ISNUMBER(F72)))),1,IF(ISNUMBER(F72),IF(ABS(F72-INDEX($F$13:$F$512,R72))&gt;0.00000001,1,0),0)))</f>
        <v>0</v>
      </c>
      <c r="U72" s="0" t="n">
        <f>IF(P72="DIRECTA",IF(AND(ISNUMBER(G72),COUNTA(H72:J72)=0),1,0),IF(P72="DIMENSIONES",IF(AND(COUNT(G72:J72)&gt;0,COUNTA(G72:J72)=COUNT(G72:J72)),1,0),0))</f>
        <v>0</v>
      </c>
      <c r="V72" s="0" t="n">
        <f>IF(O72=0,0,IF(COUNTIFS($O$13:O72,O72)=1,1,0))</f>
        <v>0</v>
      </c>
      <c r="W72" s="0">
        <f>IF(V72=1,COUNTIFS($V$13:V72,1),"")</f>
      </c>
      <c r="X72" s="0">
        <f>IF(COUNTA(B72:L72)=0,"",IF(OR(NOT(IF(ISNUMBER($E$6),AND($E$6&gt;=0,$E$6&lt;=6,$E$6=INT($E$6)),FALSE)),O72=0,R72=0,T72&gt;0,AND(P72&lt;&gt;"DIMENSIONES",P72&lt;&gt;"DIRECTA",P72&lt;&gt;"SIN LÍNEAS",P72&lt;&gt;"CABECERA"),AND(OR(P72="DIRECTA",P72="DIMENSIONES"),U72=0),AND(OR(P72="SIN LÍNEAS",P72="CABECERA"),COUNTA(G72:J72)&gt;0)),2,IF(OR(P72="SIN LÍNEAS",Y72&gt;0,Z72&gt;0,AA72&gt;0,SUMPRODUCT(--('LÉEME'!$B$65:$B$86=AC72))&lt;&gt;1),1,0)))</f>
      </c>
      <c r="Y72" s="0" t="n">
        <f>IF(AND(P72="DIMENSIONES",S72="m²",COUNT(H72:J72)=3),1,0)</f>
        <v>0</v>
      </c>
      <c r="Z72" s="0" t="n">
        <f>IF(IF(ISNUMBER($E$6),AND($E$6&gt;=0,$E$6&lt;=6,$E$6=INT($E$6)),FALSE),IF(SUM(IF(ISNUMBER(F72),IF(ABS(F72-ROUND(F72,$E$6))&gt;0.00000001,1,0),0),IF(ISNUMBER(G72),IF(ABS(G72-ROUND(G72,$E$6))&gt;0.00000001,1,0),0),IF(ISNUMBER(H72),IF(ABS(H72-ROUND(H72,$E$6))&gt;0.00000001,1,0),0),IF(ISNUMBER(I72),IF(ABS(I72-ROUND(I72,$E$6))&gt;0.00000001,1,0),0),IF(ISNUMBER(J72),IF(ABS(J72-ROUND(J72,$E$6))&gt;0.00000001,1,0),0),IF(ISNUMBER(M72),IF(ABS(M72-ROUND(M72,$E$6))&gt;0.00000001,1,0),0))&gt;0,1,0),0)</f>
        <v>0</v>
      </c>
      <c r="AA72" s="0" t="n">
        <f>IF(COUNTA(B72:L72)=0,0,IF(OR(AND(ISNUMBER(F72),F72&lt;0),AND(U72=1,OR(SUM(IF(ISNUMBER(G72),IF(G72=0,1,0),0),IF(ISNUMBER(H72),IF(H72=0,1,0),0),IF(ISNUMBER(I72),IF(I72=0,1,0),0),IF(ISNUMBER(J72),IF(J72=0,1,0),0))&gt;0,COUNTIFS(G72:J72,"&lt;0")&gt;0)),AND(P72="DIMENSIONES",U72=1,OR(AND(S72="m",COUNT(H72:J72)&lt;&gt;1),AND(S72="m²",COUNT(H72:J72)&lt;&gt;2,Y72=0),AND(S72="m³",COUNT(H72:J72)&lt;&gt;3),AND(S72="ud",COUNT(H72:J72)&gt;0))),AND(P72="DIRECTA",OR(S72="m",S72="m²",S72="m³"))),1,0))</f>
        <v>0</v>
      </c>
      <c r="AB72" s="0">
        <f>IF(LEN(TRIM(E72&amp;""))&gt;0,E72,IF(R72&gt;0,INDEX($E$13:$E$512,R72),""))</f>
      </c>
      <c r="AC72" s="0">
        <f>UPPER(SUBSTITUTE(SUBSTITUTE(SUBSTITUTE(SUBSTITUTE(SUBSTITUTE(TRIM(AB72),"²","2"),"³","3"),"^",""),".","")," ",""))</f>
      </c>
    </row>
    <row r="73" ht="35" customHeight="1">
      <c r="B73" s="35"/>
      <c r="C73" s="35"/>
      <c r="D73" s="37"/>
      <c r="E73" s="35"/>
      <c r="F73" s="38"/>
      <c r="G73" s="38"/>
      <c r="H73" s="38"/>
      <c r="I73" s="38"/>
      <c r="J73" s="38"/>
      <c r="K73" s="35"/>
      <c r="L73" s="35"/>
      <c r="M73" s="39">
        <f>IF(U73&lt;&gt;1,"",IF(P73="DIRECTA",G73,IF(ISNUMBER(G73),G73,1)*IF(ISNUMBER(H73),H73,1)*IF(ISNUMBER(I73),I73,1)*IF(ISNUMBER(J73),J73,1)))</f>
      </c>
      <c r="N73" s="30">
        <f>IF(COUNTA(B73:L73)=0,"",IF(X73=0,IF(P73="CABECERA","VERDE · Fila descriptiva; la suma usa las líneas del ID","VERDE · Datos numéricos interpretables"),IF(X73=2,"ROJO · ","ÁMBAR · ")&amp;IF(NOT(IF(ISNUMBER($E$6),AND($E$6&gt;=0,$E$6&lt;=6,$E$6=INT($E$6)),FALSE)),"Indicamos entre 0 y 6 decimales en E6. ","")&amp;IF(O73=0,"Falta un ID numérico. ","")&amp;IF(R73=0,"Faltan capítulo, código, unidad o total numérico del ID. ","")&amp;IF(T73&gt;0,"Los datos o el total del ID se contradicen. ","")&amp;IF(AND(P73&lt;&gt;"DIMENSIONES",P73&lt;&gt;"DIRECTA",P73&lt;&gt;"SIN LÍNEAS",P73&lt;&gt;"CABECERA"),"Tipo de fila no reconocido. ","")&amp;IF(AND(OR(P73="SIN LÍNEAS",P73="CABECERA"),COUNTA(G73:J73)&gt;0),"La fila dice que no mide, pero contiene medidas. ","")&amp;IF(AND(OR(P73="DIRECTA",P73="DIMENSIONES"),U73=0),"Línea incompleta o con medidas no numéricas. ","")&amp;IF(P73="SIN LÍNEAS","No constan medidas de esta fila. ","")&amp;IF(Y73&gt;0,"Parece m³: tres dimensiones bajo m². ","")&amp;IF(AND(AB73&lt;&gt;"",SUMPRODUCT(--('LÉEME'!$B$65:$B$86=AC73))&lt;&gt;1),"Revisamos el significado de la unidad. ","")&amp;IF(Z73&gt;0,"Más precisión que los decimales indicados: cotejamos el original. ","")&amp;IF(AA73&gt;0,"Revisamos dimensiones, cantidad directa, ceros o deducción. ","")))</f>
      </c>
      <c r="O73" s="0" t="n">
        <f>IF(ISNUMBER(K73),IF(AND(K73&gt;0,K73=INT(K73),K73&lt;=999999),K73,0),0)</f>
        <v>0</v>
      </c>
      <c r="P73" s="0">
        <f>IF(COUNTA(B73:L73)=0,"",IF(L73="",IF(COUNTA(G73:J73)&gt;0,"DIMENSIONES","SIN LÍNEAS"),UPPER(TRIM(L73))))</f>
      </c>
      <c r="Q73" s="0">
        <f>IF(AND(O73&gt;0,LEN(TRIM(B73&amp;""))&gt;0,LEN(TRIM(C73&amp;""))&gt;0,LEN(TRIM(E73&amp;""))&gt;0,ISNUMBER(F73)),O73,"")</f>
      </c>
      <c r="R73" s="0" t="n">
        <f>IF(O73=0,0,IF(COUNTIFS($Q$13:$Q$512,O73)&gt;0,MATCH(O73,$Q$13:$Q$512,0),0))</f>
        <v>0</v>
      </c>
      <c r="S73" s="0">
        <f>IF(AB73="","",IF(SUMPRODUCT(--('LÉEME'!$B$65:$B$86=AC73))=1,INDEX('LÉEME'!$C$65:$C$86,MATCH(AC73,'LÉEME'!$B$65:$B$86,0)),UPPER(TRIM(AB73))))</f>
      </c>
      <c r="T73" s="0" t="n">
        <f>IF(R73=0,0,IF(OR(AND(LEN(TRIM(B73&amp;""))&gt;0,UPPER(TRIM(B73&amp;""))&lt;&gt;UPPER(TRIM(INDEX($B$13:$B$512,R73)&amp;""))),AND(LEN(TRIM(C73&amp;""))&gt;0,UPPER(TRIM(C73&amp;""))&lt;&gt;UPPER(TRIM(INDEX($C$13:$C$512,R73)&amp;""))),AND(LEN(TRIM(E73&amp;""))&gt;0,S73&lt;&gt;INDEX($S$13:$S$512,R73)),AND(F73&lt;&gt;"",NOT(ISNUMBER(F73)))),1,IF(ISNUMBER(F73),IF(ABS(F73-INDEX($F$13:$F$512,R73))&gt;0.00000001,1,0),0)))</f>
        <v>0</v>
      </c>
      <c r="U73" s="0" t="n">
        <f>IF(P73="DIRECTA",IF(AND(ISNUMBER(G73),COUNTA(H73:J73)=0),1,0),IF(P73="DIMENSIONES",IF(AND(COUNT(G73:J73)&gt;0,COUNTA(G73:J73)=COUNT(G73:J73)),1,0),0))</f>
        <v>0</v>
      </c>
      <c r="V73" s="0" t="n">
        <f>IF(O73=0,0,IF(COUNTIFS($O$13:O73,O73)=1,1,0))</f>
        <v>0</v>
      </c>
      <c r="W73" s="0">
        <f>IF(V73=1,COUNTIFS($V$13:V73,1),"")</f>
      </c>
      <c r="X73" s="0">
        <f>IF(COUNTA(B73:L73)=0,"",IF(OR(NOT(IF(ISNUMBER($E$6),AND($E$6&gt;=0,$E$6&lt;=6,$E$6=INT($E$6)),FALSE)),O73=0,R73=0,T73&gt;0,AND(P73&lt;&gt;"DIMENSIONES",P73&lt;&gt;"DIRECTA",P73&lt;&gt;"SIN LÍNEAS",P73&lt;&gt;"CABECERA"),AND(OR(P73="DIRECTA",P73="DIMENSIONES"),U73=0),AND(OR(P73="SIN LÍNEAS",P73="CABECERA"),COUNTA(G73:J73)&gt;0)),2,IF(OR(P73="SIN LÍNEAS",Y73&gt;0,Z73&gt;0,AA73&gt;0,SUMPRODUCT(--('LÉEME'!$B$65:$B$86=AC73))&lt;&gt;1),1,0)))</f>
      </c>
      <c r="Y73" s="0" t="n">
        <f>IF(AND(P73="DIMENSIONES",S73="m²",COUNT(H73:J73)=3),1,0)</f>
        <v>0</v>
      </c>
      <c r="Z73" s="0" t="n">
        <f>IF(IF(ISNUMBER($E$6),AND($E$6&gt;=0,$E$6&lt;=6,$E$6=INT($E$6)),FALSE),IF(SUM(IF(ISNUMBER(F73),IF(ABS(F73-ROUND(F73,$E$6))&gt;0.00000001,1,0),0),IF(ISNUMBER(G73),IF(ABS(G73-ROUND(G73,$E$6))&gt;0.00000001,1,0),0),IF(ISNUMBER(H73),IF(ABS(H73-ROUND(H73,$E$6))&gt;0.00000001,1,0),0),IF(ISNUMBER(I73),IF(ABS(I73-ROUND(I73,$E$6))&gt;0.00000001,1,0),0),IF(ISNUMBER(J73),IF(ABS(J73-ROUND(J73,$E$6))&gt;0.00000001,1,0),0),IF(ISNUMBER(M73),IF(ABS(M73-ROUND(M73,$E$6))&gt;0.00000001,1,0),0))&gt;0,1,0),0)</f>
        <v>0</v>
      </c>
      <c r="AA73" s="0" t="n">
        <f>IF(COUNTA(B73:L73)=0,0,IF(OR(AND(ISNUMBER(F73),F73&lt;0),AND(U73=1,OR(SUM(IF(ISNUMBER(G73),IF(G73=0,1,0),0),IF(ISNUMBER(H73),IF(H73=0,1,0),0),IF(ISNUMBER(I73),IF(I73=0,1,0),0),IF(ISNUMBER(J73),IF(J73=0,1,0),0))&gt;0,COUNTIFS(G73:J73,"&lt;0")&gt;0)),AND(P73="DIMENSIONES",U73=1,OR(AND(S73="m",COUNT(H73:J73)&lt;&gt;1),AND(S73="m²",COUNT(H73:J73)&lt;&gt;2,Y73=0),AND(S73="m³",COUNT(H73:J73)&lt;&gt;3),AND(S73="ud",COUNT(H73:J73)&gt;0))),AND(P73="DIRECTA",OR(S73="m",S73="m²",S73="m³"))),1,0))</f>
        <v>0</v>
      </c>
      <c r="AB73" s="0">
        <f>IF(LEN(TRIM(E73&amp;""))&gt;0,E73,IF(R73&gt;0,INDEX($E$13:$E$512,R73),""))</f>
      </c>
      <c r="AC73" s="0">
        <f>UPPER(SUBSTITUTE(SUBSTITUTE(SUBSTITUTE(SUBSTITUTE(SUBSTITUTE(TRIM(AB73),"²","2"),"³","3"),"^",""),".","")," ",""))</f>
      </c>
    </row>
    <row r="74" ht="35" customHeight="1">
      <c r="B74" s="35"/>
      <c r="C74" s="35"/>
      <c r="D74" s="37"/>
      <c r="E74" s="35"/>
      <c r="F74" s="38"/>
      <c r="G74" s="38"/>
      <c r="H74" s="38"/>
      <c r="I74" s="38"/>
      <c r="J74" s="38"/>
      <c r="K74" s="35"/>
      <c r="L74" s="35"/>
      <c r="M74" s="39">
        <f>IF(U74&lt;&gt;1,"",IF(P74="DIRECTA",G74,IF(ISNUMBER(G74),G74,1)*IF(ISNUMBER(H74),H74,1)*IF(ISNUMBER(I74),I74,1)*IF(ISNUMBER(J74),J74,1)))</f>
      </c>
      <c r="N74" s="30">
        <f>IF(COUNTA(B74:L74)=0,"",IF(X74=0,IF(P74="CABECERA","VERDE · Fila descriptiva; la suma usa las líneas del ID","VERDE · Datos numéricos interpretables"),IF(X74=2,"ROJO · ","ÁMBAR · ")&amp;IF(NOT(IF(ISNUMBER($E$6),AND($E$6&gt;=0,$E$6&lt;=6,$E$6=INT($E$6)),FALSE)),"Indicamos entre 0 y 6 decimales en E6. ","")&amp;IF(O74=0,"Falta un ID numérico. ","")&amp;IF(R74=0,"Faltan capítulo, código, unidad o total numérico del ID. ","")&amp;IF(T74&gt;0,"Los datos o el total del ID se contradicen. ","")&amp;IF(AND(P74&lt;&gt;"DIMENSIONES",P74&lt;&gt;"DIRECTA",P74&lt;&gt;"SIN LÍNEAS",P74&lt;&gt;"CABECERA"),"Tipo de fila no reconocido. ","")&amp;IF(AND(OR(P74="SIN LÍNEAS",P74="CABECERA"),COUNTA(G74:J74)&gt;0),"La fila dice que no mide, pero contiene medidas. ","")&amp;IF(AND(OR(P74="DIRECTA",P74="DIMENSIONES"),U74=0),"Línea incompleta o con medidas no numéricas. ","")&amp;IF(P74="SIN LÍNEAS","No constan medidas de esta fila. ","")&amp;IF(Y74&gt;0,"Parece m³: tres dimensiones bajo m². ","")&amp;IF(AND(AB74&lt;&gt;"",SUMPRODUCT(--('LÉEME'!$B$65:$B$86=AC74))&lt;&gt;1),"Revisamos el significado de la unidad. ","")&amp;IF(Z74&gt;0,"Más precisión que los decimales indicados: cotejamos el original. ","")&amp;IF(AA74&gt;0,"Revisamos dimensiones, cantidad directa, ceros o deducción. ","")))</f>
      </c>
      <c r="O74" s="0" t="n">
        <f>IF(ISNUMBER(K74),IF(AND(K74&gt;0,K74=INT(K74),K74&lt;=999999),K74,0),0)</f>
        <v>0</v>
      </c>
      <c r="P74" s="0">
        <f>IF(COUNTA(B74:L74)=0,"",IF(L74="",IF(COUNTA(G74:J74)&gt;0,"DIMENSIONES","SIN LÍNEAS"),UPPER(TRIM(L74))))</f>
      </c>
      <c r="Q74" s="0">
        <f>IF(AND(O74&gt;0,LEN(TRIM(B74&amp;""))&gt;0,LEN(TRIM(C74&amp;""))&gt;0,LEN(TRIM(E74&amp;""))&gt;0,ISNUMBER(F74)),O74,"")</f>
      </c>
      <c r="R74" s="0" t="n">
        <f>IF(O74=0,0,IF(COUNTIFS($Q$13:$Q$512,O74)&gt;0,MATCH(O74,$Q$13:$Q$512,0),0))</f>
        <v>0</v>
      </c>
      <c r="S74" s="0">
        <f>IF(AB74="","",IF(SUMPRODUCT(--('LÉEME'!$B$65:$B$86=AC74))=1,INDEX('LÉEME'!$C$65:$C$86,MATCH(AC74,'LÉEME'!$B$65:$B$86,0)),UPPER(TRIM(AB74))))</f>
      </c>
      <c r="T74" s="0" t="n">
        <f>IF(R74=0,0,IF(OR(AND(LEN(TRIM(B74&amp;""))&gt;0,UPPER(TRIM(B74&amp;""))&lt;&gt;UPPER(TRIM(INDEX($B$13:$B$512,R74)&amp;""))),AND(LEN(TRIM(C74&amp;""))&gt;0,UPPER(TRIM(C74&amp;""))&lt;&gt;UPPER(TRIM(INDEX($C$13:$C$512,R74)&amp;""))),AND(LEN(TRIM(E74&amp;""))&gt;0,S74&lt;&gt;INDEX($S$13:$S$512,R74)),AND(F74&lt;&gt;"",NOT(ISNUMBER(F74)))),1,IF(ISNUMBER(F74),IF(ABS(F74-INDEX($F$13:$F$512,R74))&gt;0.00000001,1,0),0)))</f>
        <v>0</v>
      </c>
      <c r="U74" s="0" t="n">
        <f>IF(P74="DIRECTA",IF(AND(ISNUMBER(G74),COUNTA(H74:J74)=0),1,0),IF(P74="DIMENSIONES",IF(AND(COUNT(G74:J74)&gt;0,COUNTA(G74:J74)=COUNT(G74:J74)),1,0),0))</f>
        <v>0</v>
      </c>
      <c r="V74" s="0" t="n">
        <f>IF(O74=0,0,IF(COUNTIFS($O$13:O74,O74)=1,1,0))</f>
        <v>0</v>
      </c>
      <c r="W74" s="0">
        <f>IF(V74=1,COUNTIFS($V$13:V74,1),"")</f>
      </c>
      <c r="X74" s="0">
        <f>IF(COUNTA(B74:L74)=0,"",IF(OR(NOT(IF(ISNUMBER($E$6),AND($E$6&gt;=0,$E$6&lt;=6,$E$6=INT($E$6)),FALSE)),O74=0,R74=0,T74&gt;0,AND(P74&lt;&gt;"DIMENSIONES",P74&lt;&gt;"DIRECTA",P74&lt;&gt;"SIN LÍNEAS",P74&lt;&gt;"CABECERA"),AND(OR(P74="DIRECTA",P74="DIMENSIONES"),U74=0),AND(OR(P74="SIN LÍNEAS",P74="CABECERA"),COUNTA(G74:J74)&gt;0)),2,IF(OR(P74="SIN LÍNEAS",Y74&gt;0,Z74&gt;0,AA74&gt;0,SUMPRODUCT(--('LÉEME'!$B$65:$B$86=AC74))&lt;&gt;1),1,0)))</f>
      </c>
      <c r="Y74" s="0" t="n">
        <f>IF(AND(P74="DIMENSIONES",S74="m²",COUNT(H74:J74)=3),1,0)</f>
        <v>0</v>
      </c>
      <c r="Z74" s="0" t="n">
        <f>IF(IF(ISNUMBER($E$6),AND($E$6&gt;=0,$E$6&lt;=6,$E$6=INT($E$6)),FALSE),IF(SUM(IF(ISNUMBER(F74),IF(ABS(F74-ROUND(F74,$E$6))&gt;0.00000001,1,0),0),IF(ISNUMBER(G74),IF(ABS(G74-ROUND(G74,$E$6))&gt;0.00000001,1,0),0),IF(ISNUMBER(H74),IF(ABS(H74-ROUND(H74,$E$6))&gt;0.00000001,1,0),0),IF(ISNUMBER(I74),IF(ABS(I74-ROUND(I74,$E$6))&gt;0.00000001,1,0),0),IF(ISNUMBER(J74),IF(ABS(J74-ROUND(J74,$E$6))&gt;0.00000001,1,0),0),IF(ISNUMBER(M74),IF(ABS(M74-ROUND(M74,$E$6))&gt;0.00000001,1,0),0))&gt;0,1,0),0)</f>
        <v>0</v>
      </c>
      <c r="AA74" s="0" t="n">
        <f>IF(COUNTA(B74:L74)=0,0,IF(OR(AND(ISNUMBER(F74),F74&lt;0),AND(U74=1,OR(SUM(IF(ISNUMBER(G74),IF(G74=0,1,0),0),IF(ISNUMBER(H74),IF(H74=0,1,0),0),IF(ISNUMBER(I74),IF(I74=0,1,0),0),IF(ISNUMBER(J74),IF(J74=0,1,0),0))&gt;0,COUNTIFS(G74:J74,"&lt;0")&gt;0)),AND(P74="DIMENSIONES",U74=1,OR(AND(S74="m",COUNT(H74:J74)&lt;&gt;1),AND(S74="m²",COUNT(H74:J74)&lt;&gt;2,Y74=0),AND(S74="m³",COUNT(H74:J74)&lt;&gt;3),AND(S74="ud",COUNT(H74:J74)&gt;0))),AND(P74="DIRECTA",OR(S74="m",S74="m²",S74="m³"))),1,0))</f>
        <v>0</v>
      </c>
      <c r="AB74" s="0">
        <f>IF(LEN(TRIM(E74&amp;""))&gt;0,E74,IF(R74&gt;0,INDEX($E$13:$E$512,R74),""))</f>
      </c>
      <c r="AC74" s="0">
        <f>UPPER(SUBSTITUTE(SUBSTITUTE(SUBSTITUTE(SUBSTITUTE(SUBSTITUTE(TRIM(AB74),"²","2"),"³","3"),"^",""),".","")," ",""))</f>
      </c>
    </row>
    <row r="75" ht="35" customHeight="1">
      <c r="B75" s="35"/>
      <c r="C75" s="35"/>
      <c r="D75" s="37"/>
      <c r="E75" s="35"/>
      <c r="F75" s="38"/>
      <c r="G75" s="38"/>
      <c r="H75" s="38"/>
      <c r="I75" s="38"/>
      <c r="J75" s="38"/>
      <c r="K75" s="35"/>
      <c r="L75" s="35"/>
      <c r="M75" s="39">
        <f>IF(U75&lt;&gt;1,"",IF(P75="DIRECTA",G75,IF(ISNUMBER(G75),G75,1)*IF(ISNUMBER(H75),H75,1)*IF(ISNUMBER(I75),I75,1)*IF(ISNUMBER(J75),J75,1)))</f>
      </c>
      <c r="N75" s="30">
        <f>IF(COUNTA(B75:L75)=0,"",IF(X75=0,IF(P75="CABECERA","VERDE · Fila descriptiva; la suma usa las líneas del ID","VERDE · Datos numéricos interpretables"),IF(X75=2,"ROJO · ","ÁMBAR · ")&amp;IF(NOT(IF(ISNUMBER($E$6),AND($E$6&gt;=0,$E$6&lt;=6,$E$6=INT($E$6)),FALSE)),"Indicamos entre 0 y 6 decimales en E6. ","")&amp;IF(O75=0,"Falta un ID numérico. ","")&amp;IF(R75=0,"Faltan capítulo, código, unidad o total numérico del ID. ","")&amp;IF(T75&gt;0,"Los datos o el total del ID se contradicen. ","")&amp;IF(AND(P75&lt;&gt;"DIMENSIONES",P75&lt;&gt;"DIRECTA",P75&lt;&gt;"SIN LÍNEAS",P75&lt;&gt;"CABECERA"),"Tipo de fila no reconocido. ","")&amp;IF(AND(OR(P75="SIN LÍNEAS",P75="CABECERA"),COUNTA(G75:J75)&gt;0),"La fila dice que no mide, pero contiene medidas. ","")&amp;IF(AND(OR(P75="DIRECTA",P75="DIMENSIONES"),U75=0),"Línea incompleta o con medidas no numéricas. ","")&amp;IF(P75="SIN LÍNEAS","No constan medidas de esta fila. ","")&amp;IF(Y75&gt;0,"Parece m³: tres dimensiones bajo m². ","")&amp;IF(AND(AB75&lt;&gt;"",SUMPRODUCT(--('LÉEME'!$B$65:$B$86=AC75))&lt;&gt;1),"Revisamos el significado de la unidad. ","")&amp;IF(Z75&gt;0,"Más precisión que los decimales indicados: cotejamos el original. ","")&amp;IF(AA75&gt;0,"Revisamos dimensiones, cantidad directa, ceros o deducción. ","")))</f>
      </c>
      <c r="O75" s="0" t="n">
        <f>IF(ISNUMBER(K75),IF(AND(K75&gt;0,K75=INT(K75),K75&lt;=999999),K75,0),0)</f>
        <v>0</v>
      </c>
      <c r="P75" s="0">
        <f>IF(COUNTA(B75:L75)=0,"",IF(L75="",IF(COUNTA(G75:J75)&gt;0,"DIMENSIONES","SIN LÍNEAS"),UPPER(TRIM(L75))))</f>
      </c>
      <c r="Q75" s="0">
        <f>IF(AND(O75&gt;0,LEN(TRIM(B75&amp;""))&gt;0,LEN(TRIM(C75&amp;""))&gt;0,LEN(TRIM(E75&amp;""))&gt;0,ISNUMBER(F75)),O75,"")</f>
      </c>
      <c r="R75" s="0" t="n">
        <f>IF(O75=0,0,IF(COUNTIFS($Q$13:$Q$512,O75)&gt;0,MATCH(O75,$Q$13:$Q$512,0),0))</f>
        <v>0</v>
      </c>
      <c r="S75" s="0">
        <f>IF(AB75="","",IF(SUMPRODUCT(--('LÉEME'!$B$65:$B$86=AC75))=1,INDEX('LÉEME'!$C$65:$C$86,MATCH(AC75,'LÉEME'!$B$65:$B$86,0)),UPPER(TRIM(AB75))))</f>
      </c>
      <c r="T75" s="0" t="n">
        <f>IF(R75=0,0,IF(OR(AND(LEN(TRIM(B75&amp;""))&gt;0,UPPER(TRIM(B75&amp;""))&lt;&gt;UPPER(TRIM(INDEX($B$13:$B$512,R75)&amp;""))),AND(LEN(TRIM(C75&amp;""))&gt;0,UPPER(TRIM(C75&amp;""))&lt;&gt;UPPER(TRIM(INDEX($C$13:$C$512,R75)&amp;""))),AND(LEN(TRIM(E75&amp;""))&gt;0,S75&lt;&gt;INDEX($S$13:$S$512,R75)),AND(F75&lt;&gt;"",NOT(ISNUMBER(F75)))),1,IF(ISNUMBER(F75),IF(ABS(F75-INDEX($F$13:$F$512,R75))&gt;0.00000001,1,0),0)))</f>
        <v>0</v>
      </c>
      <c r="U75" s="0" t="n">
        <f>IF(P75="DIRECTA",IF(AND(ISNUMBER(G75),COUNTA(H75:J75)=0),1,0),IF(P75="DIMENSIONES",IF(AND(COUNT(G75:J75)&gt;0,COUNTA(G75:J75)=COUNT(G75:J75)),1,0),0))</f>
        <v>0</v>
      </c>
      <c r="V75" s="0" t="n">
        <f>IF(O75=0,0,IF(COUNTIFS($O$13:O75,O75)=1,1,0))</f>
        <v>0</v>
      </c>
      <c r="W75" s="0">
        <f>IF(V75=1,COUNTIFS($V$13:V75,1),"")</f>
      </c>
      <c r="X75" s="0">
        <f>IF(COUNTA(B75:L75)=0,"",IF(OR(NOT(IF(ISNUMBER($E$6),AND($E$6&gt;=0,$E$6&lt;=6,$E$6=INT($E$6)),FALSE)),O75=0,R75=0,T75&gt;0,AND(P75&lt;&gt;"DIMENSIONES",P75&lt;&gt;"DIRECTA",P75&lt;&gt;"SIN LÍNEAS",P75&lt;&gt;"CABECERA"),AND(OR(P75="DIRECTA",P75="DIMENSIONES"),U75=0),AND(OR(P75="SIN LÍNEAS",P75="CABECERA"),COUNTA(G75:J75)&gt;0)),2,IF(OR(P75="SIN LÍNEAS",Y75&gt;0,Z75&gt;0,AA75&gt;0,SUMPRODUCT(--('LÉEME'!$B$65:$B$86=AC75))&lt;&gt;1),1,0)))</f>
      </c>
      <c r="Y75" s="0" t="n">
        <f>IF(AND(P75="DIMENSIONES",S75="m²",COUNT(H75:J75)=3),1,0)</f>
        <v>0</v>
      </c>
      <c r="Z75" s="0" t="n">
        <f>IF(IF(ISNUMBER($E$6),AND($E$6&gt;=0,$E$6&lt;=6,$E$6=INT($E$6)),FALSE),IF(SUM(IF(ISNUMBER(F75),IF(ABS(F75-ROUND(F75,$E$6))&gt;0.00000001,1,0),0),IF(ISNUMBER(G75),IF(ABS(G75-ROUND(G75,$E$6))&gt;0.00000001,1,0),0),IF(ISNUMBER(H75),IF(ABS(H75-ROUND(H75,$E$6))&gt;0.00000001,1,0),0),IF(ISNUMBER(I75),IF(ABS(I75-ROUND(I75,$E$6))&gt;0.00000001,1,0),0),IF(ISNUMBER(J75),IF(ABS(J75-ROUND(J75,$E$6))&gt;0.00000001,1,0),0),IF(ISNUMBER(M75),IF(ABS(M75-ROUND(M75,$E$6))&gt;0.00000001,1,0),0))&gt;0,1,0),0)</f>
        <v>0</v>
      </c>
      <c r="AA75" s="0" t="n">
        <f>IF(COUNTA(B75:L75)=0,0,IF(OR(AND(ISNUMBER(F75),F75&lt;0),AND(U75=1,OR(SUM(IF(ISNUMBER(G75),IF(G75=0,1,0),0),IF(ISNUMBER(H75),IF(H75=0,1,0),0),IF(ISNUMBER(I75),IF(I75=0,1,0),0),IF(ISNUMBER(J75),IF(J75=0,1,0),0))&gt;0,COUNTIFS(G75:J75,"&lt;0")&gt;0)),AND(P75="DIMENSIONES",U75=1,OR(AND(S75="m",COUNT(H75:J75)&lt;&gt;1),AND(S75="m²",COUNT(H75:J75)&lt;&gt;2,Y75=0),AND(S75="m³",COUNT(H75:J75)&lt;&gt;3),AND(S75="ud",COUNT(H75:J75)&gt;0))),AND(P75="DIRECTA",OR(S75="m",S75="m²",S75="m³"))),1,0))</f>
        <v>0</v>
      </c>
      <c r="AB75" s="0">
        <f>IF(LEN(TRIM(E75&amp;""))&gt;0,E75,IF(R75&gt;0,INDEX($E$13:$E$512,R75),""))</f>
      </c>
      <c r="AC75" s="0">
        <f>UPPER(SUBSTITUTE(SUBSTITUTE(SUBSTITUTE(SUBSTITUTE(SUBSTITUTE(TRIM(AB75),"²","2"),"³","3"),"^",""),".","")," ",""))</f>
      </c>
    </row>
    <row r="76" ht="35" customHeight="1">
      <c r="B76" s="35"/>
      <c r="C76" s="35"/>
      <c r="D76" s="37"/>
      <c r="E76" s="35"/>
      <c r="F76" s="38"/>
      <c r="G76" s="38"/>
      <c r="H76" s="38"/>
      <c r="I76" s="38"/>
      <c r="J76" s="38"/>
      <c r="K76" s="35"/>
      <c r="L76" s="35"/>
      <c r="M76" s="39">
        <f>IF(U76&lt;&gt;1,"",IF(P76="DIRECTA",G76,IF(ISNUMBER(G76),G76,1)*IF(ISNUMBER(H76),H76,1)*IF(ISNUMBER(I76),I76,1)*IF(ISNUMBER(J76),J76,1)))</f>
      </c>
      <c r="N76" s="30">
        <f>IF(COUNTA(B76:L76)=0,"",IF(X76=0,IF(P76="CABECERA","VERDE · Fila descriptiva; la suma usa las líneas del ID","VERDE · Datos numéricos interpretables"),IF(X76=2,"ROJO · ","ÁMBAR · ")&amp;IF(NOT(IF(ISNUMBER($E$6),AND($E$6&gt;=0,$E$6&lt;=6,$E$6=INT($E$6)),FALSE)),"Indicamos entre 0 y 6 decimales en E6. ","")&amp;IF(O76=0,"Falta un ID numérico. ","")&amp;IF(R76=0,"Faltan capítulo, código, unidad o total numérico del ID. ","")&amp;IF(T76&gt;0,"Los datos o el total del ID se contradicen. ","")&amp;IF(AND(P76&lt;&gt;"DIMENSIONES",P76&lt;&gt;"DIRECTA",P76&lt;&gt;"SIN LÍNEAS",P76&lt;&gt;"CABECERA"),"Tipo de fila no reconocido. ","")&amp;IF(AND(OR(P76="SIN LÍNEAS",P76="CABECERA"),COUNTA(G76:J76)&gt;0),"La fila dice que no mide, pero contiene medidas. ","")&amp;IF(AND(OR(P76="DIRECTA",P76="DIMENSIONES"),U76=0),"Línea incompleta o con medidas no numéricas. ","")&amp;IF(P76="SIN LÍNEAS","No constan medidas de esta fila. ","")&amp;IF(Y76&gt;0,"Parece m³: tres dimensiones bajo m². ","")&amp;IF(AND(AB76&lt;&gt;"",SUMPRODUCT(--('LÉEME'!$B$65:$B$86=AC76))&lt;&gt;1),"Revisamos el significado de la unidad. ","")&amp;IF(Z76&gt;0,"Más precisión que los decimales indicados: cotejamos el original. ","")&amp;IF(AA76&gt;0,"Revisamos dimensiones, cantidad directa, ceros o deducción. ","")))</f>
      </c>
      <c r="O76" s="0" t="n">
        <f>IF(ISNUMBER(K76),IF(AND(K76&gt;0,K76=INT(K76),K76&lt;=999999),K76,0),0)</f>
        <v>0</v>
      </c>
      <c r="P76" s="0">
        <f>IF(COUNTA(B76:L76)=0,"",IF(L76="",IF(COUNTA(G76:J76)&gt;0,"DIMENSIONES","SIN LÍNEAS"),UPPER(TRIM(L76))))</f>
      </c>
      <c r="Q76" s="0">
        <f>IF(AND(O76&gt;0,LEN(TRIM(B76&amp;""))&gt;0,LEN(TRIM(C76&amp;""))&gt;0,LEN(TRIM(E76&amp;""))&gt;0,ISNUMBER(F76)),O76,"")</f>
      </c>
      <c r="R76" s="0" t="n">
        <f>IF(O76=0,0,IF(COUNTIFS($Q$13:$Q$512,O76)&gt;0,MATCH(O76,$Q$13:$Q$512,0),0))</f>
        <v>0</v>
      </c>
      <c r="S76" s="0">
        <f>IF(AB76="","",IF(SUMPRODUCT(--('LÉEME'!$B$65:$B$86=AC76))=1,INDEX('LÉEME'!$C$65:$C$86,MATCH(AC76,'LÉEME'!$B$65:$B$86,0)),UPPER(TRIM(AB76))))</f>
      </c>
      <c r="T76" s="0" t="n">
        <f>IF(R76=0,0,IF(OR(AND(LEN(TRIM(B76&amp;""))&gt;0,UPPER(TRIM(B76&amp;""))&lt;&gt;UPPER(TRIM(INDEX($B$13:$B$512,R76)&amp;""))),AND(LEN(TRIM(C76&amp;""))&gt;0,UPPER(TRIM(C76&amp;""))&lt;&gt;UPPER(TRIM(INDEX($C$13:$C$512,R76)&amp;""))),AND(LEN(TRIM(E76&amp;""))&gt;0,S76&lt;&gt;INDEX($S$13:$S$512,R76)),AND(F76&lt;&gt;"",NOT(ISNUMBER(F76)))),1,IF(ISNUMBER(F76),IF(ABS(F76-INDEX($F$13:$F$512,R76))&gt;0.00000001,1,0),0)))</f>
        <v>0</v>
      </c>
      <c r="U76" s="0" t="n">
        <f>IF(P76="DIRECTA",IF(AND(ISNUMBER(G76),COUNTA(H76:J76)=0),1,0),IF(P76="DIMENSIONES",IF(AND(COUNT(G76:J76)&gt;0,COUNTA(G76:J76)=COUNT(G76:J76)),1,0),0))</f>
        <v>0</v>
      </c>
      <c r="V76" s="0" t="n">
        <f>IF(O76=0,0,IF(COUNTIFS($O$13:O76,O76)=1,1,0))</f>
        <v>0</v>
      </c>
      <c r="W76" s="0">
        <f>IF(V76=1,COUNTIFS($V$13:V76,1),"")</f>
      </c>
      <c r="X76" s="0">
        <f>IF(COUNTA(B76:L76)=0,"",IF(OR(NOT(IF(ISNUMBER($E$6),AND($E$6&gt;=0,$E$6&lt;=6,$E$6=INT($E$6)),FALSE)),O76=0,R76=0,T76&gt;0,AND(P76&lt;&gt;"DIMENSIONES",P76&lt;&gt;"DIRECTA",P76&lt;&gt;"SIN LÍNEAS",P76&lt;&gt;"CABECERA"),AND(OR(P76="DIRECTA",P76="DIMENSIONES"),U76=0),AND(OR(P76="SIN LÍNEAS",P76="CABECERA"),COUNTA(G76:J76)&gt;0)),2,IF(OR(P76="SIN LÍNEAS",Y76&gt;0,Z76&gt;0,AA76&gt;0,SUMPRODUCT(--('LÉEME'!$B$65:$B$86=AC76))&lt;&gt;1),1,0)))</f>
      </c>
      <c r="Y76" s="0" t="n">
        <f>IF(AND(P76="DIMENSIONES",S76="m²",COUNT(H76:J76)=3),1,0)</f>
        <v>0</v>
      </c>
      <c r="Z76" s="0" t="n">
        <f>IF(IF(ISNUMBER($E$6),AND($E$6&gt;=0,$E$6&lt;=6,$E$6=INT($E$6)),FALSE),IF(SUM(IF(ISNUMBER(F76),IF(ABS(F76-ROUND(F76,$E$6))&gt;0.00000001,1,0),0),IF(ISNUMBER(G76),IF(ABS(G76-ROUND(G76,$E$6))&gt;0.00000001,1,0),0),IF(ISNUMBER(H76),IF(ABS(H76-ROUND(H76,$E$6))&gt;0.00000001,1,0),0),IF(ISNUMBER(I76),IF(ABS(I76-ROUND(I76,$E$6))&gt;0.00000001,1,0),0),IF(ISNUMBER(J76),IF(ABS(J76-ROUND(J76,$E$6))&gt;0.00000001,1,0),0),IF(ISNUMBER(M76),IF(ABS(M76-ROUND(M76,$E$6))&gt;0.00000001,1,0),0))&gt;0,1,0),0)</f>
        <v>0</v>
      </c>
      <c r="AA76" s="0" t="n">
        <f>IF(COUNTA(B76:L76)=0,0,IF(OR(AND(ISNUMBER(F76),F76&lt;0),AND(U76=1,OR(SUM(IF(ISNUMBER(G76),IF(G76=0,1,0),0),IF(ISNUMBER(H76),IF(H76=0,1,0),0),IF(ISNUMBER(I76),IF(I76=0,1,0),0),IF(ISNUMBER(J76),IF(J76=0,1,0),0))&gt;0,COUNTIFS(G76:J76,"&lt;0")&gt;0)),AND(P76="DIMENSIONES",U76=1,OR(AND(S76="m",COUNT(H76:J76)&lt;&gt;1),AND(S76="m²",COUNT(H76:J76)&lt;&gt;2,Y76=0),AND(S76="m³",COUNT(H76:J76)&lt;&gt;3),AND(S76="ud",COUNT(H76:J76)&gt;0))),AND(P76="DIRECTA",OR(S76="m",S76="m²",S76="m³"))),1,0))</f>
        <v>0</v>
      </c>
      <c r="AB76" s="0">
        <f>IF(LEN(TRIM(E76&amp;""))&gt;0,E76,IF(R76&gt;0,INDEX($E$13:$E$512,R76),""))</f>
      </c>
      <c r="AC76" s="0">
        <f>UPPER(SUBSTITUTE(SUBSTITUTE(SUBSTITUTE(SUBSTITUTE(SUBSTITUTE(TRIM(AB76),"²","2"),"³","3"),"^",""),".","")," ",""))</f>
      </c>
    </row>
    <row r="77" ht="35" customHeight="1">
      <c r="B77" s="35"/>
      <c r="C77" s="35"/>
      <c r="D77" s="37"/>
      <c r="E77" s="35"/>
      <c r="F77" s="38"/>
      <c r="G77" s="38"/>
      <c r="H77" s="38"/>
      <c r="I77" s="38"/>
      <c r="J77" s="38"/>
      <c r="K77" s="35"/>
      <c r="L77" s="35"/>
      <c r="M77" s="39">
        <f>IF(U77&lt;&gt;1,"",IF(P77="DIRECTA",G77,IF(ISNUMBER(G77),G77,1)*IF(ISNUMBER(H77),H77,1)*IF(ISNUMBER(I77),I77,1)*IF(ISNUMBER(J77),J77,1)))</f>
      </c>
      <c r="N77" s="30">
        <f>IF(COUNTA(B77:L77)=0,"",IF(X77=0,IF(P77="CABECERA","VERDE · Fila descriptiva; la suma usa las líneas del ID","VERDE · Datos numéricos interpretables"),IF(X77=2,"ROJO · ","ÁMBAR · ")&amp;IF(NOT(IF(ISNUMBER($E$6),AND($E$6&gt;=0,$E$6&lt;=6,$E$6=INT($E$6)),FALSE)),"Indicamos entre 0 y 6 decimales en E6. ","")&amp;IF(O77=0,"Falta un ID numérico. ","")&amp;IF(R77=0,"Faltan capítulo, código, unidad o total numérico del ID. ","")&amp;IF(T77&gt;0,"Los datos o el total del ID se contradicen. ","")&amp;IF(AND(P77&lt;&gt;"DIMENSIONES",P77&lt;&gt;"DIRECTA",P77&lt;&gt;"SIN LÍNEAS",P77&lt;&gt;"CABECERA"),"Tipo de fila no reconocido. ","")&amp;IF(AND(OR(P77="SIN LÍNEAS",P77="CABECERA"),COUNTA(G77:J77)&gt;0),"La fila dice que no mide, pero contiene medidas. ","")&amp;IF(AND(OR(P77="DIRECTA",P77="DIMENSIONES"),U77=0),"Línea incompleta o con medidas no numéricas. ","")&amp;IF(P77="SIN LÍNEAS","No constan medidas de esta fila. ","")&amp;IF(Y77&gt;0,"Parece m³: tres dimensiones bajo m². ","")&amp;IF(AND(AB77&lt;&gt;"",SUMPRODUCT(--('LÉEME'!$B$65:$B$86=AC77))&lt;&gt;1),"Revisamos el significado de la unidad. ","")&amp;IF(Z77&gt;0,"Más precisión que los decimales indicados: cotejamos el original. ","")&amp;IF(AA77&gt;0,"Revisamos dimensiones, cantidad directa, ceros o deducción. ","")))</f>
      </c>
      <c r="O77" s="0" t="n">
        <f>IF(ISNUMBER(K77),IF(AND(K77&gt;0,K77=INT(K77),K77&lt;=999999),K77,0),0)</f>
        <v>0</v>
      </c>
      <c r="P77" s="0">
        <f>IF(COUNTA(B77:L77)=0,"",IF(L77="",IF(COUNTA(G77:J77)&gt;0,"DIMENSIONES","SIN LÍNEAS"),UPPER(TRIM(L77))))</f>
      </c>
      <c r="Q77" s="0">
        <f>IF(AND(O77&gt;0,LEN(TRIM(B77&amp;""))&gt;0,LEN(TRIM(C77&amp;""))&gt;0,LEN(TRIM(E77&amp;""))&gt;0,ISNUMBER(F77)),O77,"")</f>
      </c>
      <c r="R77" s="0" t="n">
        <f>IF(O77=0,0,IF(COUNTIFS($Q$13:$Q$512,O77)&gt;0,MATCH(O77,$Q$13:$Q$512,0),0))</f>
        <v>0</v>
      </c>
      <c r="S77" s="0">
        <f>IF(AB77="","",IF(SUMPRODUCT(--('LÉEME'!$B$65:$B$86=AC77))=1,INDEX('LÉEME'!$C$65:$C$86,MATCH(AC77,'LÉEME'!$B$65:$B$86,0)),UPPER(TRIM(AB77))))</f>
      </c>
      <c r="T77" s="0" t="n">
        <f>IF(R77=0,0,IF(OR(AND(LEN(TRIM(B77&amp;""))&gt;0,UPPER(TRIM(B77&amp;""))&lt;&gt;UPPER(TRIM(INDEX($B$13:$B$512,R77)&amp;""))),AND(LEN(TRIM(C77&amp;""))&gt;0,UPPER(TRIM(C77&amp;""))&lt;&gt;UPPER(TRIM(INDEX($C$13:$C$512,R77)&amp;""))),AND(LEN(TRIM(E77&amp;""))&gt;0,S77&lt;&gt;INDEX($S$13:$S$512,R77)),AND(F77&lt;&gt;"",NOT(ISNUMBER(F77)))),1,IF(ISNUMBER(F77),IF(ABS(F77-INDEX($F$13:$F$512,R77))&gt;0.00000001,1,0),0)))</f>
        <v>0</v>
      </c>
      <c r="U77" s="0" t="n">
        <f>IF(P77="DIRECTA",IF(AND(ISNUMBER(G77),COUNTA(H77:J77)=0),1,0),IF(P77="DIMENSIONES",IF(AND(COUNT(G77:J77)&gt;0,COUNTA(G77:J77)=COUNT(G77:J77)),1,0),0))</f>
        <v>0</v>
      </c>
      <c r="V77" s="0" t="n">
        <f>IF(O77=0,0,IF(COUNTIFS($O$13:O77,O77)=1,1,0))</f>
        <v>0</v>
      </c>
      <c r="W77" s="0">
        <f>IF(V77=1,COUNTIFS($V$13:V77,1),"")</f>
      </c>
      <c r="X77" s="0">
        <f>IF(COUNTA(B77:L77)=0,"",IF(OR(NOT(IF(ISNUMBER($E$6),AND($E$6&gt;=0,$E$6&lt;=6,$E$6=INT($E$6)),FALSE)),O77=0,R77=0,T77&gt;0,AND(P77&lt;&gt;"DIMENSIONES",P77&lt;&gt;"DIRECTA",P77&lt;&gt;"SIN LÍNEAS",P77&lt;&gt;"CABECERA"),AND(OR(P77="DIRECTA",P77="DIMENSIONES"),U77=0),AND(OR(P77="SIN LÍNEAS",P77="CABECERA"),COUNTA(G77:J77)&gt;0)),2,IF(OR(P77="SIN LÍNEAS",Y77&gt;0,Z77&gt;0,AA77&gt;0,SUMPRODUCT(--('LÉEME'!$B$65:$B$86=AC77))&lt;&gt;1),1,0)))</f>
      </c>
      <c r="Y77" s="0" t="n">
        <f>IF(AND(P77="DIMENSIONES",S77="m²",COUNT(H77:J77)=3),1,0)</f>
        <v>0</v>
      </c>
      <c r="Z77" s="0" t="n">
        <f>IF(IF(ISNUMBER($E$6),AND($E$6&gt;=0,$E$6&lt;=6,$E$6=INT($E$6)),FALSE),IF(SUM(IF(ISNUMBER(F77),IF(ABS(F77-ROUND(F77,$E$6))&gt;0.00000001,1,0),0),IF(ISNUMBER(G77),IF(ABS(G77-ROUND(G77,$E$6))&gt;0.00000001,1,0),0),IF(ISNUMBER(H77),IF(ABS(H77-ROUND(H77,$E$6))&gt;0.00000001,1,0),0),IF(ISNUMBER(I77),IF(ABS(I77-ROUND(I77,$E$6))&gt;0.00000001,1,0),0),IF(ISNUMBER(J77),IF(ABS(J77-ROUND(J77,$E$6))&gt;0.00000001,1,0),0),IF(ISNUMBER(M77),IF(ABS(M77-ROUND(M77,$E$6))&gt;0.00000001,1,0),0))&gt;0,1,0),0)</f>
        <v>0</v>
      </c>
      <c r="AA77" s="0" t="n">
        <f>IF(COUNTA(B77:L77)=0,0,IF(OR(AND(ISNUMBER(F77),F77&lt;0),AND(U77=1,OR(SUM(IF(ISNUMBER(G77),IF(G77=0,1,0),0),IF(ISNUMBER(H77),IF(H77=0,1,0),0),IF(ISNUMBER(I77),IF(I77=0,1,0),0),IF(ISNUMBER(J77),IF(J77=0,1,0),0))&gt;0,COUNTIFS(G77:J77,"&lt;0")&gt;0)),AND(P77="DIMENSIONES",U77=1,OR(AND(S77="m",COUNT(H77:J77)&lt;&gt;1),AND(S77="m²",COUNT(H77:J77)&lt;&gt;2,Y77=0),AND(S77="m³",COUNT(H77:J77)&lt;&gt;3),AND(S77="ud",COUNT(H77:J77)&gt;0))),AND(P77="DIRECTA",OR(S77="m",S77="m²",S77="m³"))),1,0))</f>
        <v>0</v>
      </c>
      <c r="AB77" s="0">
        <f>IF(LEN(TRIM(E77&amp;""))&gt;0,E77,IF(R77&gt;0,INDEX($E$13:$E$512,R77),""))</f>
      </c>
      <c r="AC77" s="0">
        <f>UPPER(SUBSTITUTE(SUBSTITUTE(SUBSTITUTE(SUBSTITUTE(SUBSTITUTE(TRIM(AB77),"²","2"),"³","3"),"^",""),".","")," ",""))</f>
      </c>
    </row>
    <row r="78" ht="35" customHeight="1">
      <c r="B78" s="35"/>
      <c r="C78" s="35"/>
      <c r="D78" s="37"/>
      <c r="E78" s="35"/>
      <c r="F78" s="38"/>
      <c r="G78" s="38"/>
      <c r="H78" s="38"/>
      <c r="I78" s="38"/>
      <c r="J78" s="38"/>
      <c r="K78" s="35"/>
      <c r="L78" s="35"/>
      <c r="M78" s="39">
        <f>IF(U78&lt;&gt;1,"",IF(P78="DIRECTA",G78,IF(ISNUMBER(G78),G78,1)*IF(ISNUMBER(H78),H78,1)*IF(ISNUMBER(I78),I78,1)*IF(ISNUMBER(J78),J78,1)))</f>
      </c>
      <c r="N78" s="30">
        <f>IF(COUNTA(B78:L78)=0,"",IF(X78=0,IF(P78="CABECERA","VERDE · Fila descriptiva; la suma usa las líneas del ID","VERDE · Datos numéricos interpretables"),IF(X78=2,"ROJO · ","ÁMBAR · ")&amp;IF(NOT(IF(ISNUMBER($E$6),AND($E$6&gt;=0,$E$6&lt;=6,$E$6=INT($E$6)),FALSE)),"Indicamos entre 0 y 6 decimales en E6. ","")&amp;IF(O78=0,"Falta un ID numérico. ","")&amp;IF(R78=0,"Faltan capítulo, código, unidad o total numérico del ID. ","")&amp;IF(T78&gt;0,"Los datos o el total del ID se contradicen. ","")&amp;IF(AND(P78&lt;&gt;"DIMENSIONES",P78&lt;&gt;"DIRECTA",P78&lt;&gt;"SIN LÍNEAS",P78&lt;&gt;"CABECERA"),"Tipo de fila no reconocido. ","")&amp;IF(AND(OR(P78="SIN LÍNEAS",P78="CABECERA"),COUNTA(G78:J78)&gt;0),"La fila dice que no mide, pero contiene medidas. ","")&amp;IF(AND(OR(P78="DIRECTA",P78="DIMENSIONES"),U78=0),"Línea incompleta o con medidas no numéricas. ","")&amp;IF(P78="SIN LÍNEAS","No constan medidas de esta fila. ","")&amp;IF(Y78&gt;0,"Parece m³: tres dimensiones bajo m². ","")&amp;IF(AND(AB78&lt;&gt;"",SUMPRODUCT(--('LÉEME'!$B$65:$B$86=AC78))&lt;&gt;1),"Revisamos el significado de la unidad. ","")&amp;IF(Z78&gt;0,"Más precisión que los decimales indicados: cotejamos el original. ","")&amp;IF(AA78&gt;0,"Revisamos dimensiones, cantidad directa, ceros o deducción. ","")))</f>
      </c>
      <c r="O78" s="0" t="n">
        <f>IF(ISNUMBER(K78),IF(AND(K78&gt;0,K78=INT(K78),K78&lt;=999999),K78,0),0)</f>
        <v>0</v>
      </c>
      <c r="P78" s="0">
        <f>IF(COUNTA(B78:L78)=0,"",IF(L78="",IF(COUNTA(G78:J78)&gt;0,"DIMENSIONES","SIN LÍNEAS"),UPPER(TRIM(L78))))</f>
      </c>
      <c r="Q78" s="0">
        <f>IF(AND(O78&gt;0,LEN(TRIM(B78&amp;""))&gt;0,LEN(TRIM(C78&amp;""))&gt;0,LEN(TRIM(E78&amp;""))&gt;0,ISNUMBER(F78)),O78,"")</f>
      </c>
      <c r="R78" s="0" t="n">
        <f>IF(O78=0,0,IF(COUNTIFS($Q$13:$Q$512,O78)&gt;0,MATCH(O78,$Q$13:$Q$512,0),0))</f>
        <v>0</v>
      </c>
      <c r="S78" s="0">
        <f>IF(AB78="","",IF(SUMPRODUCT(--('LÉEME'!$B$65:$B$86=AC78))=1,INDEX('LÉEME'!$C$65:$C$86,MATCH(AC78,'LÉEME'!$B$65:$B$86,0)),UPPER(TRIM(AB78))))</f>
      </c>
      <c r="T78" s="0" t="n">
        <f>IF(R78=0,0,IF(OR(AND(LEN(TRIM(B78&amp;""))&gt;0,UPPER(TRIM(B78&amp;""))&lt;&gt;UPPER(TRIM(INDEX($B$13:$B$512,R78)&amp;""))),AND(LEN(TRIM(C78&amp;""))&gt;0,UPPER(TRIM(C78&amp;""))&lt;&gt;UPPER(TRIM(INDEX($C$13:$C$512,R78)&amp;""))),AND(LEN(TRIM(E78&amp;""))&gt;0,S78&lt;&gt;INDEX($S$13:$S$512,R78)),AND(F78&lt;&gt;"",NOT(ISNUMBER(F78)))),1,IF(ISNUMBER(F78),IF(ABS(F78-INDEX($F$13:$F$512,R78))&gt;0.00000001,1,0),0)))</f>
        <v>0</v>
      </c>
      <c r="U78" s="0" t="n">
        <f>IF(P78="DIRECTA",IF(AND(ISNUMBER(G78),COUNTA(H78:J78)=0),1,0),IF(P78="DIMENSIONES",IF(AND(COUNT(G78:J78)&gt;0,COUNTA(G78:J78)=COUNT(G78:J78)),1,0),0))</f>
        <v>0</v>
      </c>
      <c r="V78" s="0" t="n">
        <f>IF(O78=0,0,IF(COUNTIFS($O$13:O78,O78)=1,1,0))</f>
        <v>0</v>
      </c>
      <c r="W78" s="0">
        <f>IF(V78=1,COUNTIFS($V$13:V78,1),"")</f>
      </c>
      <c r="X78" s="0">
        <f>IF(COUNTA(B78:L78)=0,"",IF(OR(NOT(IF(ISNUMBER($E$6),AND($E$6&gt;=0,$E$6&lt;=6,$E$6=INT($E$6)),FALSE)),O78=0,R78=0,T78&gt;0,AND(P78&lt;&gt;"DIMENSIONES",P78&lt;&gt;"DIRECTA",P78&lt;&gt;"SIN LÍNEAS",P78&lt;&gt;"CABECERA"),AND(OR(P78="DIRECTA",P78="DIMENSIONES"),U78=0),AND(OR(P78="SIN LÍNEAS",P78="CABECERA"),COUNTA(G78:J78)&gt;0)),2,IF(OR(P78="SIN LÍNEAS",Y78&gt;0,Z78&gt;0,AA78&gt;0,SUMPRODUCT(--('LÉEME'!$B$65:$B$86=AC78))&lt;&gt;1),1,0)))</f>
      </c>
      <c r="Y78" s="0" t="n">
        <f>IF(AND(P78="DIMENSIONES",S78="m²",COUNT(H78:J78)=3),1,0)</f>
        <v>0</v>
      </c>
      <c r="Z78" s="0" t="n">
        <f>IF(IF(ISNUMBER($E$6),AND($E$6&gt;=0,$E$6&lt;=6,$E$6=INT($E$6)),FALSE),IF(SUM(IF(ISNUMBER(F78),IF(ABS(F78-ROUND(F78,$E$6))&gt;0.00000001,1,0),0),IF(ISNUMBER(G78),IF(ABS(G78-ROUND(G78,$E$6))&gt;0.00000001,1,0),0),IF(ISNUMBER(H78),IF(ABS(H78-ROUND(H78,$E$6))&gt;0.00000001,1,0),0),IF(ISNUMBER(I78),IF(ABS(I78-ROUND(I78,$E$6))&gt;0.00000001,1,0),0),IF(ISNUMBER(J78),IF(ABS(J78-ROUND(J78,$E$6))&gt;0.00000001,1,0),0),IF(ISNUMBER(M78),IF(ABS(M78-ROUND(M78,$E$6))&gt;0.00000001,1,0),0))&gt;0,1,0),0)</f>
        <v>0</v>
      </c>
      <c r="AA78" s="0" t="n">
        <f>IF(COUNTA(B78:L78)=0,0,IF(OR(AND(ISNUMBER(F78),F78&lt;0),AND(U78=1,OR(SUM(IF(ISNUMBER(G78),IF(G78=0,1,0),0),IF(ISNUMBER(H78),IF(H78=0,1,0),0),IF(ISNUMBER(I78),IF(I78=0,1,0),0),IF(ISNUMBER(J78),IF(J78=0,1,0),0))&gt;0,COUNTIFS(G78:J78,"&lt;0")&gt;0)),AND(P78="DIMENSIONES",U78=1,OR(AND(S78="m",COUNT(H78:J78)&lt;&gt;1),AND(S78="m²",COUNT(H78:J78)&lt;&gt;2,Y78=0),AND(S78="m³",COUNT(H78:J78)&lt;&gt;3),AND(S78="ud",COUNT(H78:J78)&gt;0))),AND(P78="DIRECTA",OR(S78="m",S78="m²",S78="m³"))),1,0))</f>
        <v>0</v>
      </c>
      <c r="AB78" s="0">
        <f>IF(LEN(TRIM(E78&amp;""))&gt;0,E78,IF(R78&gt;0,INDEX($E$13:$E$512,R78),""))</f>
      </c>
      <c r="AC78" s="0">
        <f>UPPER(SUBSTITUTE(SUBSTITUTE(SUBSTITUTE(SUBSTITUTE(SUBSTITUTE(TRIM(AB78),"²","2"),"³","3"),"^",""),".","")," ",""))</f>
      </c>
    </row>
    <row r="79" ht="35" customHeight="1">
      <c r="B79" s="35"/>
      <c r="C79" s="35"/>
      <c r="D79" s="37"/>
      <c r="E79" s="35"/>
      <c r="F79" s="38"/>
      <c r="G79" s="38"/>
      <c r="H79" s="38"/>
      <c r="I79" s="38"/>
      <c r="J79" s="38"/>
      <c r="K79" s="35"/>
      <c r="L79" s="35"/>
      <c r="M79" s="39">
        <f>IF(U79&lt;&gt;1,"",IF(P79="DIRECTA",G79,IF(ISNUMBER(G79),G79,1)*IF(ISNUMBER(H79),H79,1)*IF(ISNUMBER(I79),I79,1)*IF(ISNUMBER(J79),J79,1)))</f>
      </c>
      <c r="N79" s="30">
        <f>IF(COUNTA(B79:L79)=0,"",IF(X79=0,IF(P79="CABECERA","VERDE · Fila descriptiva; la suma usa las líneas del ID","VERDE · Datos numéricos interpretables"),IF(X79=2,"ROJO · ","ÁMBAR · ")&amp;IF(NOT(IF(ISNUMBER($E$6),AND($E$6&gt;=0,$E$6&lt;=6,$E$6=INT($E$6)),FALSE)),"Indicamos entre 0 y 6 decimales en E6. ","")&amp;IF(O79=0,"Falta un ID numérico. ","")&amp;IF(R79=0,"Faltan capítulo, código, unidad o total numérico del ID. ","")&amp;IF(T79&gt;0,"Los datos o el total del ID se contradicen. ","")&amp;IF(AND(P79&lt;&gt;"DIMENSIONES",P79&lt;&gt;"DIRECTA",P79&lt;&gt;"SIN LÍNEAS",P79&lt;&gt;"CABECERA"),"Tipo de fila no reconocido. ","")&amp;IF(AND(OR(P79="SIN LÍNEAS",P79="CABECERA"),COUNTA(G79:J79)&gt;0),"La fila dice que no mide, pero contiene medidas. ","")&amp;IF(AND(OR(P79="DIRECTA",P79="DIMENSIONES"),U79=0),"Línea incompleta o con medidas no numéricas. ","")&amp;IF(P79="SIN LÍNEAS","No constan medidas de esta fila. ","")&amp;IF(Y79&gt;0,"Parece m³: tres dimensiones bajo m². ","")&amp;IF(AND(AB79&lt;&gt;"",SUMPRODUCT(--('LÉEME'!$B$65:$B$86=AC79))&lt;&gt;1),"Revisamos el significado de la unidad. ","")&amp;IF(Z79&gt;0,"Más precisión que los decimales indicados: cotejamos el original. ","")&amp;IF(AA79&gt;0,"Revisamos dimensiones, cantidad directa, ceros o deducción. ","")))</f>
      </c>
      <c r="O79" s="0" t="n">
        <f>IF(ISNUMBER(K79),IF(AND(K79&gt;0,K79=INT(K79),K79&lt;=999999),K79,0),0)</f>
        <v>0</v>
      </c>
      <c r="P79" s="0">
        <f>IF(COUNTA(B79:L79)=0,"",IF(L79="",IF(COUNTA(G79:J79)&gt;0,"DIMENSIONES","SIN LÍNEAS"),UPPER(TRIM(L79))))</f>
      </c>
      <c r="Q79" s="0">
        <f>IF(AND(O79&gt;0,LEN(TRIM(B79&amp;""))&gt;0,LEN(TRIM(C79&amp;""))&gt;0,LEN(TRIM(E79&amp;""))&gt;0,ISNUMBER(F79)),O79,"")</f>
      </c>
      <c r="R79" s="0" t="n">
        <f>IF(O79=0,0,IF(COUNTIFS($Q$13:$Q$512,O79)&gt;0,MATCH(O79,$Q$13:$Q$512,0),0))</f>
        <v>0</v>
      </c>
      <c r="S79" s="0">
        <f>IF(AB79="","",IF(SUMPRODUCT(--('LÉEME'!$B$65:$B$86=AC79))=1,INDEX('LÉEME'!$C$65:$C$86,MATCH(AC79,'LÉEME'!$B$65:$B$86,0)),UPPER(TRIM(AB79))))</f>
      </c>
      <c r="T79" s="0" t="n">
        <f>IF(R79=0,0,IF(OR(AND(LEN(TRIM(B79&amp;""))&gt;0,UPPER(TRIM(B79&amp;""))&lt;&gt;UPPER(TRIM(INDEX($B$13:$B$512,R79)&amp;""))),AND(LEN(TRIM(C79&amp;""))&gt;0,UPPER(TRIM(C79&amp;""))&lt;&gt;UPPER(TRIM(INDEX($C$13:$C$512,R79)&amp;""))),AND(LEN(TRIM(E79&amp;""))&gt;0,S79&lt;&gt;INDEX($S$13:$S$512,R79)),AND(F79&lt;&gt;"",NOT(ISNUMBER(F79)))),1,IF(ISNUMBER(F79),IF(ABS(F79-INDEX($F$13:$F$512,R79))&gt;0.00000001,1,0),0)))</f>
        <v>0</v>
      </c>
      <c r="U79" s="0" t="n">
        <f>IF(P79="DIRECTA",IF(AND(ISNUMBER(G79),COUNTA(H79:J79)=0),1,0),IF(P79="DIMENSIONES",IF(AND(COUNT(G79:J79)&gt;0,COUNTA(G79:J79)=COUNT(G79:J79)),1,0),0))</f>
        <v>0</v>
      </c>
      <c r="V79" s="0" t="n">
        <f>IF(O79=0,0,IF(COUNTIFS($O$13:O79,O79)=1,1,0))</f>
        <v>0</v>
      </c>
      <c r="W79" s="0">
        <f>IF(V79=1,COUNTIFS($V$13:V79,1),"")</f>
      </c>
      <c r="X79" s="0">
        <f>IF(COUNTA(B79:L79)=0,"",IF(OR(NOT(IF(ISNUMBER($E$6),AND($E$6&gt;=0,$E$6&lt;=6,$E$6=INT($E$6)),FALSE)),O79=0,R79=0,T79&gt;0,AND(P79&lt;&gt;"DIMENSIONES",P79&lt;&gt;"DIRECTA",P79&lt;&gt;"SIN LÍNEAS",P79&lt;&gt;"CABECERA"),AND(OR(P79="DIRECTA",P79="DIMENSIONES"),U79=0),AND(OR(P79="SIN LÍNEAS",P79="CABECERA"),COUNTA(G79:J79)&gt;0)),2,IF(OR(P79="SIN LÍNEAS",Y79&gt;0,Z79&gt;0,AA79&gt;0,SUMPRODUCT(--('LÉEME'!$B$65:$B$86=AC79))&lt;&gt;1),1,0)))</f>
      </c>
      <c r="Y79" s="0" t="n">
        <f>IF(AND(P79="DIMENSIONES",S79="m²",COUNT(H79:J79)=3),1,0)</f>
        <v>0</v>
      </c>
      <c r="Z79" s="0" t="n">
        <f>IF(IF(ISNUMBER($E$6),AND($E$6&gt;=0,$E$6&lt;=6,$E$6=INT($E$6)),FALSE),IF(SUM(IF(ISNUMBER(F79),IF(ABS(F79-ROUND(F79,$E$6))&gt;0.00000001,1,0),0),IF(ISNUMBER(G79),IF(ABS(G79-ROUND(G79,$E$6))&gt;0.00000001,1,0),0),IF(ISNUMBER(H79),IF(ABS(H79-ROUND(H79,$E$6))&gt;0.00000001,1,0),0),IF(ISNUMBER(I79),IF(ABS(I79-ROUND(I79,$E$6))&gt;0.00000001,1,0),0),IF(ISNUMBER(J79),IF(ABS(J79-ROUND(J79,$E$6))&gt;0.00000001,1,0),0),IF(ISNUMBER(M79),IF(ABS(M79-ROUND(M79,$E$6))&gt;0.00000001,1,0),0))&gt;0,1,0),0)</f>
        <v>0</v>
      </c>
      <c r="AA79" s="0" t="n">
        <f>IF(COUNTA(B79:L79)=0,0,IF(OR(AND(ISNUMBER(F79),F79&lt;0),AND(U79=1,OR(SUM(IF(ISNUMBER(G79),IF(G79=0,1,0),0),IF(ISNUMBER(H79),IF(H79=0,1,0),0),IF(ISNUMBER(I79),IF(I79=0,1,0),0),IF(ISNUMBER(J79),IF(J79=0,1,0),0))&gt;0,COUNTIFS(G79:J79,"&lt;0")&gt;0)),AND(P79="DIMENSIONES",U79=1,OR(AND(S79="m",COUNT(H79:J79)&lt;&gt;1),AND(S79="m²",COUNT(H79:J79)&lt;&gt;2,Y79=0),AND(S79="m³",COUNT(H79:J79)&lt;&gt;3),AND(S79="ud",COUNT(H79:J79)&gt;0))),AND(P79="DIRECTA",OR(S79="m",S79="m²",S79="m³"))),1,0))</f>
        <v>0</v>
      </c>
      <c r="AB79" s="0">
        <f>IF(LEN(TRIM(E79&amp;""))&gt;0,E79,IF(R79&gt;0,INDEX($E$13:$E$512,R79),""))</f>
      </c>
      <c r="AC79" s="0">
        <f>UPPER(SUBSTITUTE(SUBSTITUTE(SUBSTITUTE(SUBSTITUTE(SUBSTITUTE(TRIM(AB79),"²","2"),"³","3"),"^",""),".","")," ",""))</f>
      </c>
    </row>
    <row r="80" ht="35" customHeight="1">
      <c r="B80" s="35"/>
      <c r="C80" s="35"/>
      <c r="D80" s="37"/>
      <c r="E80" s="35"/>
      <c r="F80" s="38"/>
      <c r="G80" s="38"/>
      <c r="H80" s="38"/>
      <c r="I80" s="38"/>
      <c r="J80" s="38"/>
      <c r="K80" s="35"/>
      <c r="L80" s="35"/>
      <c r="M80" s="39">
        <f>IF(U80&lt;&gt;1,"",IF(P80="DIRECTA",G80,IF(ISNUMBER(G80),G80,1)*IF(ISNUMBER(H80),H80,1)*IF(ISNUMBER(I80),I80,1)*IF(ISNUMBER(J80),J80,1)))</f>
      </c>
      <c r="N80" s="30">
        <f>IF(COUNTA(B80:L80)=0,"",IF(X80=0,IF(P80="CABECERA","VERDE · Fila descriptiva; la suma usa las líneas del ID","VERDE · Datos numéricos interpretables"),IF(X80=2,"ROJO · ","ÁMBAR · ")&amp;IF(NOT(IF(ISNUMBER($E$6),AND($E$6&gt;=0,$E$6&lt;=6,$E$6=INT($E$6)),FALSE)),"Indicamos entre 0 y 6 decimales en E6. ","")&amp;IF(O80=0,"Falta un ID numérico. ","")&amp;IF(R80=0,"Faltan capítulo, código, unidad o total numérico del ID. ","")&amp;IF(T80&gt;0,"Los datos o el total del ID se contradicen. ","")&amp;IF(AND(P80&lt;&gt;"DIMENSIONES",P80&lt;&gt;"DIRECTA",P80&lt;&gt;"SIN LÍNEAS",P80&lt;&gt;"CABECERA"),"Tipo de fila no reconocido. ","")&amp;IF(AND(OR(P80="SIN LÍNEAS",P80="CABECERA"),COUNTA(G80:J80)&gt;0),"La fila dice que no mide, pero contiene medidas. ","")&amp;IF(AND(OR(P80="DIRECTA",P80="DIMENSIONES"),U80=0),"Línea incompleta o con medidas no numéricas. ","")&amp;IF(P80="SIN LÍNEAS","No constan medidas de esta fila. ","")&amp;IF(Y80&gt;0,"Parece m³: tres dimensiones bajo m². ","")&amp;IF(AND(AB80&lt;&gt;"",SUMPRODUCT(--('LÉEME'!$B$65:$B$86=AC80))&lt;&gt;1),"Revisamos el significado de la unidad. ","")&amp;IF(Z80&gt;0,"Más precisión que los decimales indicados: cotejamos el original. ","")&amp;IF(AA80&gt;0,"Revisamos dimensiones, cantidad directa, ceros o deducción. ","")))</f>
      </c>
      <c r="O80" s="0" t="n">
        <f>IF(ISNUMBER(K80),IF(AND(K80&gt;0,K80=INT(K80),K80&lt;=999999),K80,0),0)</f>
        <v>0</v>
      </c>
      <c r="P80" s="0">
        <f>IF(COUNTA(B80:L80)=0,"",IF(L80="",IF(COUNTA(G80:J80)&gt;0,"DIMENSIONES","SIN LÍNEAS"),UPPER(TRIM(L80))))</f>
      </c>
      <c r="Q80" s="0">
        <f>IF(AND(O80&gt;0,LEN(TRIM(B80&amp;""))&gt;0,LEN(TRIM(C80&amp;""))&gt;0,LEN(TRIM(E80&amp;""))&gt;0,ISNUMBER(F80)),O80,"")</f>
      </c>
      <c r="R80" s="0" t="n">
        <f>IF(O80=0,0,IF(COUNTIFS($Q$13:$Q$512,O80)&gt;0,MATCH(O80,$Q$13:$Q$512,0),0))</f>
        <v>0</v>
      </c>
      <c r="S80" s="0">
        <f>IF(AB80="","",IF(SUMPRODUCT(--('LÉEME'!$B$65:$B$86=AC80))=1,INDEX('LÉEME'!$C$65:$C$86,MATCH(AC80,'LÉEME'!$B$65:$B$86,0)),UPPER(TRIM(AB80))))</f>
      </c>
      <c r="T80" s="0" t="n">
        <f>IF(R80=0,0,IF(OR(AND(LEN(TRIM(B80&amp;""))&gt;0,UPPER(TRIM(B80&amp;""))&lt;&gt;UPPER(TRIM(INDEX($B$13:$B$512,R80)&amp;""))),AND(LEN(TRIM(C80&amp;""))&gt;0,UPPER(TRIM(C80&amp;""))&lt;&gt;UPPER(TRIM(INDEX($C$13:$C$512,R80)&amp;""))),AND(LEN(TRIM(E80&amp;""))&gt;0,S80&lt;&gt;INDEX($S$13:$S$512,R80)),AND(F80&lt;&gt;"",NOT(ISNUMBER(F80)))),1,IF(ISNUMBER(F80),IF(ABS(F80-INDEX($F$13:$F$512,R80))&gt;0.00000001,1,0),0)))</f>
        <v>0</v>
      </c>
      <c r="U80" s="0" t="n">
        <f>IF(P80="DIRECTA",IF(AND(ISNUMBER(G80),COUNTA(H80:J80)=0),1,0),IF(P80="DIMENSIONES",IF(AND(COUNT(G80:J80)&gt;0,COUNTA(G80:J80)=COUNT(G80:J80)),1,0),0))</f>
        <v>0</v>
      </c>
      <c r="V80" s="0" t="n">
        <f>IF(O80=0,0,IF(COUNTIFS($O$13:O80,O80)=1,1,0))</f>
        <v>0</v>
      </c>
      <c r="W80" s="0">
        <f>IF(V80=1,COUNTIFS($V$13:V80,1),"")</f>
      </c>
      <c r="X80" s="0">
        <f>IF(COUNTA(B80:L80)=0,"",IF(OR(NOT(IF(ISNUMBER($E$6),AND($E$6&gt;=0,$E$6&lt;=6,$E$6=INT($E$6)),FALSE)),O80=0,R80=0,T80&gt;0,AND(P80&lt;&gt;"DIMENSIONES",P80&lt;&gt;"DIRECTA",P80&lt;&gt;"SIN LÍNEAS",P80&lt;&gt;"CABECERA"),AND(OR(P80="DIRECTA",P80="DIMENSIONES"),U80=0),AND(OR(P80="SIN LÍNEAS",P80="CABECERA"),COUNTA(G80:J80)&gt;0)),2,IF(OR(P80="SIN LÍNEAS",Y80&gt;0,Z80&gt;0,AA80&gt;0,SUMPRODUCT(--('LÉEME'!$B$65:$B$86=AC80))&lt;&gt;1),1,0)))</f>
      </c>
      <c r="Y80" s="0" t="n">
        <f>IF(AND(P80="DIMENSIONES",S80="m²",COUNT(H80:J80)=3),1,0)</f>
        <v>0</v>
      </c>
      <c r="Z80" s="0" t="n">
        <f>IF(IF(ISNUMBER($E$6),AND($E$6&gt;=0,$E$6&lt;=6,$E$6=INT($E$6)),FALSE),IF(SUM(IF(ISNUMBER(F80),IF(ABS(F80-ROUND(F80,$E$6))&gt;0.00000001,1,0),0),IF(ISNUMBER(G80),IF(ABS(G80-ROUND(G80,$E$6))&gt;0.00000001,1,0),0),IF(ISNUMBER(H80),IF(ABS(H80-ROUND(H80,$E$6))&gt;0.00000001,1,0),0),IF(ISNUMBER(I80),IF(ABS(I80-ROUND(I80,$E$6))&gt;0.00000001,1,0),0),IF(ISNUMBER(J80),IF(ABS(J80-ROUND(J80,$E$6))&gt;0.00000001,1,0),0),IF(ISNUMBER(M80),IF(ABS(M80-ROUND(M80,$E$6))&gt;0.00000001,1,0),0))&gt;0,1,0),0)</f>
        <v>0</v>
      </c>
      <c r="AA80" s="0" t="n">
        <f>IF(COUNTA(B80:L80)=0,0,IF(OR(AND(ISNUMBER(F80),F80&lt;0),AND(U80=1,OR(SUM(IF(ISNUMBER(G80),IF(G80=0,1,0),0),IF(ISNUMBER(H80),IF(H80=0,1,0),0),IF(ISNUMBER(I80),IF(I80=0,1,0),0),IF(ISNUMBER(J80),IF(J80=0,1,0),0))&gt;0,COUNTIFS(G80:J80,"&lt;0")&gt;0)),AND(P80="DIMENSIONES",U80=1,OR(AND(S80="m",COUNT(H80:J80)&lt;&gt;1),AND(S80="m²",COUNT(H80:J80)&lt;&gt;2,Y80=0),AND(S80="m³",COUNT(H80:J80)&lt;&gt;3),AND(S80="ud",COUNT(H80:J80)&gt;0))),AND(P80="DIRECTA",OR(S80="m",S80="m²",S80="m³"))),1,0))</f>
        <v>0</v>
      </c>
      <c r="AB80" s="0">
        <f>IF(LEN(TRIM(E80&amp;""))&gt;0,E80,IF(R80&gt;0,INDEX($E$13:$E$512,R80),""))</f>
      </c>
      <c r="AC80" s="0">
        <f>UPPER(SUBSTITUTE(SUBSTITUTE(SUBSTITUTE(SUBSTITUTE(SUBSTITUTE(TRIM(AB80),"²","2"),"³","3"),"^",""),".","")," ",""))</f>
      </c>
    </row>
    <row r="81" ht="35" customHeight="1">
      <c r="B81" s="35"/>
      <c r="C81" s="35"/>
      <c r="D81" s="37"/>
      <c r="E81" s="35"/>
      <c r="F81" s="38"/>
      <c r="G81" s="38"/>
      <c r="H81" s="38"/>
      <c r="I81" s="38"/>
      <c r="J81" s="38"/>
      <c r="K81" s="35"/>
      <c r="L81" s="35"/>
      <c r="M81" s="39">
        <f>IF(U81&lt;&gt;1,"",IF(P81="DIRECTA",G81,IF(ISNUMBER(G81),G81,1)*IF(ISNUMBER(H81),H81,1)*IF(ISNUMBER(I81),I81,1)*IF(ISNUMBER(J81),J81,1)))</f>
      </c>
      <c r="N81" s="30">
        <f>IF(COUNTA(B81:L81)=0,"",IF(X81=0,IF(P81="CABECERA","VERDE · Fila descriptiva; la suma usa las líneas del ID","VERDE · Datos numéricos interpretables"),IF(X81=2,"ROJO · ","ÁMBAR · ")&amp;IF(NOT(IF(ISNUMBER($E$6),AND($E$6&gt;=0,$E$6&lt;=6,$E$6=INT($E$6)),FALSE)),"Indicamos entre 0 y 6 decimales en E6. ","")&amp;IF(O81=0,"Falta un ID numérico. ","")&amp;IF(R81=0,"Faltan capítulo, código, unidad o total numérico del ID. ","")&amp;IF(T81&gt;0,"Los datos o el total del ID se contradicen. ","")&amp;IF(AND(P81&lt;&gt;"DIMENSIONES",P81&lt;&gt;"DIRECTA",P81&lt;&gt;"SIN LÍNEAS",P81&lt;&gt;"CABECERA"),"Tipo de fila no reconocido. ","")&amp;IF(AND(OR(P81="SIN LÍNEAS",P81="CABECERA"),COUNTA(G81:J81)&gt;0),"La fila dice que no mide, pero contiene medidas. ","")&amp;IF(AND(OR(P81="DIRECTA",P81="DIMENSIONES"),U81=0),"Línea incompleta o con medidas no numéricas. ","")&amp;IF(P81="SIN LÍNEAS","No constan medidas de esta fila. ","")&amp;IF(Y81&gt;0,"Parece m³: tres dimensiones bajo m². ","")&amp;IF(AND(AB81&lt;&gt;"",SUMPRODUCT(--('LÉEME'!$B$65:$B$86=AC81))&lt;&gt;1),"Revisamos el significado de la unidad. ","")&amp;IF(Z81&gt;0,"Más precisión que los decimales indicados: cotejamos el original. ","")&amp;IF(AA81&gt;0,"Revisamos dimensiones, cantidad directa, ceros o deducción. ","")))</f>
      </c>
      <c r="O81" s="0" t="n">
        <f>IF(ISNUMBER(K81),IF(AND(K81&gt;0,K81=INT(K81),K81&lt;=999999),K81,0),0)</f>
        <v>0</v>
      </c>
      <c r="P81" s="0">
        <f>IF(COUNTA(B81:L81)=0,"",IF(L81="",IF(COUNTA(G81:J81)&gt;0,"DIMENSIONES","SIN LÍNEAS"),UPPER(TRIM(L81))))</f>
      </c>
      <c r="Q81" s="0">
        <f>IF(AND(O81&gt;0,LEN(TRIM(B81&amp;""))&gt;0,LEN(TRIM(C81&amp;""))&gt;0,LEN(TRIM(E81&amp;""))&gt;0,ISNUMBER(F81)),O81,"")</f>
      </c>
      <c r="R81" s="0" t="n">
        <f>IF(O81=0,0,IF(COUNTIFS($Q$13:$Q$512,O81)&gt;0,MATCH(O81,$Q$13:$Q$512,0),0))</f>
        <v>0</v>
      </c>
      <c r="S81" s="0">
        <f>IF(AB81="","",IF(SUMPRODUCT(--('LÉEME'!$B$65:$B$86=AC81))=1,INDEX('LÉEME'!$C$65:$C$86,MATCH(AC81,'LÉEME'!$B$65:$B$86,0)),UPPER(TRIM(AB81))))</f>
      </c>
      <c r="T81" s="0" t="n">
        <f>IF(R81=0,0,IF(OR(AND(LEN(TRIM(B81&amp;""))&gt;0,UPPER(TRIM(B81&amp;""))&lt;&gt;UPPER(TRIM(INDEX($B$13:$B$512,R81)&amp;""))),AND(LEN(TRIM(C81&amp;""))&gt;0,UPPER(TRIM(C81&amp;""))&lt;&gt;UPPER(TRIM(INDEX($C$13:$C$512,R81)&amp;""))),AND(LEN(TRIM(E81&amp;""))&gt;0,S81&lt;&gt;INDEX($S$13:$S$512,R81)),AND(F81&lt;&gt;"",NOT(ISNUMBER(F81)))),1,IF(ISNUMBER(F81),IF(ABS(F81-INDEX($F$13:$F$512,R81))&gt;0.00000001,1,0),0)))</f>
        <v>0</v>
      </c>
      <c r="U81" s="0" t="n">
        <f>IF(P81="DIRECTA",IF(AND(ISNUMBER(G81),COUNTA(H81:J81)=0),1,0),IF(P81="DIMENSIONES",IF(AND(COUNT(G81:J81)&gt;0,COUNTA(G81:J81)=COUNT(G81:J81)),1,0),0))</f>
        <v>0</v>
      </c>
      <c r="V81" s="0" t="n">
        <f>IF(O81=0,0,IF(COUNTIFS($O$13:O81,O81)=1,1,0))</f>
        <v>0</v>
      </c>
      <c r="W81" s="0">
        <f>IF(V81=1,COUNTIFS($V$13:V81,1),"")</f>
      </c>
      <c r="X81" s="0">
        <f>IF(COUNTA(B81:L81)=0,"",IF(OR(NOT(IF(ISNUMBER($E$6),AND($E$6&gt;=0,$E$6&lt;=6,$E$6=INT($E$6)),FALSE)),O81=0,R81=0,T81&gt;0,AND(P81&lt;&gt;"DIMENSIONES",P81&lt;&gt;"DIRECTA",P81&lt;&gt;"SIN LÍNEAS",P81&lt;&gt;"CABECERA"),AND(OR(P81="DIRECTA",P81="DIMENSIONES"),U81=0),AND(OR(P81="SIN LÍNEAS",P81="CABECERA"),COUNTA(G81:J81)&gt;0)),2,IF(OR(P81="SIN LÍNEAS",Y81&gt;0,Z81&gt;0,AA81&gt;0,SUMPRODUCT(--('LÉEME'!$B$65:$B$86=AC81))&lt;&gt;1),1,0)))</f>
      </c>
      <c r="Y81" s="0" t="n">
        <f>IF(AND(P81="DIMENSIONES",S81="m²",COUNT(H81:J81)=3),1,0)</f>
        <v>0</v>
      </c>
      <c r="Z81" s="0" t="n">
        <f>IF(IF(ISNUMBER($E$6),AND($E$6&gt;=0,$E$6&lt;=6,$E$6=INT($E$6)),FALSE),IF(SUM(IF(ISNUMBER(F81),IF(ABS(F81-ROUND(F81,$E$6))&gt;0.00000001,1,0),0),IF(ISNUMBER(G81),IF(ABS(G81-ROUND(G81,$E$6))&gt;0.00000001,1,0),0),IF(ISNUMBER(H81),IF(ABS(H81-ROUND(H81,$E$6))&gt;0.00000001,1,0),0),IF(ISNUMBER(I81),IF(ABS(I81-ROUND(I81,$E$6))&gt;0.00000001,1,0),0),IF(ISNUMBER(J81),IF(ABS(J81-ROUND(J81,$E$6))&gt;0.00000001,1,0),0),IF(ISNUMBER(M81),IF(ABS(M81-ROUND(M81,$E$6))&gt;0.00000001,1,0),0))&gt;0,1,0),0)</f>
        <v>0</v>
      </c>
      <c r="AA81" s="0" t="n">
        <f>IF(COUNTA(B81:L81)=0,0,IF(OR(AND(ISNUMBER(F81),F81&lt;0),AND(U81=1,OR(SUM(IF(ISNUMBER(G81),IF(G81=0,1,0),0),IF(ISNUMBER(H81),IF(H81=0,1,0),0),IF(ISNUMBER(I81),IF(I81=0,1,0),0),IF(ISNUMBER(J81),IF(J81=0,1,0),0))&gt;0,COUNTIFS(G81:J81,"&lt;0")&gt;0)),AND(P81="DIMENSIONES",U81=1,OR(AND(S81="m",COUNT(H81:J81)&lt;&gt;1),AND(S81="m²",COUNT(H81:J81)&lt;&gt;2,Y81=0),AND(S81="m³",COUNT(H81:J81)&lt;&gt;3),AND(S81="ud",COUNT(H81:J81)&gt;0))),AND(P81="DIRECTA",OR(S81="m",S81="m²",S81="m³"))),1,0))</f>
        <v>0</v>
      </c>
      <c r="AB81" s="0">
        <f>IF(LEN(TRIM(E81&amp;""))&gt;0,E81,IF(R81&gt;0,INDEX($E$13:$E$512,R81),""))</f>
      </c>
      <c r="AC81" s="0">
        <f>UPPER(SUBSTITUTE(SUBSTITUTE(SUBSTITUTE(SUBSTITUTE(SUBSTITUTE(TRIM(AB81),"²","2"),"³","3"),"^",""),".","")," ",""))</f>
      </c>
    </row>
    <row r="82" ht="35" customHeight="1">
      <c r="B82" s="35"/>
      <c r="C82" s="35"/>
      <c r="D82" s="37"/>
      <c r="E82" s="35"/>
      <c r="F82" s="38"/>
      <c r="G82" s="38"/>
      <c r="H82" s="38"/>
      <c r="I82" s="38"/>
      <c r="J82" s="38"/>
      <c r="K82" s="35"/>
      <c r="L82" s="35"/>
      <c r="M82" s="39">
        <f>IF(U82&lt;&gt;1,"",IF(P82="DIRECTA",G82,IF(ISNUMBER(G82),G82,1)*IF(ISNUMBER(H82),H82,1)*IF(ISNUMBER(I82),I82,1)*IF(ISNUMBER(J82),J82,1)))</f>
      </c>
      <c r="N82" s="30">
        <f>IF(COUNTA(B82:L82)=0,"",IF(X82=0,IF(P82="CABECERA","VERDE · Fila descriptiva; la suma usa las líneas del ID","VERDE · Datos numéricos interpretables"),IF(X82=2,"ROJO · ","ÁMBAR · ")&amp;IF(NOT(IF(ISNUMBER($E$6),AND($E$6&gt;=0,$E$6&lt;=6,$E$6=INT($E$6)),FALSE)),"Indicamos entre 0 y 6 decimales en E6. ","")&amp;IF(O82=0,"Falta un ID numérico. ","")&amp;IF(R82=0,"Faltan capítulo, código, unidad o total numérico del ID. ","")&amp;IF(T82&gt;0,"Los datos o el total del ID se contradicen. ","")&amp;IF(AND(P82&lt;&gt;"DIMENSIONES",P82&lt;&gt;"DIRECTA",P82&lt;&gt;"SIN LÍNEAS",P82&lt;&gt;"CABECERA"),"Tipo de fila no reconocido. ","")&amp;IF(AND(OR(P82="SIN LÍNEAS",P82="CABECERA"),COUNTA(G82:J82)&gt;0),"La fila dice que no mide, pero contiene medidas. ","")&amp;IF(AND(OR(P82="DIRECTA",P82="DIMENSIONES"),U82=0),"Línea incompleta o con medidas no numéricas. ","")&amp;IF(P82="SIN LÍNEAS","No constan medidas de esta fila. ","")&amp;IF(Y82&gt;0,"Parece m³: tres dimensiones bajo m². ","")&amp;IF(AND(AB82&lt;&gt;"",SUMPRODUCT(--('LÉEME'!$B$65:$B$86=AC82))&lt;&gt;1),"Revisamos el significado de la unidad. ","")&amp;IF(Z82&gt;0,"Más precisión que los decimales indicados: cotejamos el original. ","")&amp;IF(AA82&gt;0,"Revisamos dimensiones, cantidad directa, ceros o deducción. ","")))</f>
      </c>
      <c r="O82" s="0" t="n">
        <f>IF(ISNUMBER(K82),IF(AND(K82&gt;0,K82=INT(K82),K82&lt;=999999),K82,0),0)</f>
        <v>0</v>
      </c>
      <c r="P82" s="0">
        <f>IF(COUNTA(B82:L82)=0,"",IF(L82="",IF(COUNTA(G82:J82)&gt;0,"DIMENSIONES","SIN LÍNEAS"),UPPER(TRIM(L82))))</f>
      </c>
      <c r="Q82" s="0">
        <f>IF(AND(O82&gt;0,LEN(TRIM(B82&amp;""))&gt;0,LEN(TRIM(C82&amp;""))&gt;0,LEN(TRIM(E82&amp;""))&gt;0,ISNUMBER(F82)),O82,"")</f>
      </c>
      <c r="R82" s="0" t="n">
        <f>IF(O82=0,0,IF(COUNTIFS($Q$13:$Q$512,O82)&gt;0,MATCH(O82,$Q$13:$Q$512,0),0))</f>
        <v>0</v>
      </c>
      <c r="S82" s="0">
        <f>IF(AB82="","",IF(SUMPRODUCT(--('LÉEME'!$B$65:$B$86=AC82))=1,INDEX('LÉEME'!$C$65:$C$86,MATCH(AC82,'LÉEME'!$B$65:$B$86,0)),UPPER(TRIM(AB82))))</f>
      </c>
      <c r="T82" s="0" t="n">
        <f>IF(R82=0,0,IF(OR(AND(LEN(TRIM(B82&amp;""))&gt;0,UPPER(TRIM(B82&amp;""))&lt;&gt;UPPER(TRIM(INDEX($B$13:$B$512,R82)&amp;""))),AND(LEN(TRIM(C82&amp;""))&gt;0,UPPER(TRIM(C82&amp;""))&lt;&gt;UPPER(TRIM(INDEX($C$13:$C$512,R82)&amp;""))),AND(LEN(TRIM(E82&amp;""))&gt;0,S82&lt;&gt;INDEX($S$13:$S$512,R82)),AND(F82&lt;&gt;"",NOT(ISNUMBER(F82)))),1,IF(ISNUMBER(F82),IF(ABS(F82-INDEX($F$13:$F$512,R82))&gt;0.00000001,1,0),0)))</f>
        <v>0</v>
      </c>
      <c r="U82" s="0" t="n">
        <f>IF(P82="DIRECTA",IF(AND(ISNUMBER(G82),COUNTA(H82:J82)=0),1,0),IF(P82="DIMENSIONES",IF(AND(COUNT(G82:J82)&gt;0,COUNTA(G82:J82)=COUNT(G82:J82)),1,0),0))</f>
        <v>0</v>
      </c>
      <c r="V82" s="0" t="n">
        <f>IF(O82=0,0,IF(COUNTIFS($O$13:O82,O82)=1,1,0))</f>
        <v>0</v>
      </c>
      <c r="W82" s="0">
        <f>IF(V82=1,COUNTIFS($V$13:V82,1),"")</f>
      </c>
      <c r="X82" s="0">
        <f>IF(COUNTA(B82:L82)=0,"",IF(OR(NOT(IF(ISNUMBER($E$6),AND($E$6&gt;=0,$E$6&lt;=6,$E$6=INT($E$6)),FALSE)),O82=0,R82=0,T82&gt;0,AND(P82&lt;&gt;"DIMENSIONES",P82&lt;&gt;"DIRECTA",P82&lt;&gt;"SIN LÍNEAS",P82&lt;&gt;"CABECERA"),AND(OR(P82="DIRECTA",P82="DIMENSIONES"),U82=0),AND(OR(P82="SIN LÍNEAS",P82="CABECERA"),COUNTA(G82:J82)&gt;0)),2,IF(OR(P82="SIN LÍNEAS",Y82&gt;0,Z82&gt;0,AA82&gt;0,SUMPRODUCT(--('LÉEME'!$B$65:$B$86=AC82))&lt;&gt;1),1,0)))</f>
      </c>
      <c r="Y82" s="0" t="n">
        <f>IF(AND(P82="DIMENSIONES",S82="m²",COUNT(H82:J82)=3),1,0)</f>
        <v>0</v>
      </c>
      <c r="Z82" s="0" t="n">
        <f>IF(IF(ISNUMBER($E$6),AND($E$6&gt;=0,$E$6&lt;=6,$E$6=INT($E$6)),FALSE),IF(SUM(IF(ISNUMBER(F82),IF(ABS(F82-ROUND(F82,$E$6))&gt;0.00000001,1,0),0),IF(ISNUMBER(G82),IF(ABS(G82-ROUND(G82,$E$6))&gt;0.00000001,1,0),0),IF(ISNUMBER(H82),IF(ABS(H82-ROUND(H82,$E$6))&gt;0.00000001,1,0),0),IF(ISNUMBER(I82),IF(ABS(I82-ROUND(I82,$E$6))&gt;0.00000001,1,0),0),IF(ISNUMBER(J82),IF(ABS(J82-ROUND(J82,$E$6))&gt;0.00000001,1,0),0),IF(ISNUMBER(M82),IF(ABS(M82-ROUND(M82,$E$6))&gt;0.00000001,1,0),0))&gt;0,1,0),0)</f>
        <v>0</v>
      </c>
      <c r="AA82" s="0" t="n">
        <f>IF(COUNTA(B82:L82)=0,0,IF(OR(AND(ISNUMBER(F82),F82&lt;0),AND(U82=1,OR(SUM(IF(ISNUMBER(G82),IF(G82=0,1,0),0),IF(ISNUMBER(H82),IF(H82=0,1,0),0),IF(ISNUMBER(I82),IF(I82=0,1,0),0),IF(ISNUMBER(J82),IF(J82=0,1,0),0))&gt;0,COUNTIFS(G82:J82,"&lt;0")&gt;0)),AND(P82="DIMENSIONES",U82=1,OR(AND(S82="m",COUNT(H82:J82)&lt;&gt;1),AND(S82="m²",COUNT(H82:J82)&lt;&gt;2,Y82=0),AND(S82="m³",COUNT(H82:J82)&lt;&gt;3),AND(S82="ud",COUNT(H82:J82)&gt;0))),AND(P82="DIRECTA",OR(S82="m",S82="m²",S82="m³"))),1,0))</f>
        <v>0</v>
      </c>
      <c r="AB82" s="0">
        <f>IF(LEN(TRIM(E82&amp;""))&gt;0,E82,IF(R82&gt;0,INDEX($E$13:$E$512,R82),""))</f>
      </c>
      <c r="AC82" s="0">
        <f>UPPER(SUBSTITUTE(SUBSTITUTE(SUBSTITUTE(SUBSTITUTE(SUBSTITUTE(TRIM(AB82),"²","2"),"³","3"),"^",""),".","")," ",""))</f>
      </c>
    </row>
    <row r="83" ht="35" customHeight="1">
      <c r="B83" s="35"/>
      <c r="C83" s="35"/>
      <c r="D83" s="37"/>
      <c r="E83" s="35"/>
      <c r="F83" s="38"/>
      <c r="G83" s="38"/>
      <c r="H83" s="38"/>
      <c r="I83" s="38"/>
      <c r="J83" s="38"/>
      <c r="K83" s="35"/>
      <c r="L83" s="35"/>
      <c r="M83" s="39">
        <f>IF(U83&lt;&gt;1,"",IF(P83="DIRECTA",G83,IF(ISNUMBER(G83),G83,1)*IF(ISNUMBER(H83),H83,1)*IF(ISNUMBER(I83),I83,1)*IF(ISNUMBER(J83),J83,1)))</f>
      </c>
      <c r="N83" s="30">
        <f>IF(COUNTA(B83:L83)=0,"",IF(X83=0,IF(P83="CABECERA","VERDE · Fila descriptiva; la suma usa las líneas del ID","VERDE · Datos numéricos interpretables"),IF(X83=2,"ROJO · ","ÁMBAR · ")&amp;IF(NOT(IF(ISNUMBER($E$6),AND($E$6&gt;=0,$E$6&lt;=6,$E$6=INT($E$6)),FALSE)),"Indicamos entre 0 y 6 decimales en E6. ","")&amp;IF(O83=0,"Falta un ID numérico. ","")&amp;IF(R83=0,"Faltan capítulo, código, unidad o total numérico del ID. ","")&amp;IF(T83&gt;0,"Los datos o el total del ID se contradicen. ","")&amp;IF(AND(P83&lt;&gt;"DIMENSIONES",P83&lt;&gt;"DIRECTA",P83&lt;&gt;"SIN LÍNEAS",P83&lt;&gt;"CABECERA"),"Tipo de fila no reconocido. ","")&amp;IF(AND(OR(P83="SIN LÍNEAS",P83="CABECERA"),COUNTA(G83:J83)&gt;0),"La fila dice que no mide, pero contiene medidas. ","")&amp;IF(AND(OR(P83="DIRECTA",P83="DIMENSIONES"),U83=0),"Línea incompleta o con medidas no numéricas. ","")&amp;IF(P83="SIN LÍNEAS","No constan medidas de esta fila. ","")&amp;IF(Y83&gt;0,"Parece m³: tres dimensiones bajo m². ","")&amp;IF(AND(AB83&lt;&gt;"",SUMPRODUCT(--('LÉEME'!$B$65:$B$86=AC83))&lt;&gt;1),"Revisamos el significado de la unidad. ","")&amp;IF(Z83&gt;0,"Más precisión que los decimales indicados: cotejamos el original. ","")&amp;IF(AA83&gt;0,"Revisamos dimensiones, cantidad directa, ceros o deducción. ","")))</f>
      </c>
      <c r="O83" s="0" t="n">
        <f>IF(ISNUMBER(K83),IF(AND(K83&gt;0,K83=INT(K83),K83&lt;=999999),K83,0),0)</f>
        <v>0</v>
      </c>
      <c r="P83" s="0">
        <f>IF(COUNTA(B83:L83)=0,"",IF(L83="",IF(COUNTA(G83:J83)&gt;0,"DIMENSIONES","SIN LÍNEAS"),UPPER(TRIM(L83))))</f>
      </c>
      <c r="Q83" s="0">
        <f>IF(AND(O83&gt;0,LEN(TRIM(B83&amp;""))&gt;0,LEN(TRIM(C83&amp;""))&gt;0,LEN(TRIM(E83&amp;""))&gt;0,ISNUMBER(F83)),O83,"")</f>
      </c>
      <c r="R83" s="0" t="n">
        <f>IF(O83=0,0,IF(COUNTIFS($Q$13:$Q$512,O83)&gt;0,MATCH(O83,$Q$13:$Q$512,0),0))</f>
        <v>0</v>
      </c>
      <c r="S83" s="0">
        <f>IF(AB83="","",IF(SUMPRODUCT(--('LÉEME'!$B$65:$B$86=AC83))=1,INDEX('LÉEME'!$C$65:$C$86,MATCH(AC83,'LÉEME'!$B$65:$B$86,0)),UPPER(TRIM(AB83))))</f>
      </c>
      <c r="T83" s="0" t="n">
        <f>IF(R83=0,0,IF(OR(AND(LEN(TRIM(B83&amp;""))&gt;0,UPPER(TRIM(B83&amp;""))&lt;&gt;UPPER(TRIM(INDEX($B$13:$B$512,R83)&amp;""))),AND(LEN(TRIM(C83&amp;""))&gt;0,UPPER(TRIM(C83&amp;""))&lt;&gt;UPPER(TRIM(INDEX($C$13:$C$512,R83)&amp;""))),AND(LEN(TRIM(E83&amp;""))&gt;0,S83&lt;&gt;INDEX($S$13:$S$512,R83)),AND(F83&lt;&gt;"",NOT(ISNUMBER(F83)))),1,IF(ISNUMBER(F83),IF(ABS(F83-INDEX($F$13:$F$512,R83))&gt;0.00000001,1,0),0)))</f>
        <v>0</v>
      </c>
      <c r="U83" s="0" t="n">
        <f>IF(P83="DIRECTA",IF(AND(ISNUMBER(G83),COUNTA(H83:J83)=0),1,0),IF(P83="DIMENSIONES",IF(AND(COUNT(G83:J83)&gt;0,COUNTA(G83:J83)=COUNT(G83:J83)),1,0),0))</f>
        <v>0</v>
      </c>
      <c r="V83" s="0" t="n">
        <f>IF(O83=0,0,IF(COUNTIFS($O$13:O83,O83)=1,1,0))</f>
        <v>0</v>
      </c>
      <c r="W83" s="0">
        <f>IF(V83=1,COUNTIFS($V$13:V83,1),"")</f>
      </c>
      <c r="X83" s="0">
        <f>IF(COUNTA(B83:L83)=0,"",IF(OR(NOT(IF(ISNUMBER($E$6),AND($E$6&gt;=0,$E$6&lt;=6,$E$6=INT($E$6)),FALSE)),O83=0,R83=0,T83&gt;0,AND(P83&lt;&gt;"DIMENSIONES",P83&lt;&gt;"DIRECTA",P83&lt;&gt;"SIN LÍNEAS",P83&lt;&gt;"CABECERA"),AND(OR(P83="DIRECTA",P83="DIMENSIONES"),U83=0),AND(OR(P83="SIN LÍNEAS",P83="CABECERA"),COUNTA(G83:J83)&gt;0)),2,IF(OR(P83="SIN LÍNEAS",Y83&gt;0,Z83&gt;0,AA83&gt;0,SUMPRODUCT(--('LÉEME'!$B$65:$B$86=AC83))&lt;&gt;1),1,0)))</f>
      </c>
      <c r="Y83" s="0" t="n">
        <f>IF(AND(P83="DIMENSIONES",S83="m²",COUNT(H83:J83)=3),1,0)</f>
        <v>0</v>
      </c>
      <c r="Z83" s="0" t="n">
        <f>IF(IF(ISNUMBER($E$6),AND($E$6&gt;=0,$E$6&lt;=6,$E$6=INT($E$6)),FALSE),IF(SUM(IF(ISNUMBER(F83),IF(ABS(F83-ROUND(F83,$E$6))&gt;0.00000001,1,0),0),IF(ISNUMBER(G83),IF(ABS(G83-ROUND(G83,$E$6))&gt;0.00000001,1,0),0),IF(ISNUMBER(H83),IF(ABS(H83-ROUND(H83,$E$6))&gt;0.00000001,1,0),0),IF(ISNUMBER(I83),IF(ABS(I83-ROUND(I83,$E$6))&gt;0.00000001,1,0),0),IF(ISNUMBER(J83),IF(ABS(J83-ROUND(J83,$E$6))&gt;0.00000001,1,0),0),IF(ISNUMBER(M83),IF(ABS(M83-ROUND(M83,$E$6))&gt;0.00000001,1,0),0))&gt;0,1,0),0)</f>
        <v>0</v>
      </c>
      <c r="AA83" s="0" t="n">
        <f>IF(COUNTA(B83:L83)=0,0,IF(OR(AND(ISNUMBER(F83),F83&lt;0),AND(U83=1,OR(SUM(IF(ISNUMBER(G83),IF(G83=0,1,0),0),IF(ISNUMBER(H83),IF(H83=0,1,0),0),IF(ISNUMBER(I83),IF(I83=0,1,0),0),IF(ISNUMBER(J83),IF(J83=0,1,0),0))&gt;0,COUNTIFS(G83:J83,"&lt;0")&gt;0)),AND(P83="DIMENSIONES",U83=1,OR(AND(S83="m",COUNT(H83:J83)&lt;&gt;1),AND(S83="m²",COUNT(H83:J83)&lt;&gt;2,Y83=0),AND(S83="m³",COUNT(H83:J83)&lt;&gt;3),AND(S83="ud",COUNT(H83:J83)&gt;0))),AND(P83="DIRECTA",OR(S83="m",S83="m²",S83="m³"))),1,0))</f>
        <v>0</v>
      </c>
      <c r="AB83" s="0">
        <f>IF(LEN(TRIM(E83&amp;""))&gt;0,E83,IF(R83&gt;0,INDEX($E$13:$E$512,R83),""))</f>
      </c>
      <c r="AC83" s="0">
        <f>UPPER(SUBSTITUTE(SUBSTITUTE(SUBSTITUTE(SUBSTITUTE(SUBSTITUTE(TRIM(AB83),"²","2"),"³","3"),"^",""),".","")," ",""))</f>
      </c>
    </row>
    <row r="84" ht="35" customHeight="1">
      <c r="B84" s="35"/>
      <c r="C84" s="35"/>
      <c r="D84" s="37"/>
      <c r="E84" s="35"/>
      <c r="F84" s="38"/>
      <c r="G84" s="38"/>
      <c r="H84" s="38"/>
      <c r="I84" s="38"/>
      <c r="J84" s="38"/>
      <c r="K84" s="35"/>
      <c r="L84" s="35"/>
      <c r="M84" s="39">
        <f>IF(U84&lt;&gt;1,"",IF(P84="DIRECTA",G84,IF(ISNUMBER(G84),G84,1)*IF(ISNUMBER(H84),H84,1)*IF(ISNUMBER(I84),I84,1)*IF(ISNUMBER(J84),J84,1)))</f>
      </c>
      <c r="N84" s="30">
        <f>IF(COUNTA(B84:L84)=0,"",IF(X84=0,IF(P84="CABECERA","VERDE · Fila descriptiva; la suma usa las líneas del ID","VERDE · Datos numéricos interpretables"),IF(X84=2,"ROJO · ","ÁMBAR · ")&amp;IF(NOT(IF(ISNUMBER($E$6),AND($E$6&gt;=0,$E$6&lt;=6,$E$6=INT($E$6)),FALSE)),"Indicamos entre 0 y 6 decimales en E6. ","")&amp;IF(O84=0,"Falta un ID numérico. ","")&amp;IF(R84=0,"Faltan capítulo, código, unidad o total numérico del ID. ","")&amp;IF(T84&gt;0,"Los datos o el total del ID se contradicen. ","")&amp;IF(AND(P84&lt;&gt;"DIMENSIONES",P84&lt;&gt;"DIRECTA",P84&lt;&gt;"SIN LÍNEAS",P84&lt;&gt;"CABECERA"),"Tipo de fila no reconocido. ","")&amp;IF(AND(OR(P84="SIN LÍNEAS",P84="CABECERA"),COUNTA(G84:J84)&gt;0),"La fila dice que no mide, pero contiene medidas. ","")&amp;IF(AND(OR(P84="DIRECTA",P84="DIMENSIONES"),U84=0),"Línea incompleta o con medidas no numéricas. ","")&amp;IF(P84="SIN LÍNEAS","No constan medidas de esta fila. ","")&amp;IF(Y84&gt;0,"Parece m³: tres dimensiones bajo m². ","")&amp;IF(AND(AB84&lt;&gt;"",SUMPRODUCT(--('LÉEME'!$B$65:$B$86=AC84))&lt;&gt;1),"Revisamos el significado de la unidad. ","")&amp;IF(Z84&gt;0,"Más precisión que los decimales indicados: cotejamos el original. ","")&amp;IF(AA84&gt;0,"Revisamos dimensiones, cantidad directa, ceros o deducción. ","")))</f>
      </c>
      <c r="O84" s="0" t="n">
        <f>IF(ISNUMBER(K84),IF(AND(K84&gt;0,K84=INT(K84),K84&lt;=999999),K84,0),0)</f>
        <v>0</v>
      </c>
      <c r="P84" s="0">
        <f>IF(COUNTA(B84:L84)=0,"",IF(L84="",IF(COUNTA(G84:J84)&gt;0,"DIMENSIONES","SIN LÍNEAS"),UPPER(TRIM(L84))))</f>
      </c>
      <c r="Q84" s="0">
        <f>IF(AND(O84&gt;0,LEN(TRIM(B84&amp;""))&gt;0,LEN(TRIM(C84&amp;""))&gt;0,LEN(TRIM(E84&amp;""))&gt;0,ISNUMBER(F84)),O84,"")</f>
      </c>
      <c r="R84" s="0" t="n">
        <f>IF(O84=0,0,IF(COUNTIFS($Q$13:$Q$512,O84)&gt;0,MATCH(O84,$Q$13:$Q$512,0),0))</f>
        <v>0</v>
      </c>
      <c r="S84" s="0">
        <f>IF(AB84="","",IF(SUMPRODUCT(--('LÉEME'!$B$65:$B$86=AC84))=1,INDEX('LÉEME'!$C$65:$C$86,MATCH(AC84,'LÉEME'!$B$65:$B$86,0)),UPPER(TRIM(AB84))))</f>
      </c>
      <c r="T84" s="0" t="n">
        <f>IF(R84=0,0,IF(OR(AND(LEN(TRIM(B84&amp;""))&gt;0,UPPER(TRIM(B84&amp;""))&lt;&gt;UPPER(TRIM(INDEX($B$13:$B$512,R84)&amp;""))),AND(LEN(TRIM(C84&amp;""))&gt;0,UPPER(TRIM(C84&amp;""))&lt;&gt;UPPER(TRIM(INDEX($C$13:$C$512,R84)&amp;""))),AND(LEN(TRIM(E84&amp;""))&gt;0,S84&lt;&gt;INDEX($S$13:$S$512,R84)),AND(F84&lt;&gt;"",NOT(ISNUMBER(F84)))),1,IF(ISNUMBER(F84),IF(ABS(F84-INDEX($F$13:$F$512,R84))&gt;0.00000001,1,0),0)))</f>
        <v>0</v>
      </c>
      <c r="U84" s="0" t="n">
        <f>IF(P84="DIRECTA",IF(AND(ISNUMBER(G84),COUNTA(H84:J84)=0),1,0),IF(P84="DIMENSIONES",IF(AND(COUNT(G84:J84)&gt;0,COUNTA(G84:J84)=COUNT(G84:J84)),1,0),0))</f>
        <v>0</v>
      </c>
      <c r="V84" s="0" t="n">
        <f>IF(O84=0,0,IF(COUNTIFS($O$13:O84,O84)=1,1,0))</f>
        <v>0</v>
      </c>
      <c r="W84" s="0">
        <f>IF(V84=1,COUNTIFS($V$13:V84,1),"")</f>
      </c>
      <c r="X84" s="0">
        <f>IF(COUNTA(B84:L84)=0,"",IF(OR(NOT(IF(ISNUMBER($E$6),AND($E$6&gt;=0,$E$6&lt;=6,$E$6=INT($E$6)),FALSE)),O84=0,R84=0,T84&gt;0,AND(P84&lt;&gt;"DIMENSIONES",P84&lt;&gt;"DIRECTA",P84&lt;&gt;"SIN LÍNEAS",P84&lt;&gt;"CABECERA"),AND(OR(P84="DIRECTA",P84="DIMENSIONES"),U84=0),AND(OR(P84="SIN LÍNEAS",P84="CABECERA"),COUNTA(G84:J84)&gt;0)),2,IF(OR(P84="SIN LÍNEAS",Y84&gt;0,Z84&gt;0,AA84&gt;0,SUMPRODUCT(--('LÉEME'!$B$65:$B$86=AC84))&lt;&gt;1),1,0)))</f>
      </c>
      <c r="Y84" s="0" t="n">
        <f>IF(AND(P84="DIMENSIONES",S84="m²",COUNT(H84:J84)=3),1,0)</f>
        <v>0</v>
      </c>
      <c r="Z84" s="0" t="n">
        <f>IF(IF(ISNUMBER($E$6),AND($E$6&gt;=0,$E$6&lt;=6,$E$6=INT($E$6)),FALSE),IF(SUM(IF(ISNUMBER(F84),IF(ABS(F84-ROUND(F84,$E$6))&gt;0.00000001,1,0),0),IF(ISNUMBER(G84),IF(ABS(G84-ROUND(G84,$E$6))&gt;0.00000001,1,0),0),IF(ISNUMBER(H84),IF(ABS(H84-ROUND(H84,$E$6))&gt;0.00000001,1,0),0),IF(ISNUMBER(I84),IF(ABS(I84-ROUND(I84,$E$6))&gt;0.00000001,1,0),0),IF(ISNUMBER(J84),IF(ABS(J84-ROUND(J84,$E$6))&gt;0.00000001,1,0),0),IF(ISNUMBER(M84),IF(ABS(M84-ROUND(M84,$E$6))&gt;0.00000001,1,0),0))&gt;0,1,0),0)</f>
        <v>0</v>
      </c>
      <c r="AA84" s="0" t="n">
        <f>IF(COUNTA(B84:L84)=0,0,IF(OR(AND(ISNUMBER(F84),F84&lt;0),AND(U84=1,OR(SUM(IF(ISNUMBER(G84),IF(G84=0,1,0),0),IF(ISNUMBER(H84),IF(H84=0,1,0),0),IF(ISNUMBER(I84),IF(I84=0,1,0),0),IF(ISNUMBER(J84),IF(J84=0,1,0),0))&gt;0,COUNTIFS(G84:J84,"&lt;0")&gt;0)),AND(P84="DIMENSIONES",U84=1,OR(AND(S84="m",COUNT(H84:J84)&lt;&gt;1),AND(S84="m²",COUNT(H84:J84)&lt;&gt;2,Y84=0),AND(S84="m³",COUNT(H84:J84)&lt;&gt;3),AND(S84="ud",COUNT(H84:J84)&gt;0))),AND(P84="DIRECTA",OR(S84="m",S84="m²",S84="m³"))),1,0))</f>
        <v>0</v>
      </c>
      <c r="AB84" s="0">
        <f>IF(LEN(TRIM(E84&amp;""))&gt;0,E84,IF(R84&gt;0,INDEX($E$13:$E$512,R84),""))</f>
      </c>
      <c r="AC84" s="0">
        <f>UPPER(SUBSTITUTE(SUBSTITUTE(SUBSTITUTE(SUBSTITUTE(SUBSTITUTE(TRIM(AB84),"²","2"),"³","3"),"^",""),".","")," ",""))</f>
      </c>
    </row>
    <row r="85" ht="35" customHeight="1">
      <c r="B85" s="35"/>
      <c r="C85" s="35"/>
      <c r="D85" s="37"/>
      <c r="E85" s="35"/>
      <c r="F85" s="38"/>
      <c r="G85" s="38"/>
      <c r="H85" s="38"/>
      <c r="I85" s="38"/>
      <c r="J85" s="38"/>
      <c r="K85" s="35"/>
      <c r="L85" s="35"/>
      <c r="M85" s="39">
        <f>IF(U85&lt;&gt;1,"",IF(P85="DIRECTA",G85,IF(ISNUMBER(G85),G85,1)*IF(ISNUMBER(H85),H85,1)*IF(ISNUMBER(I85),I85,1)*IF(ISNUMBER(J85),J85,1)))</f>
      </c>
      <c r="N85" s="30">
        <f>IF(COUNTA(B85:L85)=0,"",IF(X85=0,IF(P85="CABECERA","VERDE · Fila descriptiva; la suma usa las líneas del ID","VERDE · Datos numéricos interpretables"),IF(X85=2,"ROJO · ","ÁMBAR · ")&amp;IF(NOT(IF(ISNUMBER($E$6),AND($E$6&gt;=0,$E$6&lt;=6,$E$6=INT($E$6)),FALSE)),"Indicamos entre 0 y 6 decimales en E6. ","")&amp;IF(O85=0,"Falta un ID numérico. ","")&amp;IF(R85=0,"Faltan capítulo, código, unidad o total numérico del ID. ","")&amp;IF(T85&gt;0,"Los datos o el total del ID se contradicen. ","")&amp;IF(AND(P85&lt;&gt;"DIMENSIONES",P85&lt;&gt;"DIRECTA",P85&lt;&gt;"SIN LÍNEAS",P85&lt;&gt;"CABECERA"),"Tipo de fila no reconocido. ","")&amp;IF(AND(OR(P85="SIN LÍNEAS",P85="CABECERA"),COUNTA(G85:J85)&gt;0),"La fila dice que no mide, pero contiene medidas. ","")&amp;IF(AND(OR(P85="DIRECTA",P85="DIMENSIONES"),U85=0),"Línea incompleta o con medidas no numéricas. ","")&amp;IF(P85="SIN LÍNEAS","No constan medidas de esta fila. ","")&amp;IF(Y85&gt;0,"Parece m³: tres dimensiones bajo m². ","")&amp;IF(AND(AB85&lt;&gt;"",SUMPRODUCT(--('LÉEME'!$B$65:$B$86=AC85))&lt;&gt;1),"Revisamos el significado de la unidad. ","")&amp;IF(Z85&gt;0,"Más precisión que los decimales indicados: cotejamos el original. ","")&amp;IF(AA85&gt;0,"Revisamos dimensiones, cantidad directa, ceros o deducción. ","")))</f>
      </c>
      <c r="O85" s="0" t="n">
        <f>IF(ISNUMBER(K85),IF(AND(K85&gt;0,K85=INT(K85),K85&lt;=999999),K85,0),0)</f>
        <v>0</v>
      </c>
      <c r="P85" s="0">
        <f>IF(COUNTA(B85:L85)=0,"",IF(L85="",IF(COUNTA(G85:J85)&gt;0,"DIMENSIONES","SIN LÍNEAS"),UPPER(TRIM(L85))))</f>
      </c>
      <c r="Q85" s="0">
        <f>IF(AND(O85&gt;0,LEN(TRIM(B85&amp;""))&gt;0,LEN(TRIM(C85&amp;""))&gt;0,LEN(TRIM(E85&amp;""))&gt;0,ISNUMBER(F85)),O85,"")</f>
      </c>
      <c r="R85" s="0" t="n">
        <f>IF(O85=0,0,IF(COUNTIFS($Q$13:$Q$512,O85)&gt;0,MATCH(O85,$Q$13:$Q$512,0),0))</f>
        <v>0</v>
      </c>
      <c r="S85" s="0">
        <f>IF(AB85="","",IF(SUMPRODUCT(--('LÉEME'!$B$65:$B$86=AC85))=1,INDEX('LÉEME'!$C$65:$C$86,MATCH(AC85,'LÉEME'!$B$65:$B$86,0)),UPPER(TRIM(AB85))))</f>
      </c>
      <c r="T85" s="0" t="n">
        <f>IF(R85=0,0,IF(OR(AND(LEN(TRIM(B85&amp;""))&gt;0,UPPER(TRIM(B85&amp;""))&lt;&gt;UPPER(TRIM(INDEX($B$13:$B$512,R85)&amp;""))),AND(LEN(TRIM(C85&amp;""))&gt;0,UPPER(TRIM(C85&amp;""))&lt;&gt;UPPER(TRIM(INDEX($C$13:$C$512,R85)&amp;""))),AND(LEN(TRIM(E85&amp;""))&gt;0,S85&lt;&gt;INDEX($S$13:$S$512,R85)),AND(F85&lt;&gt;"",NOT(ISNUMBER(F85)))),1,IF(ISNUMBER(F85),IF(ABS(F85-INDEX($F$13:$F$512,R85))&gt;0.00000001,1,0),0)))</f>
        <v>0</v>
      </c>
      <c r="U85" s="0" t="n">
        <f>IF(P85="DIRECTA",IF(AND(ISNUMBER(G85),COUNTA(H85:J85)=0),1,0),IF(P85="DIMENSIONES",IF(AND(COUNT(G85:J85)&gt;0,COUNTA(G85:J85)=COUNT(G85:J85)),1,0),0))</f>
        <v>0</v>
      </c>
      <c r="V85" s="0" t="n">
        <f>IF(O85=0,0,IF(COUNTIFS($O$13:O85,O85)=1,1,0))</f>
        <v>0</v>
      </c>
      <c r="W85" s="0">
        <f>IF(V85=1,COUNTIFS($V$13:V85,1),"")</f>
      </c>
      <c r="X85" s="0">
        <f>IF(COUNTA(B85:L85)=0,"",IF(OR(NOT(IF(ISNUMBER($E$6),AND($E$6&gt;=0,$E$6&lt;=6,$E$6=INT($E$6)),FALSE)),O85=0,R85=0,T85&gt;0,AND(P85&lt;&gt;"DIMENSIONES",P85&lt;&gt;"DIRECTA",P85&lt;&gt;"SIN LÍNEAS",P85&lt;&gt;"CABECERA"),AND(OR(P85="DIRECTA",P85="DIMENSIONES"),U85=0),AND(OR(P85="SIN LÍNEAS",P85="CABECERA"),COUNTA(G85:J85)&gt;0)),2,IF(OR(P85="SIN LÍNEAS",Y85&gt;0,Z85&gt;0,AA85&gt;0,SUMPRODUCT(--('LÉEME'!$B$65:$B$86=AC85))&lt;&gt;1),1,0)))</f>
      </c>
      <c r="Y85" s="0" t="n">
        <f>IF(AND(P85="DIMENSIONES",S85="m²",COUNT(H85:J85)=3),1,0)</f>
        <v>0</v>
      </c>
      <c r="Z85" s="0" t="n">
        <f>IF(IF(ISNUMBER($E$6),AND($E$6&gt;=0,$E$6&lt;=6,$E$6=INT($E$6)),FALSE),IF(SUM(IF(ISNUMBER(F85),IF(ABS(F85-ROUND(F85,$E$6))&gt;0.00000001,1,0),0),IF(ISNUMBER(G85),IF(ABS(G85-ROUND(G85,$E$6))&gt;0.00000001,1,0),0),IF(ISNUMBER(H85),IF(ABS(H85-ROUND(H85,$E$6))&gt;0.00000001,1,0),0),IF(ISNUMBER(I85),IF(ABS(I85-ROUND(I85,$E$6))&gt;0.00000001,1,0),0),IF(ISNUMBER(J85),IF(ABS(J85-ROUND(J85,$E$6))&gt;0.00000001,1,0),0),IF(ISNUMBER(M85),IF(ABS(M85-ROUND(M85,$E$6))&gt;0.00000001,1,0),0))&gt;0,1,0),0)</f>
        <v>0</v>
      </c>
      <c r="AA85" s="0" t="n">
        <f>IF(COUNTA(B85:L85)=0,0,IF(OR(AND(ISNUMBER(F85),F85&lt;0),AND(U85=1,OR(SUM(IF(ISNUMBER(G85),IF(G85=0,1,0),0),IF(ISNUMBER(H85),IF(H85=0,1,0),0),IF(ISNUMBER(I85),IF(I85=0,1,0),0),IF(ISNUMBER(J85),IF(J85=0,1,0),0))&gt;0,COUNTIFS(G85:J85,"&lt;0")&gt;0)),AND(P85="DIMENSIONES",U85=1,OR(AND(S85="m",COUNT(H85:J85)&lt;&gt;1),AND(S85="m²",COUNT(H85:J85)&lt;&gt;2,Y85=0),AND(S85="m³",COUNT(H85:J85)&lt;&gt;3),AND(S85="ud",COUNT(H85:J85)&gt;0))),AND(P85="DIRECTA",OR(S85="m",S85="m²",S85="m³"))),1,0))</f>
        <v>0</v>
      </c>
      <c r="AB85" s="0">
        <f>IF(LEN(TRIM(E85&amp;""))&gt;0,E85,IF(R85&gt;0,INDEX($E$13:$E$512,R85),""))</f>
      </c>
      <c r="AC85" s="0">
        <f>UPPER(SUBSTITUTE(SUBSTITUTE(SUBSTITUTE(SUBSTITUTE(SUBSTITUTE(TRIM(AB85),"²","2"),"³","3"),"^",""),".","")," ",""))</f>
      </c>
    </row>
    <row r="86" ht="35" customHeight="1">
      <c r="B86" s="35"/>
      <c r="C86" s="35"/>
      <c r="D86" s="37"/>
      <c r="E86" s="35"/>
      <c r="F86" s="38"/>
      <c r="G86" s="38"/>
      <c r="H86" s="38"/>
      <c r="I86" s="38"/>
      <c r="J86" s="38"/>
      <c r="K86" s="35"/>
      <c r="L86" s="35"/>
      <c r="M86" s="39">
        <f>IF(U86&lt;&gt;1,"",IF(P86="DIRECTA",G86,IF(ISNUMBER(G86),G86,1)*IF(ISNUMBER(H86),H86,1)*IF(ISNUMBER(I86),I86,1)*IF(ISNUMBER(J86),J86,1)))</f>
      </c>
      <c r="N86" s="30">
        <f>IF(COUNTA(B86:L86)=0,"",IF(X86=0,IF(P86="CABECERA","VERDE · Fila descriptiva; la suma usa las líneas del ID","VERDE · Datos numéricos interpretables"),IF(X86=2,"ROJO · ","ÁMBAR · ")&amp;IF(NOT(IF(ISNUMBER($E$6),AND($E$6&gt;=0,$E$6&lt;=6,$E$6=INT($E$6)),FALSE)),"Indicamos entre 0 y 6 decimales en E6. ","")&amp;IF(O86=0,"Falta un ID numérico. ","")&amp;IF(R86=0,"Faltan capítulo, código, unidad o total numérico del ID. ","")&amp;IF(T86&gt;0,"Los datos o el total del ID se contradicen. ","")&amp;IF(AND(P86&lt;&gt;"DIMENSIONES",P86&lt;&gt;"DIRECTA",P86&lt;&gt;"SIN LÍNEAS",P86&lt;&gt;"CABECERA"),"Tipo de fila no reconocido. ","")&amp;IF(AND(OR(P86="SIN LÍNEAS",P86="CABECERA"),COUNTA(G86:J86)&gt;0),"La fila dice que no mide, pero contiene medidas. ","")&amp;IF(AND(OR(P86="DIRECTA",P86="DIMENSIONES"),U86=0),"Línea incompleta o con medidas no numéricas. ","")&amp;IF(P86="SIN LÍNEAS","No constan medidas de esta fila. ","")&amp;IF(Y86&gt;0,"Parece m³: tres dimensiones bajo m². ","")&amp;IF(AND(AB86&lt;&gt;"",SUMPRODUCT(--('LÉEME'!$B$65:$B$86=AC86))&lt;&gt;1),"Revisamos el significado de la unidad. ","")&amp;IF(Z86&gt;0,"Más precisión que los decimales indicados: cotejamos el original. ","")&amp;IF(AA86&gt;0,"Revisamos dimensiones, cantidad directa, ceros o deducción. ","")))</f>
      </c>
      <c r="O86" s="0" t="n">
        <f>IF(ISNUMBER(K86),IF(AND(K86&gt;0,K86=INT(K86),K86&lt;=999999),K86,0),0)</f>
        <v>0</v>
      </c>
      <c r="P86" s="0">
        <f>IF(COUNTA(B86:L86)=0,"",IF(L86="",IF(COUNTA(G86:J86)&gt;0,"DIMENSIONES","SIN LÍNEAS"),UPPER(TRIM(L86))))</f>
      </c>
      <c r="Q86" s="0">
        <f>IF(AND(O86&gt;0,LEN(TRIM(B86&amp;""))&gt;0,LEN(TRIM(C86&amp;""))&gt;0,LEN(TRIM(E86&amp;""))&gt;0,ISNUMBER(F86)),O86,"")</f>
      </c>
      <c r="R86" s="0" t="n">
        <f>IF(O86=0,0,IF(COUNTIFS($Q$13:$Q$512,O86)&gt;0,MATCH(O86,$Q$13:$Q$512,0),0))</f>
        <v>0</v>
      </c>
      <c r="S86" s="0">
        <f>IF(AB86="","",IF(SUMPRODUCT(--('LÉEME'!$B$65:$B$86=AC86))=1,INDEX('LÉEME'!$C$65:$C$86,MATCH(AC86,'LÉEME'!$B$65:$B$86,0)),UPPER(TRIM(AB86))))</f>
      </c>
      <c r="T86" s="0" t="n">
        <f>IF(R86=0,0,IF(OR(AND(LEN(TRIM(B86&amp;""))&gt;0,UPPER(TRIM(B86&amp;""))&lt;&gt;UPPER(TRIM(INDEX($B$13:$B$512,R86)&amp;""))),AND(LEN(TRIM(C86&amp;""))&gt;0,UPPER(TRIM(C86&amp;""))&lt;&gt;UPPER(TRIM(INDEX($C$13:$C$512,R86)&amp;""))),AND(LEN(TRIM(E86&amp;""))&gt;0,S86&lt;&gt;INDEX($S$13:$S$512,R86)),AND(F86&lt;&gt;"",NOT(ISNUMBER(F86)))),1,IF(ISNUMBER(F86),IF(ABS(F86-INDEX($F$13:$F$512,R86))&gt;0.00000001,1,0),0)))</f>
        <v>0</v>
      </c>
      <c r="U86" s="0" t="n">
        <f>IF(P86="DIRECTA",IF(AND(ISNUMBER(G86),COUNTA(H86:J86)=0),1,0),IF(P86="DIMENSIONES",IF(AND(COUNT(G86:J86)&gt;0,COUNTA(G86:J86)=COUNT(G86:J86)),1,0),0))</f>
        <v>0</v>
      </c>
      <c r="V86" s="0" t="n">
        <f>IF(O86=0,0,IF(COUNTIFS($O$13:O86,O86)=1,1,0))</f>
        <v>0</v>
      </c>
      <c r="W86" s="0">
        <f>IF(V86=1,COUNTIFS($V$13:V86,1),"")</f>
      </c>
      <c r="X86" s="0">
        <f>IF(COUNTA(B86:L86)=0,"",IF(OR(NOT(IF(ISNUMBER($E$6),AND($E$6&gt;=0,$E$6&lt;=6,$E$6=INT($E$6)),FALSE)),O86=0,R86=0,T86&gt;0,AND(P86&lt;&gt;"DIMENSIONES",P86&lt;&gt;"DIRECTA",P86&lt;&gt;"SIN LÍNEAS",P86&lt;&gt;"CABECERA"),AND(OR(P86="DIRECTA",P86="DIMENSIONES"),U86=0),AND(OR(P86="SIN LÍNEAS",P86="CABECERA"),COUNTA(G86:J86)&gt;0)),2,IF(OR(P86="SIN LÍNEAS",Y86&gt;0,Z86&gt;0,AA86&gt;0,SUMPRODUCT(--('LÉEME'!$B$65:$B$86=AC86))&lt;&gt;1),1,0)))</f>
      </c>
      <c r="Y86" s="0" t="n">
        <f>IF(AND(P86="DIMENSIONES",S86="m²",COUNT(H86:J86)=3),1,0)</f>
        <v>0</v>
      </c>
      <c r="Z86" s="0" t="n">
        <f>IF(IF(ISNUMBER($E$6),AND($E$6&gt;=0,$E$6&lt;=6,$E$6=INT($E$6)),FALSE),IF(SUM(IF(ISNUMBER(F86),IF(ABS(F86-ROUND(F86,$E$6))&gt;0.00000001,1,0),0),IF(ISNUMBER(G86),IF(ABS(G86-ROUND(G86,$E$6))&gt;0.00000001,1,0),0),IF(ISNUMBER(H86),IF(ABS(H86-ROUND(H86,$E$6))&gt;0.00000001,1,0),0),IF(ISNUMBER(I86),IF(ABS(I86-ROUND(I86,$E$6))&gt;0.00000001,1,0),0),IF(ISNUMBER(J86),IF(ABS(J86-ROUND(J86,$E$6))&gt;0.00000001,1,0),0),IF(ISNUMBER(M86),IF(ABS(M86-ROUND(M86,$E$6))&gt;0.00000001,1,0),0))&gt;0,1,0),0)</f>
        <v>0</v>
      </c>
      <c r="AA86" s="0" t="n">
        <f>IF(COUNTA(B86:L86)=0,0,IF(OR(AND(ISNUMBER(F86),F86&lt;0),AND(U86=1,OR(SUM(IF(ISNUMBER(G86),IF(G86=0,1,0),0),IF(ISNUMBER(H86),IF(H86=0,1,0),0),IF(ISNUMBER(I86),IF(I86=0,1,0),0),IF(ISNUMBER(J86),IF(J86=0,1,0),0))&gt;0,COUNTIFS(G86:J86,"&lt;0")&gt;0)),AND(P86="DIMENSIONES",U86=1,OR(AND(S86="m",COUNT(H86:J86)&lt;&gt;1),AND(S86="m²",COUNT(H86:J86)&lt;&gt;2,Y86=0),AND(S86="m³",COUNT(H86:J86)&lt;&gt;3),AND(S86="ud",COUNT(H86:J86)&gt;0))),AND(P86="DIRECTA",OR(S86="m",S86="m²",S86="m³"))),1,0))</f>
        <v>0</v>
      </c>
      <c r="AB86" s="0">
        <f>IF(LEN(TRIM(E86&amp;""))&gt;0,E86,IF(R86&gt;0,INDEX($E$13:$E$512,R86),""))</f>
      </c>
      <c r="AC86" s="0">
        <f>UPPER(SUBSTITUTE(SUBSTITUTE(SUBSTITUTE(SUBSTITUTE(SUBSTITUTE(TRIM(AB86),"²","2"),"³","3"),"^",""),".","")," ",""))</f>
      </c>
    </row>
    <row r="87" ht="35" customHeight="1">
      <c r="B87" s="35"/>
      <c r="C87" s="35"/>
      <c r="D87" s="37"/>
      <c r="E87" s="35"/>
      <c r="F87" s="38"/>
      <c r="G87" s="38"/>
      <c r="H87" s="38"/>
      <c r="I87" s="38"/>
      <c r="J87" s="38"/>
      <c r="K87" s="35"/>
      <c r="L87" s="35"/>
      <c r="M87" s="39">
        <f>IF(U87&lt;&gt;1,"",IF(P87="DIRECTA",G87,IF(ISNUMBER(G87),G87,1)*IF(ISNUMBER(H87),H87,1)*IF(ISNUMBER(I87),I87,1)*IF(ISNUMBER(J87),J87,1)))</f>
      </c>
      <c r="N87" s="30">
        <f>IF(COUNTA(B87:L87)=0,"",IF(X87=0,IF(P87="CABECERA","VERDE · Fila descriptiva; la suma usa las líneas del ID","VERDE · Datos numéricos interpretables"),IF(X87=2,"ROJO · ","ÁMBAR · ")&amp;IF(NOT(IF(ISNUMBER($E$6),AND($E$6&gt;=0,$E$6&lt;=6,$E$6=INT($E$6)),FALSE)),"Indicamos entre 0 y 6 decimales en E6. ","")&amp;IF(O87=0,"Falta un ID numérico. ","")&amp;IF(R87=0,"Faltan capítulo, código, unidad o total numérico del ID. ","")&amp;IF(T87&gt;0,"Los datos o el total del ID se contradicen. ","")&amp;IF(AND(P87&lt;&gt;"DIMENSIONES",P87&lt;&gt;"DIRECTA",P87&lt;&gt;"SIN LÍNEAS",P87&lt;&gt;"CABECERA"),"Tipo de fila no reconocido. ","")&amp;IF(AND(OR(P87="SIN LÍNEAS",P87="CABECERA"),COUNTA(G87:J87)&gt;0),"La fila dice que no mide, pero contiene medidas. ","")&amp;IF(AND(OR(P87="DIRECTA",P87="DIMENSIONES"),U87=0),"Línea incompleta o con medidas no numéricas. ","")&amp;IF(P87="SIN LÍNEAS","No constan medidas de esta fila. ","")&amp;IF(Y87&gt;0,"Parece m³: tres dimensiones bajo m². ","")&amp;IF(AND(AB87&lt;&gt;"",SUMPRODUCT(--('LÉEME'!$B$65:$B$86=AC87))&lt;&gt;1),"Revisamos el significado de la unidad. ","")&amp;IF(Z87&gt;0,"Más precisión que los decimales indicados: cotejamos el original. ","")&amp;IF(AA87&gt;0,"Revisamos dimensiones, cantidad directa, ceros o deducción. ","")))</f>
      </c>
      <c r="O87" s="0" t="n">
        <f>IF(ISNUMBER(K87),IF(AND(K87&gt;0,K87=INT(K87),K87&lt;=999999),K87,0),0)</f>
        <v>0</v>
      </c>
      <c r="P87" s="0">
        <f>IF(COUNTA(B87:L87)=0,"",IF(L87="",IF(COUNTA(G87:J87)&gt;0,"DIMENSIONES","SIN LÍNEAS"),UPPER(TRIM(L87))))</f>
      </c>
      <c r="Q87" s="0">
        <f>IF(AND(O87&gt;0,LEN(TRIM(B87&amp;""))&gt;0,LEN(TRIM(C87&amp;""))&gt;0,LEN(TRIM(E87&amp;""))&gt;0,ISNUMBER(F87)),O87,"")</f>
      </c>
      <c r="R87" s="0" t="n">
        <f>IF(O87=0,0,IF(COUNTIFS($Q$13:$Q$512,O87)&gt;0,MATCH(O87,$Q$13:$Q$512,0),0))</f>
        <v>0</v>
      </c>
      <c r="S87" s="0">
        <f>IF(AB87="","",IF(SUMPRODUCT(--('LÉEME'!$B$65:$B$86=AC87))=1,INDEX('LÉEME'!$C$65:$C$86,MATCH(AC87,'LÉEME'!$B$65:$B$86,0)),UPPER(TRIM(AB87))))</f>
      </c>
      <c r="T87" s="0" t="n">
        <f>IF(R87=0,0,IF(OR(AND(LEN(TRIM(B87&amp;""))&gt;0,UPPER(TRIM(B87&amp;""))&lt;&gt;UPPER(TRIM(INDEX($B$13:$B$512,R87)&amp;""))),AND(LEN(TRIM(C87&amp;""))&gt;0,UPPER(TRIM(C87&amp;""))&lt;&gt;UPPER(TRIM(INDEX($C$13:$C$512,R87)&amp;""))),AND(LEN(TRIM(E87&amp;""))&gt;0,S87&lt;&gt;INDEX($S$13:$S$512,R87)),AND(F87&lt;&gt;"",NOT(ISNUMBER(F87)))),1,IF(ISNUMBER(F87),IF(ABS(F87-INDEX($F$13:$F$512,R87))&gt;0.00000001,1,0),0)))</f>
        <v>0</v>
      </c>
      <c r="U87" s="0" t="n">
        <f>IF(P87="DIRECTA",IF(AND(ISNUMBER(G87),COUNTA(H87:J87)=0),1,0),IF(P87="DIMENSIONES",IF(AND(COUNT(G87:J87)&gt;0,COUNTA(G87:J87)=COUNT(G87:J87)),1,0),0))</f>
        <v>0</v>
      </c>
      <c r="V87" s="0" t="n">
        <f>IF(O87=0,0,IF(COUNTIFS($O$13:O87,O87)=1,1,0))</f>
        <v>0</v>
      </c>
      <c r="W87" s="0">
        <f>IF(V87=1,COUNTIFS($V$13:V87,1),"")</f>
      </c>
      <c r="X87" s="0">
        <f>IF(COUNTA(B87:L87)=0,"",IF(OR(NOT(IF(ISNUMBER($E$6),AND($E$6&gt;=0,$E$6&lt;=6,$E$6=INT($E$6)),FALSE)),O87=0,R87=0,T87&gt;0,AND(P87&lt;&gt;"DIMENSIONES",P87&lt;&gt;"DIRECTA",P87&lt;&gt;"SIN LÍNEAS",P87&lt;&gt;"CABECERA"),AND(OR(P87="DIRECTA",P87="DIMENSIONES"),U87=0),AND(OR(P87="SIN LÍNEAS",P87="CABECERA"),COUNTA(G87:J87)&gt;0)),2,IF(OR(P87="SIN LÍNEAS",Y87&gt;0,Z87&gt;0,AA87&gt;0,SUMPRODUCT(--('LÉEME'!$B$65:$B$86=AC87))&lt;&gt;1),1,0)))</f>
      </c>
      <c r="Y87" s="0" t="n">
        <f>IF(AND(P87="DIMENSIONES",S87="m²",COUNT(H87:J87)=3),1,0)</f>
        <v>0</v>
      </c>
      <c r="Z87" s="0" t="n">
        <f>IF(IF(ISNUMBER($E$6),AND($E$6&gt;=0,$E$6&lt;=6,$E$6=INT($E$6)),FALSE),IF(SUM(IF(ISNUMBER(F87),IF(ABS(F87-ROUND(F87,$E$6))&gt;0.00000001,1,0),0),IF(ISNUMBER(G87),IF(ABS(G87-ROUND(G87,$E$6))&gt;0.00000001,1,0),0),IF(ISNUMBER(H87),IF(ABS(H87-ROUND(H87,$E$6))&gt;0.00000001,1,0),0),IF(ISNUMBER(I87),IF(ABS(I87-ROUND(I87,$E$6))&gt;0.00000001,1,0),0),IF(ISNUMBER(J87),IF(ABS(J87-ROUND(J87,$E$6))&gt;0.00000001,1,0),0),IF(ISNUMBER(M87),IF(ABS(M87-ROUND(M87,$E$6))&gt;0.00000001,1,0),0))&gt;0,1,0),0)</f>
        <v>0</v>
      </c>
      <c r="AA87" s="0" t="n">
        <f>IF(COUNTA(B87:L87)=0,0,IF(OR(AND(ISNUMBER(F87),F87&lt;0),AND(U87=1,OR(SUM(IF(ISNUMBER(G87),IF(G87=0,1,0),0),IF(ISNUMBER(H87),IF(H87=0,1,0),0),IF(ISNUMBER(I87),IF(I87=0,1,0),0),IF(ISNUMBER(J87),IF(J87=0,1,0),0))&gt;0,COUNTIFS(G87:J87,"&lt;0")&gt;0)),AND(P87="DIMENSIONES",U87=1,OR(AND(S87="m",COUNT(H87:J87)&lt;&gt;1),AND(S87="m²",COUNT(H87:J87)&lt;&gt;2,Y87=0),AND(S87="m³",COUNT(H87:J87)&lt;&gt;3),AND(S87="ud",COUNT(H87:J87)&gt;0))),AND(P87="DIRECTA",OR(S87="m",S87="m²",S87="m³"))),1,0))</f>
        <v>0</v>
      </c>
      <c r="AB87" s="0">
        <f>IF(LEN(TRIM(E87&amp;""))&gt;0,E87,IF(R87&gt;0,INDEX($E$13:$E$512,R87),""))</f>
      </c>
      <c r="AC87" s="0">
        <f>UPPER(SUBSTITUTE(SUBSTITUTE(SUBSTITUTE(SUBSTITUTE(SUBSTITUTE(TRIM(AB87),"²","2"),"³","3"),"^",""),".","")," ",""))</f>
      </c>
    </row>
    <row r="88" ht="35" customHeight="1">
      <c r="B88" s="35"/>
      <c r="C88" s="35"/>
      <c r="D88" s="37"/>
      <c r="E88" s="35"/>
      <c r="F88" s="38"/>
      <c r="G88" s="38"/>
      <c r="H88" s="38"/>
      <c r="I88" s="38"/>
      <c r="J88" s="38"/>
      <c r="K88" s="35"/>
      <c r="L88" s="35"/>
      <c r="M88" s="39">
        <f>IF(U88&lt;&gt;1,"",IF(P88="DIRECTA",G88,IF(ISNUMBER(G88),G88,1)*IF(ISNUMBER(H88),H88,1)*IF(ISNUMBER(I88),I88,1)*IF(ISNUMBER(J88),J88,1)))</f>
      </c>
      <c r="N88" s="30">
        <f>IF(COUNTA(B88:L88)=0,"",IF(X88=0,IF(P88="CABECERA","VERDE · Fila descriptiva; la suma usa las líneas del ID","VERDE · Datos numéricos interpretables"),IF(X88=2,"ROJO · ","ÁMBAR · ")&amp;IF(NOT(IF(ISNUMBER($E$6),AND($E$6&gt;=0,$E$6&lt;=6,$E$6=INT($E$6)),FALSE)),"Indicamos entre 0 y 6 decimales en E6. ","")&amp;IF(O88=0,"Falta un ID numérico. ","")&amp;IF(R88=0,"Faltan capítulo, código, unidad o total numérico del ID. ","")&amp;IF(T88&gt;0,"Los datos o el total del ID se contradicen. ","")&amp;IF(AND(P88&lt;&gt;"DIMENSIONES",P88&lt;&gt;"DIRECTA",P88&lt;&gt;"SIN LÍNEAS",P88&lt;&gt;"CABECERA"),"Tipo de fila no reconocido. ","")&amp;IF(AND(OR(P88="SIN LÍNEAS",P88="CABECERA"),COUNTA(G88:J88)&gt;0),"La fila dice que no mide, pero contiene medidas. ","")&amp;IF(AND(OR(P88="DIRECTA",P88="DIMENSIONES"),U88=0),"Línea incompleta o con medidas no numéricas. ","")&amp;IF(P88="SIN LÍNEAS","No constan medidas de esta fila. ","")&amp;IF(Y88&gt;0,"Parece m³: tres dimensiones bajo m². ","")&amp;IF(AND(AB88&lt;&gt;"",SUMPRODUCT(--('LÉEME'!$B$65:$B$86=AC88))&lt;&gt;1),"Revisamos el significado de la unidad. ","")&amp;IF(Z88&gt;0,"Más precisión que los decimales indicados: cotejamos el original. ","")&amp;IF(AA88&gt;0,"Revisamos dimensiones, cantidad directa, ceros o deducción. ","")))</f>
      </c>
      <c r="O88" s="0" t="n">
        <f>IF(ISNUMBER(K88),IF(AND(K88&gt;0,K88=INT(K88),K88&lt;=999999),K88,0),0)</f>
        <v>0</v>
      </c>
      <c r="P88" s="0">
        <f>IF(COUNTA(B88:L88)=0,"",IF(L88="",IF(COUNTA(G88:J88)&gt;0,"DIMENSIONES","SIN LÍNEAS"),UPPER(TRIM(L88))))</f>
      </c>
      <c r="Q88" s="0">
        <f>IF(AND(O88&gt;0,LEN(TRIM(B88&amp;""))&gt;0,LEN(TRIM(C88&amp;""))&gt;0,LEN(TRIM(E88&amp;""))&gt;0,ISNUMBER(F88)),O88,"")</f>
      </c>
      <c r="R88" s="0" t="n">
        <f>IF(O88=0,0,IF(COUNTIFS($Q$13:$Q$512,O88)&gt;0,MATCH(O88,$Q$13:$Q$512,0),0))</f>
        <v>0</v>
      </c>
      <c r="S88" s="0">
        <f>IF(AB88="","",IF(SUMPRODUCT(--('LÉEME'!$B$65:$B$86=AC88))=1,INDEX('LÉEME'!$C$65:$C$86,MATCH(AC88,'LÉEME'!$B$65:$B$86,0)),UPPER(TRIM(AB88))))</f>
      </c>
      <c r="T88" s="0" t="n">
        <f>IF(R88=0,0,IF(OR(AND(LEN(TRIM(B88&amp;""))&gt;0,UPPER(TRIM(B88&amp;""))&lt;&gt;UPPER(TRIM(INDEX($B$13:$B$512,R88)&amp;""))),AND(LEN(TRIM(C88&amp;""))&gt;0,UPPER(TRIM(C88&amp;""))&lt;&gt;UPPER(TRIM(INDEX($C$13:$C$512,R88)&amp;""))),AND(LEN(TRIM(E88&amp;""))&gt;0,S88&lt;&gt;INDEX($S$13:$S$512,R88)),AND(F88&lt;&gt;"",NOT(ISNUMBER(F88)))),1,IF(ISNUMBER(F88),IF(ABS(F88-INDEX($F$13:$F$512,R88))&gt;0.00000001,1,0),0)))</f>
        <v>0</v>
      </c>
      <c r="U88" s="0" t="n">
        <f>IF(P88="DIRECTA",IF(AND(ISNUMBER(G88),COUNTA(H88:J88)=0),1,0),IF(P88="DIMENSIONES",IF(AND(COUNT(G88:J88)&gt;0,COUNTA(G88:J88)=COUNT(G88:J88)),1,0),0))</f>
        <v>0</v>
      </c>
      <c r="V88" s="0" t="n">
        <f>IF(O88=0,0,IF(COUNTIFS($O$13:O88,O88)=1,1,0))</f>
        <v>0</v>
      </c>
      <c r="W88" s="0">
        <f>IF(V88=1,COUNTIFS($V$13:V88,1),"")</f>
      </c>
      <c r="X88" s="0">
        <f>IF(COUNTA(B88:L88)=0,"",IF(OR(NOT(IF(ISNUMBER($E$6),AND($E$6&gt;=0,$E$6&lt;=6,$E$6=INT($E$6)),FALSE)),O88=0,R88=0,T88&gt;0,AND(P88&lt;&gt;"DIMENSIONES",P88&lt;&gt;"DIRECTA",P88&lt;&gt;"SIN LÍNEAS",P88&lt;&gt;"CABECERA"),AND(OR(P88="DIRECTA",P88="DIMENSIONES"),U88=0),AND(OR(P88="SIN LÍNEAS",P88="CABECERA"),COUNTA(G88:J88)&gt;0)),2,IF(OR(P88="SIN LÍNEAS",Y88&gt;0,Z88&gt;0,AA88&gt;0,SUMPRODUCT(--('LÉEME'!$B$65:$B$86=AC88))&lt;&gt;1),1,0)))</f>
      </c>
      <c r="Y88" s="0" t="n">
        <f>IF(AND(P88="DIMENSIONES",S88="m²",COUNT(H88:J88)=3),1,0)</f>
        <v>0</v>
      </c>
      <c r="Z88" s="0" t="n">
        <f>IF(IF(ISNUMBER($E$6),AND($E$6&gt;=0,$E$6&lt;=6,$E$6=INT($E$6)),FALSE),IF(SUM(IF(ISNUMBER(F88),IF(ABS(F88-ROUND(F88,$E$6))&gt;0.00000001,1,0),0),IF(ISNUMBER(G88),IF(ABS(G88-ROUND(G88,$E$6))&gt;0.00000001,1,0),0),IF(ISNUMBER(H88),IF(ABS(H88-ROUND(H88,$E$6))&gt;0.00000001,1,0),0),IF(ISNUMBER(I88),IF(ABS(I88-ROUND(I88,$E$6))&gt;0.00000001,1,0),0),IF(ISNUMBER(J88),IF(ABS(J88-ROUND(J88,$E$6))&gt;0.00000001,1,0),0),IF(ISNUMBER(M88),IF(ABS(M88-ROUND(M88,$E$6))&gt;0.00000001,1,0),0))&gt;0,1,0),0)</f>
        <v>0</v>
      </c>
      <c r="AA88" s="0" t="n">
        <f>IF(COUNTA(B88:L88)=0,0,IF(OR(AND(ISNUMBER(F88),F88&lt;0),AND(U88=1,OR(SUM(IF(ISNUMBER(G88),IF(G88=0,1,0),0),IF(ISNUMBER(H88),IF(H88=0,1,0),0),IF(ISNUMBER(I88),IF(I88=0,1,0),0),IF(ISNUMBER(J88),IF(J88=0,1,0),0))&gt;0,COUNTIFS(G88:J88,"&lt;0")&gt;0)),AND(P88="DIMENSIONES",U88=1,OR(AND(S88="m",COUNT(H88:J88)&lt;&gt;1),AND(S88="m²",COUNT(H88:J88)&lt;&gt;2,Y88=0),AND(S88="m³",COUNT(H88:J88)&lt;&gt;3),AND(S88="ud",COUNT(H88:J88)&gt;0))),AND(P88="DIRECTA",OR(S88="m",S88="m²",S88="m³"))),1,0))</f>
        <v>0</v>
      </c>
      <c r="AB88" s="0">
        <f>IF(LEN(TRIM(E88&amp;""))&gt;0,E88,IF(R88&gt;0,INDEX($E$13:$E$512,R88),""))</f>
      </c>
      <c r="AC88" s="0">
        <f>UPPER(SUBSTITUTE(SUBSTITUTE(SUBSTITUTE(SUBSTITUTE(SUBSTITUTE(TRIM(AB88),"²","2"),"³","3"),"^",""),".","")," ",""))</f>
      </c>
    </row>
    <row r="89" ht="35" customHeight="1">
      <c r="B89" s="35"/>
      <c r="C89" s="35"/>
      <c r="D89" s="37"/>
      <c r="E89" s="35"/>
      <c r="F89" s="38"/>
      <c r="G89" s="38"/>
      <c r="H89" s="38"/>
      <c r="I89" s="38"/>
      <c r="J89" s="38"/>
      <c r="K89" s="35"/>
      <c r="L89" s="35"/>
      <c r="M89" s="39">
        <f>IF(U89&lt;&gt;1,"",IF(P89="DIRECTA",G89,IF(ISNUMBER(G89),G89,1)*IF(ISNUMBER(H89),H89,1)*IF(ISNUMBER(I89),I89,1)*IF(ISNUMBER(J89),J89,1)))</f>
      </c>
      <c r="N89" s="30">
        <f>IF(COUNTA(B89:L89)=0,"",IF(X89=0,IF(P89="CABECERA","VERDE · Fila descriptiva; la suma usa las líneas del ID","VERDE · Datos numéricos interpretables"),IF(X89=2,"ROJO · ","ÁMBAR · ")&amp;IF(NOT(IF(ISNUMBER($E$6),AND($E$6&gt;=0,$E$6&lt;=6,$E$6=INT($E$6)),FALSE)),"Indicamos entre 0 y 6 decimales en E6. ","")&amp;IF(O89=0,"Falta un ID numérico. ","")&amp;IF(R89=0,"Faltan capítulo, código, unidad o total numérico del ID. ","")&amp;IF(T89&gt;0,"Los datos o el total del ID se contradicen. ","")&amp;IF(AND(P89&lt;&gt;"DIMENSIONES",P89&lt;&gt;"DIRECTA",P89&lt;&gt;"SIN LÍNEAS",P89&lt;&gt;"CABECERA"),"Tipo de fila no reconocido. ","")&amp;IF(AND(OR(P89="SIN LÍNEAS",P89="CABECERA"),COUNTA(G89:J89)&gt;0),"La fila dice que no mide, pero contiene medidas. ","")&amp;IF(AND(OR(P89="DIRECTA",P89="DIMENSIONES"),U89=0),"Línea incompleta o con medidas no numéricas. ","")&amp;IF(P89="SIN LÍNEAS","No constan medidas de esta fila. ","")&amp;IF(Y89&gt;0,"Parece m³: tres dimensiones bajo m². ","")&amp;IF(AND(AB89&lt;&gt;"",SUMPRODUCT(--('LÉEME'!$B$65:$B$86=AC89))&lt;&gt;1),"Revisamos el significado de la unidad. ","")&amp;IF(Z89&gt;0,"Más precisión que los decimales indicados: cotejamos el original. ","")&amp;IF(AA89&gt;0,"Revisamos dimensiones, cantidad directa, ceros o deducción. ","")))</f>
      </c>
      <c r="O89" s="0" t="n">
        <f>IF(ISNUMBER(K89),IF(AND(K89&gt;0,K89=INT(K89),K89&lt;=999999),K89,0),0)</f>
        <v>0</v>
      </c>
      <c r="P89" s="0">
        <f>IF(COUNTA(B89:L89)=0,"",IF(L89="",IF(COUNTA(G89:J89)&gt;0,"DIMENSIONES","SIN LÍNEAS"),UPPER(TRIM(L89))))</f>
      </c>
      <c r="Q89" s="0">
        <f>IF(AND(O89&gt;0,LEN(TRIM(B89&amp;""))&gt;0,LEN(TRIM(C89&amp;""))&gt;0,LEN(TRIM(E89&amp;""))&gt;0,ISNUMBER(F89)),O89,"")</f>
      </c>
      <c r="R89" s="0" t="n">
        <f>IF(O89=0,0,IF(COUNTIFS($Q$13:$Q$512,O89)&gt;0,MATCH(O89,$Q$13:$Q$512,0),0))</f>
        <v>0</v>
      </c>
      <c r="S89" s="0">
        <f>IF(AB89="","",IF(SUMPRODUCT(--('LÉEME'!$B$65:$B$86=AC89))=1,INDEX('LÉEME'!$C$65:$C$86,MATCH(AC89,'LÉEME'!$B$65:$B$86,0)),UPPER(TRIM(AB89))))</f>
      </c>
      <c r="T89" s="0" t="n">
        <f>IF(R89=0,0,IF(OR(AND(LEN(TRIM(B89&amp;""))&gt;0,UPPER(TRIM(B89&amp;""))&lt;&gt;UPPER(TRIM(INDEX($B$13:$B$512,R89)&amp;""))),AND(LEN(TRIM(C89&amp;""))&gt;0,UPPER(TRIM(C89&amp;""))&lt;&gt;UPPER(TRIM(INDEX($C$13:$C$512,R89)&amp;""))),AND(LEN(TRIM(E89&amp;""))&gt;0,S89&lt;&gt;INDEX($S$13:$S$512,R89)),AND(F89&lt;&gt;"",NOT(ISNUMBER(F89)))),1,IF(ISNUMBER(F89),IF(ABS(F89-INDEX($F$13:$F$512,R89))&gt;0.00000001,1,0),0)))</f>
        <v>0</v>
      </c>
      <c r="U89" s="0" t="n">
        <f>IF(P89="DIRECTA",IF(AND(ISNUMBER(G89),COUNTA(H89:J89)=0),1,0),IF(P89="DIMENSIONES",IF(AND(COUNT(G89:J89)&gt;0,COUNTA(G89:J89)=COUNT(G89:J89)),1,0),0))</f>
        <v>0</v>
      </c>
      <c r="V89" s="0" t="n">
        <f>IF(O89=0,0,IF(COUNTIFS($O$13:O89,O89)=1,1,0))</f>
        <v>0</v>
      </c>
      <c r="W89" s="0">
        <f>IF(V89=1,COUNTIFS($V$13:V89,1),"")</f>
      </c>
      <c r="X89" s="0">
        <f>IF(COUNTA(B89:L89)=0,"",IF(OR(NOT(IF(ISNUMBER($E$6),AND($E$6&gt;=0,$E$6&lt;=6,$E$6=INT($E$6)),FALSE)),O89=0,R89=0,T89&gt;0,AND(P89&lt;&gt;"DIMENSIONES",P89&lt;&gt;"DIRECTA",P89&lt;&gt;"SIN LÍNEAS",P89&lt;&gt;"CABECERA"),AND(OR(P89="DIRECTA",P89="DIMENSIONES"),U89=0),AND(OR(P89="SIN LÍNEAS",P89="CABECERA"),COUNTA(G89:J89)&gt;0)),2,IF(OR(P89="SIN LÍNEAS",Y89&gt;0,Z89&gt;0,AA89&gt;0,SUMPRODUCT(--('LÉEME'!$B$65:$B$86=AC89))&lt;&gt;1),1,0)))</f>
      </c>
      <c r="Y89" s="0" t="n">
        <f>IF(AND(P89="DIMENSIONES",S89="m²",COUNT(H89:J89)=3),1,0)</f>
        <v>0</v>
      </c>
      <c r="Z89" s="0" t="n">
        <f>IF(IF(ISNUMBER($E$6),AND($E$6&gt;=0,$E$6&lt;=6,$E$6=INT($E$6)),FALSE),IF(SUM(IF(ISNUMBER(F89),IF(ABS(F89-ROUND(F89,$E$6))&gt;0.00000001,1,0),0),IF(ISNUMBER(G89),IF(ABS(G89-ROUND(G89,$E$6))&gt;0.00000001,1,0),0),IF(ISNUMBER(H89),IF(ABS(H89-ROUND(H89,$E$6))&gt;0.00000001,1,0),0),IF(ISNUMBER(I89),IF(ABS(I89-ROUND(I89,$E$6))&gt;0.00000001,1,0),0),IF(ISNUMBER(J89),IF(ABS(J89-ROUND(J89,$E$6))&gt;0.00000001,1,0),0),IF(ISNUMBER(M89),IF(ABS(M89-ROUND(M89,$E$6))&gt;0.00000001,1,0),0))&gt;0,1,0),0)</f>
        <v>0</v>
      </c>
      <c r="AA89" s="0" t="n">
        <f>IF(COUNTA(B89:L89)=0,0,IF(OR(AND(ISNUMBER(F89),F89&lt;0),AND(U89=1,OR(SUM(IF(ISNUMBER(G89),IF(G89=0,1,0),0),IF(ISNUMBER(H89),IF(H89=0,1,0),0),IF(ISNUMBER(I89),IF(I89=0,1,0),0),IF(ISNUMBER(J89),IF(J89=0,1,0),0))&gt;0,COUNTIFS(G89:J89,"&lt;0")&gt;0)),AND(P89="DIMENSIONES",U89=1,OR(AND(S89="m",COUNT(H89:J89)&lt;&gt;1),AND(S89="m²",COUNT(H89:J89)&lt;&gt;2,Y89=0),AND(S89="m³",COUNT(H89:J89)&lt;&gt;3),AND(S89="ud",COUNT(H89:J89)&gt;0))),AND(P89="DIRECTA",OR(S89="m",S89="m²",S89="m³"))),1,0))</f>
        <v>0</v>
      </c>
      <c r="AB89" s="0">
        <f>IF(LEN(TRIM(E89&amp;""))&gt;0,E89,IF(R89&gt;0,INDEX($E$13:$E$512,R89),""))</f>
      </c>
      <c r="AC89" s="0">
        <f>UPPER(SUBSTITUTE(SUBSTITUTE(SUBSTITUTE(SUBSTITUTE(SUBSTITUTE(TRIM(AB89),"²","2"),"³","3"),"^",""),".","")," ",""))</f>
      </c>
    </row>
    <row r="90" ht="35" customHeight="1">
      <c r="B90" s="35"/>
      <c r="C90" s="35"/>
      <c r="D90" s="37"/>
      <c r="E90" s="35"/>
      <c r="F90" s="38"/>
      <c r="G90" s="38"/>
      <c r="H90" s="38"/>
      <c r="I90" s="38"/>
      <c r="J90" s="38"/>
      <c r="K90" s="35"/>
      <c r="L90" s="35"/>
      <c r="M90" s="39">
        <f>IF(U90&lt;&gt;1,"",IF(P90="DIRECTA",G90,IF(ISNUMBER(G90),G90,1)*IF(ISNUMBER(H90),H90,1)*IF(ISNUMBER(I90),I90,1)*IF(ISNUMBER(J90),J90,1)))</f>
      </c>
      <c r="N90" s="30">
        <f>IF(COUNTA(B90:L90)=0,"",IF(X90=0,IF(P90="CABECERA","VERDE · Fila descriptiva; la suma usa las líneas del ID","VERDE · Datos numéricos interpretables"),IF(X90=2,"ROJO · ","ÁMBAR · ")&amp;IF(NOT(IF(ISNUMBER($E$6),AND($E$6&gt;=0,$E$6&lt;=6,$E$6=INT($E$6)),FALSE)),"Indicamos entre 0 y 6 decimales en E6. ","")&amp;IF(O90=0,"Falta un ID numérico. ","")&amp;IF(R90=0,"Faltan capítulo, código, unidad o total numérico del ID. ","")&amp;IF(T90&gt;0,"Los datos o el total del ID se contradicen. ","")&amp;IF(AND(P90&lt;&gt;"DIMENSIONES",P90&lt;&gt;"DIRECTA",P90&lt;&gt;"SIN LÍNEAS",P90&lt;&gt;"CABECERA"),"Tipo de fila no reconocido. ","")&amp;IF(AND(OR(P90="SIN LÍNEAS",P90="CABECERA"),COUNTA(G90:J90)&gt;0),"La fila dice que no mide, pero contiene medidas. ","")&amp;IF(AND(OR(P90="DIRECTA",P90="DIMENSIONES"),U90=0),"Línea incompleta o con medidas no numéricas. ","")&amp;IF(P90="SIN LÍNEAS","No constan medidas de esta fila. ","")&amp;IF(Y90&gt;0,"Parece m³: tres dimensiones bajo m². ","")&amp;IF(AND(AB90&lt;&gt;"",SUMPRODUCT(--('LÉEME'!$B$65:$B$86=AC90))&lt;&gt;1),"Revisamos el significado de la unidad. ","")&amp;IF(Z90&gt;0,"Más precisión que los decimales indicados: cotejamos el original. ","")&amp;IF(AA90&gt;0,"Revisamos dimensiones, cantidad directa, ceros o deducción. ","")))</f>
      </c>
      <c r="O90" s="0" t="n">
        <f>IF(ISNUMBER(K90),IF(AND(K90&gt;0,K90=INT(K90),K90&lt;=999999),K90,0),0)</f>
        <v>0</v>
      </c>
      <c r="P90" s="0">
        <f>IF(COUNTA(B90:L90)=0,"",IF(L90="",IF(COUNTA(G90:J90)&gt;0,"DIMENSIONES","SIN LÍNEAS"),UPPER(TRIM(L90))))</f>
      </c>
      <c r="Q90" s="0">
        <f>IF(AND(O90&gt;0,LEN(TRIM(B90&amp;""))&gt;0,LEN(TRIM(C90&amp;""))&gt;0,LEN(TRIM(E90&amp;""))&gt;0,ISNUMBER(F90)),O90,"")</f>
      </c>
      <c r="R90" s="0" t="n">
        <f>IF(O90=0,0,IF(COUNTIFS($Q$13:$Q$512,O90)&gt;0,MATCH(O90,$Q$13:$Q$512,0),0))</f>
        <v>0</v>
      </c>
      <c r="S90" s="0">
        <f>IF(AB90="","",IF(SUMPRODUCT(--('LÉEME'!$B$65:$B$86=AC90))=1,INDEX('LÉEME'!$C$65:$C$86,MATCH(AC90,'LÉEME'!$B$65:$B$86,0)),UPPER(TRIM(AB90))))</f>
      </c>
      <c r="T90" s="0" t="n">
        <f>IF(R90=0,0,IF(OR(AND(LEN(TRIM(B90&amp;""))&gt;0,UPPER(TRIM(B90&amp;""))&lt;&gt;UPPER(TRIM(INDEX($B$13:$B$512,R90)&amp;""))),AND(LEN(TRIM(C90&amp;""))&gt;0,UPPER(TRIM(C90&amp;""))&lt;&gt;UPPER(TRIM(INDEX($C$13:$C$512,R90)&amp;""))),AND(LEN(TRIM(E90&amp;""))&gt;0,S90&lt;&gt;INDEX($S$13:$S$512,R90)),AND(F90&lt;&gt;"",NOT(ISNUMBER(F90)))),1,IF(ISNUMBER(F90),IF(ABS(F90-INDEX($F$13:$F$512,R90))&gt;0.00000001,1,0),0)))</f>
        <v>0</v>
      </c>
      <c r="U90" s="0" t="n">
        <f>IF(P90="DIRECTA",IF(AND(ISNUMBER(G90),COUNTA(H90:J90)=0),1,0),IF(P90="DIMENSIONES",IF(AND(COUNT(G90:J90)&gt;0,COUNTA(G90:J90)=COUNT(G90:J90)),1,0),0))</f>
        <v>0</v>
      </c>
      <c r="V90" s="0" t="n">
        <f>IF(O90=0,0,IF(COUNTIFS($O$13:O90,O90)=1,1,0))</f>
        <v>0</v>
      </c>
      <c r="W90" s="0">
        <f>IF(V90=1,COUNTIFS($V$13:V90,1),"")</f>
      </c>
      <c r="X90" s="0">
        <f>IF(COUNTA(B90:L90)=0,"",IF(OR(NOT(IF(ISNUMBER($E$6),AND($E$6&gt;=0,$E$6&lt;=6,$E$6=INT($E$6)),FALSE)),O90=0,R90=0,T90&gt;0,AND(P90&lt;&gt;"DIMENSIONES",P90&lt;&gt;"DIRECTA",P90&lt;&gt;"SIN LÍNEAS",P90&lt;&gt;"CABECERA"),AND(OR(P90="DIRECTA",P90="DIMENSIONES"),U90=0),AND(OR(P90="SIN LÍNEAS",P90="CABECERA"),COUNTA(G90:J90)&gt;0)),2,IF(OR(P90="SIN LÍNEAS",Y90&gt;0,Z90&gt;0,AA90&gt;0,SUMPRODUCT(--('LÉEME'!$B$65:$B$86=AC90))&lt;&gt;1),1,0)))</f>
      </c>
      <c r="Y90" s="0" t="n">
        <f>IF(AND(P90="DIMENSIONES",S90="m²",COUNT(H90:J90)=3),1,0)</f>
        <v>0</v>
      </c>
      <c r="Z90" s="0" t="n">
        <f>IF(IF(ISNUMBER($E$6),AND($E$6&gt;=0,$E$6&lt;=6,$E$6=INT($E$6)),FALSE),IF(SUM(IF(ISNUMBER(F90),IF(ABS(F90-ROUND(F90,$E$6))&gt;0.00000001,1,0),0),IF(ISNUMBER(G90),IF(ABS(G90-ROUND(G90,$E$6))&gt;0.00000001,1,0),0),IF(ISNUMBER(H90),IF(ABS(H90-ROUND(H90,$E$6))&gt;0.00000001,1,0),0),IF(ISNUMBER(I90),IF(ABS(I90-ROUND(I90,$E$6))&gt;0.00000001,1,0),0),IF(ISNUMBER(J90),IF(ABS(J90-ROUND(J90,$E$6))&gt;0.00000001,1,0),0),IF(ISNUMBER(M90),IF(ABS(M90-ROUND(M90,$E$6))&gt;0.00000001,1,0),0))&gt;0,1,0),0)</f>
        <v>0</v>
      </c>
      <c r="AA90" s="0" t="n">
        <f>IF(COUNTA(B90:L90)=0,0,IF(OR(AND(ISNUMBER(F90),F90&lt;0),AND(U90=1,OR(SUM(IF(ISNUMBER(G90),IF(G90=0,1,0),0),IF(ISNUMBER(H90),IF(H90=0,1,0),0),IF(ISNUMBER(I90),IF(I90=0,1,0),0),IF(ISNUMBER(J90),IF(J90=0,1,0),0))&gt;0,COUNTIFS(G90:J90,"&lt;0")&gt;0)),AND(P90="DIMENSIONES",U90=1,OR(AND(S90="m",COUNT(H90:J90)&lt;&gt;1),AND(S90="m²",COUNT(H90:J90)&lt;&gt;2,Y90=0),AND(S90="m³",COUNT(H90:J90)&lt;&gt;3),AND(S90="ud",COUNT(H90:J90)&gt;0))),AND(P90="DIRECTA",OR(S90="m",S90="m²",S90="m³"))),1,0))</f>
        <v>0</v>
      </c>
      <c r="AB90" s="0">
        <f>IF(LEN(TRIM(E90&amp;""))&gt;0,E90,IF(R90&gt;0,INDEX($E$13:$E$512,R90),""))</f>
      </c>
      <c r="AC90" s="0">
        <f>UPPER(SUBSTITUTE(SUBSTITUTE(SUBSTITUTE(SUBSTITUTE(SUBSTITUTE(TRIM(AB90),"²","2"),"³","3"),"^",""),".","")," ",""))</f>
      </c>
    </row>
    <row r="91" ht="35" customHeight="1">
      <c r="B91" s="35"/>
      <c r="C91" s="35"/>
      <c r="D91" s="37"/>
      <c r="E91" s="35"/>
      <c r="F91" s="38"/>
      <c r="G91" s="38"/>
      <c r="H91" s="38"/>
      <c r="I91" s="38"/>
      <c r="J91" s="38"/>
      <c r="K91" s="35"/>
      <c r="L91" s="35"/>
      <c r="M91" s="39">
        <f>IF(U91&lt;&gt;1,"",IF(P91="DIRECTA",G91,IF(ISNUMBER(G91),G91,1)*IF(ISNUMBER(H91),H91,1)*IF(ISNUMBER(I91),I91,1)*IF(ISNUMBER(J91),J91,1)))</f>
      </c>
      <c r="N91" s="30">
        <f>IF(COUNTA(B91:L91)=0,"",IF(X91=0,IF(P91="CABECERA","VERDE · Fila descriptiva; la suma usa las líneas del ID","VERDE · Datos numéricos interpretables"),IF(X91=2,"ROJO · ","ÁMBAR · ")&amp;IF(NOT(IF(ISNUMBER($E$6),AND($E$6&gt;=0,$E$6&lt;=6,$E$6=INT($E$6)),FALSE)),"Indicamos entre 0 y 6 decimales en E6. ","")&amp;IF(O91=0,"Falta un ID numérico. ","")&amp;IF(R91=0,"Faltan capítulo, código, unidad o total numérico del ID. ","")&amp;IF(T91&gt;0,"Los datos o el total del ID se contradicen. ","")&amp;IF(AND(P91&lt;&gt;"DIMENSIONES",P91&lt;&gt;"DIRECTA",P91&lt;&gt;"SIN LÍNEAS",P91&lt;&gt;"CABECERA"),"Tipo de fila no reconocido. ","")&amp;IF(AND(OR(P91="SIN LÍNEAS",P91="CABECERA"),COUNTA(G91:J91)&gt;0),"La fila dice que no mide, pero contiene medidas. ","")&amp;IF(AND(OR(P91="DIRECTA",P91="DIMENSIONES"),U91=0),"Línea incompleta o con medidas no numéricas. ","")&amp;IF(P91="SIN LÍNEAS","No constan medidas de esta fila. ","")&amp;IF(Y91&gt;0,"Parece m³: tres dimensiones bajo m². ","")&amp;IF(AND(AB91&lt;&gt;"",SUMPRODUCT(--('LÉEME'!$B$65:$B$86=AC91))&lt;&gt;1),"Revisamos el significado de la unidad. ","")&amp;IF(Z91&gt;0,"Más precisión que los decimales indicados: cotejamos el original. ","")&amp;IF(AA91&gt;0,"Revisamos dimensiones, cantidad directa, ceros o deducción. ","")))</f>
      </c>
      <c r="O91" s="0" t="n">
        <f>IF(ISNUMBER(K91),IF(AND(K91&gt;0,K91=INT(K91),K91&lt;=999999),K91,0),0)</f>
        <v>0</v>
      </c>
      <c r="P91" s="0">
        <f>IF(COUNTA(B91:L91)=0,"",IF(L91="",IF(COUNTA(G91:J91)&gt;0,"DIMENSIONES","SIN LÍNEAS"),UPPER(TRIM(L91))))</f>
      </c>
      <c r="Q91" s="0">
        <f>IF(AND(O91&gt;0,LEN(TRIM(B91&amp;""))&gt;0,LEN(TRIM(C91&amp;""))&gt;0,LEN(TRIM(E91&amp;""))&gt;0,ISNUMBER(F91)),O91,"")</f>
      </c>
      <c r="R91" s="0" t="n">
        <f>IF(O91=0,0,IF(COUNTIFS($Q$13:$Q$512,O91)&gt;0,MATCH(O91,$Q$13:$Q$512,0),0))</f>
        <v>0</v>
      </c>
      <c r="S91" s="0">
        <f>IF(AB91="","",IF(SUMPRODUCT(--('LÉEME'!$B$65:$B$86=AC91))=1,INDEX('LÉEME'!$C$65:$C$86,MATCH(AC91,'LÉEME'!$B$65:$B$86,0)),UPPER(TRIM(AB91))))</f>
      </c>
      <c r="T91" s="0" t="n">
        <f>IF(R91=0,0,IF(OR(AND(LEN(TRIM(B91&amp;""))&gt;0,UPPER(TRIM(B91&amp;""))&lt;&gt;UPPER(TRIM(INDEX($B$13:$B$512,R91)&amp;""))),AND(LEN(TRIM(C91&amp;""))&gt;0,UPPER(TRIM(C91&amp;""))&lt;&gt;UPPER(TRIM(INDEX($C$13:$C$512,R91)&amp;""))),AND(LEN(TRIM(E91&amp;""))&gt;0,S91&lt;&gt;INDEX($S$13:$S$512,R91)),AND(F91&lt;&gt;"",NOT(ISNUMBER(F91)))),1,IF(ISNUMBER(F91),IF(ABS(F91-INDEX($F$13:$F$512,R91))&gt;0.00000001,1,0),0)))</f>
        <v>0</v>
      </c>
      <c r="U91" s="0" t="n">
        <f>IF(P91="DIRECTA",IF(AND(ISNUMBER(G91),COUNTA(H91:J91)=0),1,0),IF(P91="DIMENSIONES",IF(AND(COUNT(G91:J91)&gt;0,COUNTA(G91:J91)=COUNT(G91:J91)),1,0),0))</f>
        <v>0</v>
      </c>
      <c r="V91" s="0" t="n">
        <f>IF(O91=0,0,IF(COUNTIFS($O$13:O91,O91)=1,1,0))</f>
        <v>0</v>
      </c>
      <c r="W91" s="0">
        <f>IF(V91=1,COUNTIFS($V$13:V91,1),"")</f>
      </c>
      <c r="X91" s="0">
        <f>IF(COUNTA(B91:L91)=0,"",IF(OR(NOT(IF(ISNUMBER($E$6),AND($E$6&gt;=0,$E$6&lt;=6,$E$6=INT($E$6)),FALSE)),O91=0,R91=0,T91&gt;0,AND(P91&lt;&gt;"DIMENSIONES",P91&lt;&gt;"DIRECTA",P91&lt;&gt;"SIN LÍNEAS",P91&lt;&gt;"CABECERA"),AND(OR(P91="DIRECTA",P91="DIMENSIONES"),U91=0),AND(OR(P91="SIN LÍNEAS",P91="CABECERA"),COUNTA(G91:J91)&gt;0)),2,IF(OR(P91="SIN LÍNEAS",Y91&gt;0,Z91&gt;0,AA91&gt;0,SUMPRODUCT(--('LÉEME'!$B$65:$B$86=AC91))&lt;&gt;1),1,0)))</f>
      </c>
      <c r="Y91" s="0" t="n">
        <f>IF(AND(P91="DIMENSIONES",S91="m²",COUNT(H91:J91)=3),1,0)</f>
        <v>0</v>
      </c>
      <c r="Z91" s="0" t="n">
        <f>IF(IF(ISNUMBER($E$6),AND($E$6&gt;=0,$E$6&lt;=6,$E$6=INT($E$6)),FALSE),IF(SUM(IF(ISNUMBER(F91),IF(ABS(F91-ROUND(F91,$E$6))&gt;0.00000001,1,0),0),IF(ISNUMBER(G91),IF(ABS(G91-ROUND(G91,$E$6))&gt;0.00000001,1,0),0),IF(ISNUMBER(H91),IF(ABS(H91-ROUND(H91,$E$6))&gt;0.00000001,1,0),0),IF(ISNUMBER(I91),IF(ABS(I91-ROUND(I91,$E$6))&gt;0.00000001,1,0),0),IF(ISNUMBER(J91),IF(ABS(J91-ROUND(J91,$E$6))&gt;0.00000001,1,0),0),IF(ISNUMBER(M91),IF(ABS(M91-ROUND(M91,$E$6))&gt;0.00000001,1,0),0))&gt;0,1,0),0)</f>
        <v>0</v>
      </c>
      <c r="AA91" s="0" t="n">
        <f>IF(COUNTA(B91:L91)=0,0,IF(OR(AND(ISNUMBER(F91),F91&lt;0),AND(U91=1,OR(SUM(IF(ISNUMBER(G91),IF(G91=0,1,0),0),IF(ISNUMBER(H91),IF(H91=0,1,0),0),IF(ISNUMBER(I91),IF(I91=0,1,0),0),IF(ISNUMBER(J91),IF(J91=0,1,0),0))&gt;0,COUNTIFS(G91:J91,"&lt;0")&gt;0)),AND(P91="DIMENSIONES",U91=1,OR(AND(S91="m",COUNT(H91:J91)&lt;&gt;1),AND(S91="m²",COUNT(H91:J91)&lt;&gt;2,Y91=0),AND(S91="m³",COUNT(H91:J91)&lt;&gt;3),AND(S91="ud",COUNT(H91:J91)&gt;0))),AND(P91="DIRECTA",OR(S91="m",S91="m²",S91="m³"))),1,0))</f>
        <v>0</v>
      </c>
      <c r="AB91" s="0">
        <f>IF(LEN(TRIM(E91&amp;""))&gt;0,E91,IF(R91&gt;0,INDEX($E$13:$E$512,R91),""))</f>
      </c>
      <c r="AC91" s="0">
        <f>UPPER(SUBSTITUTE(SUBSTITUTE(SUBSTITUTE(SUBSTITUTE(SUBSTITUTE(TRIM(AB91),"²","2"),"³","3"),"^",""),".","")," ",""))</f>
      </c>
    </row>
    <row r="92" ht="35" customHeight="1">
      <c r="B92" s="35"/>
      <c r="C92" s="35"/>
      <c r="D92" s="37"/>
      <c r="E92" s="35"/>
      <c r="F92" s="38"/>
      <c r="G92" s="38"/>
      <c r="H92" s="38"/>
      <c r="I92" s="38"/>
      <c r="J92" s="38"/>
      <c r="K92" s="35"/>
      <c r="L92" s="35"/>
      <c r="M92" s="39">
        <f>IF(U92&lt;&gt;1,"",IF(P92="DIRECTA",G92,IF(ISNUMBER(G92),G92,1)*IF(ISNUMBER(H92),H92,1)*IF(ISNUMBER(I92),I92,1)*IF(ISNUMBER(J92),J92,1)))</f>
      </c>
      <c r="N92" s="30">
        <f>IF(COUNTA(B92:L92)=0,"",IF(X92=0,IF(P92="CABECERA","VERDE · Fila descriptiva; la suma usa las líneas del ID","VERDE · Datos numéricos interpretables"),IF(X92=2,"ROJO · ","ÁMBAR · ")&amp;IF(NOT(IF(ISNUMBER($E$6),AND($E$6&gt;=0,$E$6&lt;=6,$E$6=INT($E$6)),FALSE)),"Indicamos entre 0 y 6 decimales en E6. ","")&amp;IF(O92=0,"Falta un ID numérico. ","")&amp;IF(R92=0,"Faltan capítulo, código, unidad o total numérico del ID. ","")&amp;IF(T92&gt;0,"Los datos o el total del ID se contradicen. ","")&amp;IF(AND(P92&lt;&gt;"DIMENSIONES",P92&lt;&gt;"DIRECTA",P92&lt;&gt;"SIN LÍNEAS",P92&lt;&gt;"CABECERA"),"Tipo de fila no reconocido. ","")&amp;IF(AND(OR(P92="SIN LÍNEAS",P92="CABECERA"),COUNTA(G92:J92)&gt;0),"La fila dice que no mide, pero contiene medidas. ","")&amp;IF(AND(OR(P92="DIRECTA",P92="DIMENSIONES"),U92=0),"Línea incompleta o con medidas no numéricas. ","")&amp;IF(P92="SIN LÍNEAS","No constan medidas de esta fila. ","")&amp;IF(Y92&gt;0,"Parece m³: tres dimensiones bajo m². ","")&amp;IF(AND(AB92&lt;&gt;"",SUMPRODUCT(--('LÉEME'!$B$65:$B$86=AC92))&lt;&gt;1),"Revisamos el significado de la unidad. ","")&amp;IF(Z92&gt;0,"Más precisión que los decimales indicados: cotejamos el original. ","")&amp;IF(AA92&gt;0,"Revisamos dimensiones, cantidad directa, ceros o deducción. ","")))</f>
      </c>
      <c r="O92" s="0" t="n">
        <f>IF(ISNUMBER(K92),IF(AND(K92&gt;0,K92=INT(K92),K92&lt;=999999),K92,0),0)</f>
        <v>0</v>
      </c>
      <c r="P92" s="0">
        <f>IF(COUNTA(B92:L92)=0,"",IF(L92="",IF(COUNTA(G92:J92)&gt;0,"DIMENSIONES","SIN LÍNEAS"),UPPER(TRIM(L92))))</f>
      </c>
      <c r="Q92" s="0">
        <f>IF(AND(O92&gt;0,LEN(TRIM(B92&amp;""))&gt;0,LEN(TRIM(C92&amp;""))&gt;0,LEN(TRIM(E92&amp;""))&gt;0,ISNUMBER(F92)),O92,"")</f>
      </c>
      <c r="R92" s="0" t="n">
        <f>IF(O92=0,0,IF(COUNTIFS($Q$13:$Q$512,O92)&gt;0,MATCH(O92,$Q$13:$Q$512,0),0))</f>
        <v>0</v>
      </c>
      <c r="S92" s="0">
        <f>IF(AB92="","",IF(SUMPRODUCT(--('LÉEME'!$B$65:$B$86=AC92))=1,INDEX('LÉEME'!$C$65:$C$86,MATCH(AC92,'LÉEME'!$B$65:$B$86,0)),UPPER(TRIM(AB92))))</f>
      </c>
      <c r="T92" s="0" t="n">
        <f>IF(R92=0,0,IF(OR(AND(LEN(TRIM(B92&amp;""))&gt;0,UPPER(TRIM(B92&amp;""))&lt;&gt;UPPER(TRIM(INDEX($B$13:$B$512,R92)&amp;""))),AND(LEN(TRIM(C92&amp;""))&gt;0,UPPER(TRIM(C92&amp;""))&lt;&gt;UPPER(TRIM(INDEX($C$13:$C$512,R92)&amp;""))),AND(LEN(TRIM(E92&amp;""))&gt;0,S92&lt;&gt;INDEX($S$13:$S$512,R92)),AND(F92&lt;&gt;"",NOT(ISNUMBER(F92)))),1,IF(ISNUMBER(F92),IF(ABS(F92-INDEX($F$13:$F$512,R92))&gt;0.00000001,1,0),0)))</f>
        <v>0</v>
      </c>
      <c r="U92" s="0" t="n">
        <f>IF(P92="DIRECTA",IF(AND(ISNUMBER(G92),COUNTA(H92:J92)=0),1,0),IF(P92="DIMENSIONES",IF(AND(COUNT(G92:J92)&gt;0,COUNTA(G92:J92)=COUNT(G92:J92)),1,0),0))</f>
        <v>0</v>
      </c>
      <c r="V92" s="0" t="n">
        <f>IF(O92=0,0,IF(COUNTIFS($O$13:O92,O92)=1,1,0))</f>
        <v>0</v>
      </c>
      <c r="W92" s="0">
        <f>IF(V92=1,COUNTIFS($V$13:V92,1),"")</f>
      </c>
      <c r="X92" s="0">
        <f>IF(COUNTA(B92:L92)=0,"",IF(OR(NOT(IF(ISNUMBER($E$6),AND($E$6&gt;=0,$E$6&lt;=6,$E$6=INT($E$6)),FALSE)),O92=0,R92=0,T92&gt;0,AND(P92&lt;&gt;"DIMENSIONES",P92&lt;&gt;"DIRECTA",P92&lt;&gt;"SIN LÍNEAS",P92&lt;&gt;"CABECERA"),AND(OR(P92="DIRECTA",P92="DIMENSIONES"),U92=0),AND(OR(P92="SIN LÍNEAS",P92="CABECERA"),COUNTA(G92:J92)&gt;0)),2,IF(OR(P92="SIN LÍNEAS",Y92&gt;0,Z92&gt;0,AA92&gt;0,SUMPRODUCT(--('LÉEME'!$B$65:$B$86=AC92))&lt;&gt;1),1,0)))</f>
      </c>
      <c r="Y92" s="0" t="n">
        <f>IF(AND(P92="DIMENSIONES",S92="m²",COUNT(H92:J92)=3),1,0)</f>
        <v>0</v>
      </c>
      <c r="Z92" s="0" t="n">
        <f>IF(IF(ISNUMBER($E$6),AND($E$6&gt;=0,$E$6&lt;=6,$E$6=INT($E$6)),FALSE),IF(SUM(IF(ISNUMBER(F92),IF(ABS(F92-ROUND(F92,$E$6))&gt;0.00000001,1,0),0),IF(ISNUMBER(G92),IF(ABS(G92-ROUND(G92,$E$6))&gt;0.00000001,1,0),0),IF(ISNUMBER(H92),IF(ABS(H92-ROUND(H92,$E$6))&gt;0.00000001,1,0),0),IF(ISNUMBER(I92),IF(ABS(I92-ROUND(I92,$E$6))&gt;0.00000001,1,0),0),IF(ISNUMBER(J92),IF(ABS(J92-ROUND(J92,$E$6))&gt;0.00000001,1,0),0),IF(ISNUMBER(M92),IF(ABS(M92-ROUND(M92,$E$6))&gt;0.00000001,1,0),0))&gt;0,1,0),0)</f>
        <v>0</v>
      </c>
      <c r="AA92" s="0" t="n">
        <f>IF(COUNTA(B92:L92)=0,0,IF(OR(AND(ISNUMBER(F92),F92&lt;0),AND(U92=1,OR(SUM(IF(ISNUMBER(G92),IF(G92=0,1,0),0),IF(ISNUMBER(H92),IF(H92=0,1,0),0),IF(ISNUMBER(I92),IF(I92=0,1,0),0),IF(ISNUMBER(J92),IF(J92=0,1,0),0))&gt;0,COUNTIFS(G92:J92,"&lt;0")&gt;0)),AND(P92="DIMENSIONES",U92=1,OR(AND(S92="m",COUNT(H92:J92)&lt;&gt;1),AND(S92="m²",COUNT(H92:J92)&lt;&gt;2,Y92=0),AND(S92="m³",COUNT(H92:J92)&lt;&gt;3),AND(S92="ud",COUNT(H92:J92)&gt;0))),AND(P92="DIRECTA",OR(S92="m",S92="m²",S92="m³"))),1,0))</f>
        <v>0</v>
      </c>
      <c r="AB92" s="0">
        <f>IF(LEN(TRIM(E92&amp;""))&gt;0,E92,IF(R92&gt;0,INDEX($E$13:$E$512,R92),""))</f>
      </c>
      <c r="AC92" s="0">
        <f>UPPER(SUBSTITUTE(SUBSTITUTE(SUBSTITUTE(SUBSTITUTE(SUBSTITUTE(TRIM(AB92),"²","2"),"³","3"),"^",""),".","")," ",""))</f>
      </c>
    </row>
    <row r="93" ht="35" customHeight="1">
      <c r="B93" s="35"/>
      <c r="C93" s="35"/>
      <c r="D93" s="37"/>
      <c r="E93" s="35"/>
      <c r="F93" s="38"/>
      <c r="G93" s="38"/>
      <c r="H93" s="38"/>
      <c r="I93" s="38"/>
      <c r="J93" s="38"/>
      <c r="K93" s="35"/>
      <c r="L93" s="35"/>
      <c r="M93" s="39">
        <f>IF(U93&lt;&gt;1,"",IF(P93="DIRECTA",G93,IF(ISNUMBER(G93),G93,1)*IF(ISNUMBER(H93),H93,1)*IF(ISNUMBER(I93),I93,1)*IF(ISNUMBER(J93),J93,1)))</f>
      </c>
      <c r="N93" s="30">
        <f>IF(COUNTA(B93:L93)=0,"",IF(X93=0,IF(P93="CABECERA","VERDE · Fila descriptiva; la suma usa las líneas del ID","VERDE · Datos numéricos interpretables"),IF(X93=2,"ROJO · ","ÁMBAR · ")&amp;IF(NOT(IF(ISNUMBER($E$6),AND($E$6&gt;=0,$E$6&lt;=6,$E$6=INT($E$6)),FALSE)),"Indicamos entre 0 y 6 decimales en E6. ","")&amp;IF(O93=0,"Falta un ID numérico. ","")&amp;IF(R93=0,"Faltan capítulo, código, unidad o total numérico del ID. ","")&amp;IF(T93&gt;0,"Los datos o el total del ID se contradicen. ","")&amp;IF(AND(P93&lt;&gt;"DIMENSIONES",P93&lt;&gt;"DIRECTA",P93&lt;&gt;"SIN LÍNEAS",P93&lt;&gt;"CABECERA"),"Tipo de fila no reconocido. ","")&amp;IF(AND(OR(P93="SIN LÍNEAS",P93="CABECERA"),COUNTA(G93:J93)&gt;0),"La fila dice que no mide, pero contiene medidas. ","")&amp;IF(AND(OR(P93="DIRECTA",P93="DIMENSIONES"),U93=0),"Línea incompleta o con medidas no numéricas. ","")&amp;IF(P93="SIN LÍNEAS","No constan medidas de esta fila. ","")&amp;IF(Y93&gt;0,"Parece m³: tres dimensiones bajo m². ","")&amp;IF(AND(AB93&lt;&gt;"",SUMPRODUCT(--('LÉEME'!$B$65:$B$86=AC93))&lt;&gt;1),"Revisamos el significado de la unidad. ","")&amp;IF(Z93&gt;0,"Más precisión que los decimales indicados: cotejamos el original. ","")&amp;IF(AA93&gt;0,"Revisamos dimensiones, cantidad directa, ceros o deducción. ","")))</f>
      </c>
      <c r="O93" s="0" t="n">
        <f>IF(ISNUMBER(K93),IF(AND(K93&gt;0,K93=INT(K93),K93&lt;=999999),K93,0),0)</f>
        <v>0</v>
      </c>
      <c r="P93" s="0">
        <f>IF(COUNTA(B93:L93)=0,"",IF(L93="",IF(COUNTA(G93:J93)&gt;0,"DIMENSIONES","SIN LÍNEAS"),UPPER(TRIM(L93))))</f>
      </c>
      <c r="Q93" s="0">
        <f>IF(AND(O93&gt;0,LEN(TRIM(B93&amp;""))&gt;0,LEN(TRIM(C93&amp;""))&gt;0,LEN(TRIM(E93&amp;""))&gt;0,ISNUMBER(F93)),O93,"")</f>
      </c>
      <c r="R93" s="0" t="n">
        <f>IF(O93=0,0,IF(COUNTIFS($Q$13:$Q$512,O93)&gt;0,MATCH(O93,$Q$13:$Q$512,0),0))</f>
        <v>0</v>
      </c>
      <c r="S93" s="0">
        <f>IF(AB93="","",IF(SUMPRODUCT(--('LÉEME'!$B$65:$B$86=AC93))=1,INDEX('LÉEME'!$C$65:$C$86,MATCH(AC93,'LÉEME'!$B$65:$B$86,0)),UPPER(TRIM(AB93))))</f>
      </c>
      <c r="T93" s="0" t="n">
        <f>IF(R93=0,0,IF(OR(AND(LEN(TRIM(B93&amp;""))&gt;0,UPPER(TRIM(B93&amp;""))&lt;&gt;UPPER(TRIM(INDEX($B$13:$B$512,R93)&amp;""))),AND(LEN(TRIM(C93&amp;""))&gt;0,UPPER(TRIM(C93&amp;""))&lt;&gt;UPPER(TRIM(INDEX($C$13:$C$512,R93)&amp;""))),AND(LEN(TRIM(E93&amp;""))&gt;0,S93&lt;&gt;INDEX($S$13:$S$512,R93)),AND(F93&lt;&gt;"",NOT(ISNUMBER(F93)))),1,IF(ISNUMBER(F93),IF(ABS(F93-INDEX($F$13:$F$512,R93))&gt;0.00000001,1,0),0)))</f>
        <v>0</v>
      </c>
      <c r="U93" s="0" t="n">
        <f>IF(P93="DIRECTA",IF(AND(ISNUMBER(G93),COUNTA(H93:J93)=0),1,0),IF(P93="DIMENSIONES",IF(AND(COUNT(G93:J93)&gt;0,COUNTA(G93:J93)=COUNT(G93:J93)),1,0),0))</f>
        <v>0</v>
      </c>
      <c r="V93" s="0" t="n">
        <f>IF(O93=0,0,IF(COUNTIFS($O$13:O93,O93)=1,1,0))</f>
        <v>0</v>
      </c>
      <c r="W93" s="0">
        <f>IF(V93=1,COUNTIFS($V$13:V93,1),"")</f>
      </c>
      <c r="X93" s="0">
        <f>IF(COUNTA(B93:L93)=0,"",IF(OR(NOT(IF(ISNUMBER($E$6),AND($E$6&gt;=0,$E$6&lt;=6,$E$6=INT($E$6)),FALSE)),O93=0,R93=0,T93&gt;0,AND(P93&lt;&gt;"DIMENSIONES",P93&lt;&gt;"DIRECTA",P93&lt;&gt;"SIN LÍNEAS",P93&lt;&gt;"CABECERA"),AND(OR(P93="DIRECTA",P93="DIMENSIONES"),U93=0),AND(OR(P93="SIN LÍNEAS",P93="CABECERA"),COUNTA(G93:J93)&gt;0)),2,IF(OR(P93="SIN LÍNEAS",Y93&gt;0,Z93&gt;0,AA93&gt;0,SUMPRODUCT(--('LÉEME'!$B$65:$B$86=AC93))&lt;&gt;1),1,0)))</f>
      </c>
      <c r="Y93" s="0" t="n">
        <f>IF(AND(P93="DIMENSIONES",S93="m²",COUNT(H93:J93)=3),1,0)</f>
        <v>0</v>
      </c>
      <c r="Z93" s="0" t="n">
        <f>IF(IF(ISNUMBER($E$6),AND($E$6&gt;=0,$E$6&lt;=6,$E$6=INT($E$6)),FALSE),IF(SUM(IF(ISNUMBER(F93),IF(ABS(F93-ROUND(F93,$E$6))&gt;0.00000001,1,0),0),IF(ISNUMBER(G93),IF(ABS(G93-ROUND(G93,$E$6))&gt;0.00000001,1,0),0),IF(ISNUMBER(H93),IF(ABS(H93-ROUND(H93,$E$6))&gt;0.00000001,1,0),0),IF(ISNUMBER(I93),IF(ABS(I93-ROUND(I93,$E$6))&gt;0.00000001,1,0),0),IF(ISNUMBER(J93),IF(ABS(J93-ROUND(J93,$E$6))&gt;0.00000001,1,0),0),IF(ISNUMBER(M93),IF(ABS(M93-ROUND(M93,$E$6))&gt;0.00000001,1,0),0))&gt;0,1,0),0)</f>
        <v>0</v>
      </c>
      <c r="AA93" s="0" t="n">
        <f>IF(COUNTA(B93:L93)=0,0,IF(OR(AND(ISNUMBER(F93),F93&lt;0),AND(U93=1,OR(SUM(IF(ISNUMBER(G93),IF(G93=0,1,0),0),IF(ISNUMBER(H93),IF(H93=0,1,0),0),IF(ISNUMBER(I93),IF(I93=0,1,0),0),IF(ISNUMBER(J93),IF(J93=0,1,0),0))&gt;0,COUNTIFS(G93:J93,"&lt;0")&gt;0)),AND(P93="DIMENSIONES",U93=1,OR(AND(S93="m",COUNT(H93:J93)&lt;&gt;1),AND(S93="m²",COUNT(H93:J93)&lt;&gt;2,Y93=0),AND(S93="m³",COUNT(H93:J93)&lt;&gt;3),AND(S93="ud",COUNT(H93:J93)&gt;0))),AND(P93="DIRECTA",OR(S93="m",S93="m²",S93="m³"))),1,0))</f>
        <v>0</v>
      </c>
      <c r="AB93" s="0">
        <f>IF(LEN(TRIM(E93&amp;""))&gt;0,E93,IF(R93&gt;0,INDEX($E$13:$E$512,R93),""))</f>
      </c>
      <c r="AC93" s="0">
        <f>UPPER(SUBSTITUTE(SUBSTITUTE(SUBSTITUTE(SUBSTITUTE(SUBSTITUTE(TRIM(AB93),"²","2"),"³","3"),"^",""),".","")," ",""))</f>
      </c>
    </row>
    <row r="94" ht="35" customHeight="1">
      <c r="B94" s="35"/>
      <c r="C94" s="35"/>
      <c r="D94" s="37"/>
      <c r="E94" s="35"/>
      <c r="F94" s="38"/>
      <c r="G94" s="38"/>
      <c r="H94" s="38"/>
      <c r="I94" s="38"/>
      <c r="J94" s="38"/>
      <c r="K94" s="35"/>
      <c r="L94" s="35"/>
      <c r="M94" s="39">
        <f>IF(U94&lt;&gt;1,"",IF(P94="DIRECTA",G94,IF(ISNUMBER(G94),G94,1)*IF(ISNUMBER(H94),H94,1)*IF(ISNUMBER(I94),I94,1)*IF(ISNUMBER(J94),J94,1)))</f>
      </c>
      <c r="N94" s="30">
        <f>IF(COUNTA(B94:L94)=0,"",IF(X94=0,IF(P94="CABECERA","VERDE · Fila descriptiva; la suma usa las líneas del ID","VERDE · Datos numéricos interpretables"),IF(X94=2,"ROJO · ","ÁMBAR · ")&amp;IF(NOT(IF(ISNUMBER($E$6),AND($E$6&gt;=0,$E$6&lt;=6,$E$6=INT($E$6)),FALSE)),"Indicamos entre 0 y 6 decimales en E6. ","")&amp;IF(O94=0,"Falta un ID numérico. ","")&amp;IF(R94=0,"Faltan capítulo, código, unidad o total numérico del ID. ","")&amp;IF(T94&gt;0,"Los datos o el total del ID se contradicen. ","")&amp;IF(AND(P94&lt;&gt;"DIMENSIONES",P94&lt;&gt;"DIRECTA",P94&lt;&gt;"SIN LÍNEAS",P94&lt;&gt;"CABECERA"),"Tipo de fila no reconocido. ","")&amp;IF(AND(OR(P94="SIN LÍNEAS",P94="CABECERA"),COUNTA(G94:J94)&gt;0),"La fila dice que no mide, pero contiene medidas. ","")&amp;IF(AND(OR(P94="DIRECTA",P94="DIMENSIONES"),U94=0),"Línea incompleta o con medidas no numéricas. ","")&amp;IF(P94="SIN LÍNEAS","No constan medidas de esta fila. ","")&amp;IF(Y94&gt;0,"Parece m³: tres dimensiones bajo m². ","")&amp;IF(AND(AB94&lt;&gt;"",SUMPRODUCT(--('LÉEME'!$B$65:$B$86=AC94))&lt;&gt;1),"Revisamos el significado de la unidad. ","")&amp;IF(Z94&gt;0,"Más precisión que los decimales indicados: cotejamos el original. ","")&amp;IF(AA94&gt;0,"Revisamos dimensiones, cantidad directa, ceros o deducción. ","")))</f>
      </c>
      <c r="O94" s="0" t="n">
        <f>IF(ISNUMBER(K94),IF(AND(K94&gt;0,K94=INT(K94),K94&lt;=999999),K94,0),0)</f>
        <v>0</v>
      </c>
      <c r="P94" s="0">
        <f>IF(COUNTA(B94:L94)=0,"",IF(L94="",IF(COUNTA(G94:J94)&gt;0,"DIMENSIONES","SIN LÍNEAS"),UPPER(TRIM(L94))))</f>
      </c>
      <c r="Q94" s="0">
        <f>IF(AND(O94&gt;0,LEN(TRIM(B94&amp;""))&gt;0,LEN(TRIM(C94&amp;""))&gt;0,LEN(TRIM(E94&amp;""))&gt;0,ISNUMBER(F94)),O94,"")</f>
      </c>
      <c r="R94" s="0" t="n">
        <f>IF(O94=0,0,IF(COUNTIFS($Q$13:$Q$512,O94)&gt;0,MATCH(O94,$Q$13:$Q$512,0),0))</f>
        <v>0</v>
      </c>
      <c r="S94" s="0">
        <f>IF(AB94="","",IF(SUMPRODUCT(--('LÉEME'!$B$65:$B$86=AC94))=1,INDEX('LÉEME'!$C$65:$C$86,MATCH(AC94,'LÉEME'!$B$65:$B$86,0)),UPPER(TRIM(AB94))))</f>
      </c>
      <c r="T94" s="0" t="n">
        <f>IF(R94=0,0,IF(OR(AND(LEN(TRIM(B94&amp;""))&gt;0,UPPER(TRIM(B94&amp;""))&lt;&gt;UPPER(TRIM(INDEX($B$13:$B$512,R94)&amp;""))),AND(LEN(TRIM(C94&amp;""))&gt;0,UPPER(TRIM(C94&amp;""))&lt;&gt;UPPER(TRIM(INDEX($C$13:$C$512,R94)&amp;""))),AND(LEN(TRIM(E94&amp;""))&gt;0,S94&lt;&gt;INDEX($S$13:$S$512,R94)),AND(F94&lt;&gt;"",NOT(ISNUMBER(F94)))),1,IF(ISNUMBER(F94),IF(ABS(F94-INDEX($F$13:$F$512,R94))&gt;0.00000001,1,0),0)))</f>
        <v>0</v>
      </c>
      <c r="U94" s="0" t="n">
        <f>IF(P94="DIRECTA",IF(AND(ISNUMBER(G94),COUNTA(H94:J94)=0),1,0),IF(P94="DIMENSIONES",IF(AND(COUNT(G94:J94)&gt;0,COUNTA(G94:J94)=COUNT(G94:J94)),1,0),0))</f>
        <v>0</v>
      </c>
      <c r="V94" s="0" t="n">
        <f>IF(O94=0,0,IF(COUNTIFS($O$13:O94,O94)=1,1,0))</f>
        <v>0</v>
      </c>
      <c r="W94" s="0">
        <f>IF(V94=1,COUNTIFS($V$13:V94,1),"")</f>
      </c>
      <c r="X94" s="0">
        <f>IF(COUNTA(B94:L94)=0,"",IF(OR(NOT(IF(ISNUMBER($E$6),AND($E$6&gt;=0,$E$6&lt;=6,$E$6=INT($E$6)),FALSE)),O94=0,R94=0,T94&gt;0,AND(P94&lt;&gt;"DIMENSIONES",P94&lt;&gt;"DIRECTA",P94&lt;&gt;"SIN LÍNEAS",P94&lt;&gt;"CABECERA"),AND(OR(P94="DIRECTA",P94="DIMENSIONES"),U94=0),AND(OR(P94="SIN LÍNEAS",P94="CABECERA"),COUNTA(G94:J94)&gt;0)),2,IF(OR(P94="SIN LÍNEAS",Y94&gt;0,Z94&gt;0,AA94&gt;0,SUMPRODUCT(--('LÉEME'!$B$65:$B$86=AC94))&lt;&gt;1),1,0)))</f>
      </c>
      <c r="Y94" s="0" t="n">
        <f>IF(AND(P94="DIMENSIONES",S94="m²",COUNT(H94:J94)=3),1,0)</f>
        <v>0</v>
      </c>
      <c r="Z94" s="0" t="n">
        <f>IF(IF(ISNUMBER($E$6),AND($E$6&gt;=0,$E$6&lt;=6,$E$6=INT($E$6)),FALSE),IF(SUM(IF(ISNUMBER(F94),IF(ABS(F94-ROUND(F94,$E$6))&gt;0.00000001,1,0),0),IF(ISNUMBER(G94),IF(ABS(G94-ROUND(G94,$E$6))&gt;0.00000001,1,0),0),IF(ISNUMBER(H94),IF(ABS(H94-ROUND(H94,$E$6))&gt;0.00000001,1,0),0),IF(ISNUMBER(I94),IF(ABS(I94-ROUND(I94,$E$6))&gt;0.00000001,1,0),0),IF(ISNUMBER(J94),IF(ABS(J94-ROUND(J94,$E$6))&gt;0.00000001,1,0),0),IF(ISNUMBER(M94),IF(ABS(M94-ROUND(M94,$E$6))&gt;0.00000001,1,0),0))&gt;0,1,0),0)</f>
        <v>0</v>
      </c>
      <c r="AA94" s="0" t="n">
        <f>IF(COUNTA(B94:L94)=0,0,IF(OR(AND(ISNUMBER(F94),F94&lt;0),AND(U94=1,OR(SUM(IF(ISNUMBER(G94),IF(G94=0,1,0),0),IF(ISNUMBER(H94),IF(H94=0,1,0),0),IF(ISNUMBER(I94),IF(I94=0,1,0),0),IF(ISNUMBER(J94),IF(J94=0,1,0),0))&gt;0,COUNTIFS(G94:J94,"&lt;0")&gt;0)),AND(P94="DIMENSIONES",U94=1,OR(AND(S94="m",COUNT(H94:J94)&lt;&gt;1),AND(S94="m²",COUNT(H94:J94)&lt;&gt;2,Y94=0),AND(S94="m³",COUNT(H94:J94)&lt;&gt;3),AND(S94="ud",COUNT(H94:J94)&gt;0))),AND(P94="DIRECTA",OR(S94="m",S94="m²",S94="m³"))),1,0))</f>
        <v>0</v>
      </c>
      <c r="AB94" s="0">
        <f>IF(LEN(TRIM(E94&amp;""))&gt;0,E94,IF(R94&gt;0,INDEX($E$13:$E$512,R94),""))</f>
      </c>
      <c r="AC94" s="0">
        <f>UPPER(SUBSTITUTE(SUBSTITUTE(SUBSTITUTE(SUBSTITUTE(SUBSTITUTE(TRIM(AB94),"²","2"),"³","3"),"^",""),".","")," ",""))</f>
      </c>
    </row>
    <row r="95" ht="35" customHeight="1">
      <c r="B95" s="35"/>
      <c r="C95" s="35"/>
      <c r="D95" s="37"/>
      <c r="E95" s="35"/>
      <c r="F95" s="38"/>
      <c r="G95" s="38"/>
      <c r="H95" s="38"/>
      <c r="I95" s="38"/>
      <c r="J95" s="38"/>
      <c r="K95" s="35"/>
      <c r="L95" s="35"/>
      <c r="M95" s="39">
        <f>IF(U95&lt;&gt;1,"",IF(P95="DIRECTA",G95,IF(ISNUMBER(G95),G95,1)*IF(ISNUMBER(H95),H95,1)*IF(ISNUMBER(I95),I95,1)*IF(ISNUMBER(J95),J95,1)))</f>
      </c>
      <c r="N95" s="30">
        <f>IF(COUNTA(B95:L95)=0,"",IF(X95=0,IF(P95="CABECERA","VERDE · Fila descriptiva; la suma usa las líneas del ID","VERDE · Datos numéricos interpretables"),IF(X95=2,"ROJO · ","ÁMBAR · ")&amp;IF(NOT(IF(ISNUMBER($E$6),AND($E$6&gt;=0,$E$6&lt;=6,$E$6=INT($E$6)),FALSE)),"Indicamos entre 0 y 6 decimales en E6. ","")&amp;IF(O95=0,"Falta un ID numérico. ","")&amp;IF(R95=0,"Faltan capítulo, código, unidad o total numérico del ID. ","")&amp;IF(T95&gt;0,"Los datos o el total del ID se contradicen. ","")&amp;IF(AND(P95&lt;&gt;"DIMENSIONES",P95&lt;&gt;"DIRECTA",P95&lt;&gt;"SIN LÍNEAS",P95&lt;&gt;"CABECERA"),"Tipo de fila no reconocido. ","")&amp;IF(AND(OR(P95="SIN LÍNEAS",P95="CABECERA"),COUNTA(G95:J95)&gt;0),"La fila dice que no mide, pero contiene medidas. ","")&amp;IF(AND(OR(P95="DIRECTA",P95="DIMENSIONES"),U95=0),"Línea incompleta o con medidas no numéricas. ","")&amp;IF(P95="SIN LÍNEAS","No constan medidas de esta fila. ","")&amp;IF(Y95&gt;0,"Parece m³: tres dimensiones bajo m². ","")&amp;IF(AND(AB95&lt;&gt;"",SUMPRODUCT(--('LÉEME'!$B$65:$B$86=AC95))&lt;&gt;1),"Revisamos el significado de la unidad. ","")&amp;IF(Z95&gt;0,"Más precisión que los decimales indicados: cotejamos el original. ","")&amp;IF(AA95&gt;0,"Revisamos dimensiones, cantidad directa, ceros o deducción. ","")))</f>
      </c>
      <c r="O95" s="0" t="n">
        <f>IF(ISNUMBER(K95),IF(AND(K95&gt;0,K95=INT(K95),K95&lt;=999999),K95,0),0)</f>
        <v>0</v>
      </c>
      <c r="P95" s="0">
        <f>IF(COUNTA(B95:L95)=0,"",IF(L95="",IF(COUNTA(G95:J95)&gt;0,"DIMENSIONES","SIN LÍNEAS"),UPPER(TRIM(L95))))</f>
      </c>
      <c r="Q95" s="0">
        <f>IF(AND(O95&gt;0,LEN(TRIM(B95&amp;""))&gt;0,LEN(TRIM(C95&amp;""))&gt;0,LEN(TRIM(E95&amp;""))&gt;0,ISNUMBER(F95)),O95,"")</f>
      </c>
      <c r="R95" s="0" t="n">
        <f>IF(O95=0,0,IF(COUNTIFS($Q$13:$Q$512,O95)&gt;0,MATCH(O95,$Q$13:$Q$512,0),0))</f>
        <v>0</v>
      </c>
      <c r="S95" s="0">
        <f>IF(AB95="","",IF(SUMPRODUCT(--('LÉEME'!$B$65:$B$86=AC95))=1,INDEX('LÉEME'!$C$65:$C$86,MATCH(AC95,'LÉEME'!$B$65:$B$86,0)),UPPER(TRIM(AB95))))</f>
      </c>
      <c r="T95" s="0" t="n">
        <f>IF(R95=0,0,IF(OR(AND(LEN(TRIM(B95&amp;""))&gt;0,UPPER(TRIM(B95&amp;""))&lt;&gt;UPPER(TRIM(INDEX($B$13:$B$512,R95)&amp;""))),AND(LEN(TRIM(C95&amp;""))&gt;0,UPPER(TRIM(C95&amp;""))&lt;&gt;UPPER(TRIM(INDEX($C$13:$C$512,R95)&amp;""))),AND(LEN(TRIM(E95&amp;""))&gt;0,S95&lt;&gt;INDEX($S$13:$S$512,R95)),AND(F95&lt;&gt;"",NOT(ISNUMBER(F95)))),1,IF(ISNUMBER(F95),IF(ABS(F95-INDEX($F$13:$F$512,R95))&gt;0.00000001,1,0),0)))</f>
        <v>0</v>
      </c>
      <c r="U95" s="0" t="n">
        <f>IF(P95="DIRECTA",IF(AND(ISNUMBER(G95),COUNTA(H95:J95)=0),1,0),IF(P95="DIMENSIONES",IF(AND(COUNT(G95:J95)&gt;0,COUNTA(G95:J95)=COUNT(G95:J95)),1,0),0))</f>
        <v>0</v>
      </c>
      <c r="V95" s="0" t="n">
        <f>IF(O95=0,0,IF(COUNTIFS($O$13:O95,O95)=1,1,0))</f>
        <v>0</v>
      </c>
      <c r="W95" s="0">
        <f>IF(V95=1,COUNTIFS($V$13:V95,1),"")</f>
      </c>
      <c r="X95" s="0">
        <f>IF(COUNTA(B95:L95)=0,"",IF(OR(NOT(IF(ISNUMBER($E$6),AND($E$6&gt;=0,$E$6&lt;=6,$E$6=INT($E$6)),FALSE)),O95=0,R95=0,T95&gt;0,AND(P95&lt;&gt;"DIMENSIONES",P95&lt;&gt;"DIRECTA",P95&lt;&gt;"SIN LÍNEAS",P95&lt;&gt;"CABECERA"),AND(OR(P95="DIRECTA",P95="DIMENSIONES"),U95=0),AND(OR(P95="SIN LÍNEAS",P95="CABECERA"),COUNTA(G95:J95)&gt;0)),2,IF(OR(P95="SIN LÍNEAS",Y95&gt;0,Z95&gt;0,AA95&gt;0,SUMPRODUCT(--('LÉEME'!$B$65:$B$86=AC95))&lt;&gt;1),1,0)))</f>
      </c>
      <c r="Y95" s="0" t="n">
        <f>IF(AND(P95="DIMENSIONES",S95="m²",COUNT(H95:J95)=3),1,0)</f>
        <v>0</v>
      </c>
      <c r="Z95" s="0" t="n">
        <f>IF(IF(ISNUMBER($E$6),AND($E$6&gt;=0,$E$6&lt;=6,$E$6=INT($E$6)),FALSE),IF(SUM(IF(ISNUMBER(F95),IF(ABS(F95-ROUND(F95,$E$6))&gt;0.00000001,1,0),0),IF(ISNUMBER(G95),IF(ABS(G95-ROUND(G95,$E$6))&gt;0.00000001,1,0),0),IF(ISNUMBER(H95),IF(ABS(H95-ROUND(H95,$E$6))&gt;0.00000001,1,0),0),IF(ISNUMBER(I95),IF(ABS(I95-ROUND(I95,$E$6))&gt;0.00000001,1,0),0),IF(ISNUMBER(J95),IF(ABS(J95-ROUND(J95,$E$6))&gt;0.00000001,1,0),0),IF(ISNUMBER(M95),IF(ABS(M95-ROUND(M95,$E$6))&gt;0.00000001,1,0),0))&gt;0,1,0),0)</f>
        <v>0</v>
      </c>
      <c r="AA95" s="0" t="n">
        <f>IF(COUNTA(B95:L95)=0,0,IF(OR(AND(ISNUMBER(F95),F95&lt;0),AND(U95=1,OR(SUM(IF(ISNUMBER(G95),IF(G95=0,1,0),0),IF(ISNUMBER(H95),IF(H95=0,1,0),0),IF(ISNUMBER(I95),IF(I95=0,1,0),0),IF(ISNUMBER(J95),IF(J95=0,1,0),0))&gt;0,COUNTIFS(G95:J95,"&lt;0")&gt;0)),AND(P95="DIMENSIONES",U95=1,OR(AND(S95="m",COUNT(H95:J95)&lt;&gt;1),AND(S95="m²",COUNT(H95:J95)&lt;&gt;2,Y95=0),AND(S95="m³",COUNT(H95:J95)&lt;&gt;3),AND(S95="ud",COUNT(H95:J95)&gt;0))),AND(P95="DIRECTA",OR(S95="m",S95="m²",S95="m³"))),1,0))</f>
        <v>0</v>
      </c>
      <c r="AB95" s="0">
        <f>IF(LEN(TRIM(E95&amp;""))&gt;0,E95,IF(R95&gt;0,INDEX($E$13:$E$512,R95),""))</f>
      </c>
      <c r="AC95" s="0">
        <f>UPPER(SUBSTITUTE(SUBSTITUTE(SUBSTITUTE(SUBSTITUTE(SUBSTITUTE(TRIM(AB95),"²","2"),"³","3"),"^",""),".","")," ",""))</f>
      </c>
    </row>
    <row r="96" ht="35" customHeight="1">
      <c r="B96" s="35"/>
      <c r="C96" s="35"/>
      <c r="D96" s="37"/>
      <c r="E96" s="35"/>
      <c r="F96" s="38"/>
      <c r="G96" s="38"/>
      <c r="H96" s="38"/>
      <c r="I96" s="38"/>
      <c r="J96" s="38"/>
      <c r="K96" s="35"/>
      <c r="L96" s="35"/>
      <c r="M96" s="39">
        <f>IF(U96&lt;&gt;1,"",IF(P96="DIRECTA",G96,IF(ISNUMBER(G96),G96,1)*IF(ISNUMBER(H96),H96,1)*IF(ISNUMBER(I96),I96,1)*IF(ISNUMBER(J96),J96,1)))</f>
      </c>
      <c r="N96" s="30">
        <f>IF(COUNTA(B96:L96)=0,"",IF(X96=0,IF(P96="CABECERA","VERDE · Fila descriptiva; la suma usa las líneas del ID","VERDE · Datos numéricos interpretables"),IF(X96=2,"ROJO · ","ÁMBAR · ")&amp;IF(NOT(IF(ISNUMBER($E$6),AND($E$6&gt;=0,$E$6&lt;=6,$E$6=INT($E$6)),FALSE)),"Indicamos entre 0 y 6 decimales en E6. ","")&amp;IF(O96=0,"Falta un ID numérico. ","")&amp;IF(R96=0,"Faltan capítulo, código, unidad o total numérico del ID. ","")&amp;IF(T96&gt;0,"Los datos o el total del ID se contradicen. ","")&amp;IF(AND(P96&lt;&gt;"DIMENSIONES",P96&lt;&gt;"DIRECTA",P96&lt;&gt;"SIN LÍNEAS",P96&lt;&gt;"CABECERA"),"Tipo de fila no reconocido. ","")&amp;IF(AND(OR(P96="SIN LÍNEAS",P96="CABECERA"),COUNTA(G96:J96)&gt;0),"La fila dice que no mide, pero contiene medidas. ","")&amp;IF(AND(OR(P96="DIRECTA",P96="DIMENSIONES"),U96=0),"Línea incompleta o con medidas no numéricas. ","")&amp;IF(P96="SIN LÍNEAS","No constan medidas de esta fila. ","")&amp;IF(Y96&gt;0,"Parece m³: tres dimensiones bajo m². ","")&amp;IF(AND(AB96&lt;&gt;"",SUMPRODUCT(--('LÉEME'!$B$65:$B$86=AC96))&lt;&gt;1),"Revisamos el significado de la unidad. ","")&amp;IF(Z96&gt;0,"Más precisión que los decimales indicados: cotejamos el original. ","")&amp;IF(AA96&gt;0,"Revisamos dimensiones, cantidad directa, ceros o deducción. ","")))</f>
      </c>
      <c r="O96" s="0" t="n">
        <f>IF(ISNUMBER(K96),IF(AND(K96&gt;0,K96=INT(K96),K96&lt;=999999),K96,0),0)</f>
        <v>0</v>
      </c>
      <c r="P96" s="0">
        <f>IF(COUNTA(B96:L96)=0,"",IF(L96="",IF(COUNTA(G96:J96)&gt;0,"DIMENSIONES","SIN LÍNEAS"),UPPER(TRIM(L96))))</f>
      </c>
      <c r="Q96" s="0">
        <f>IF(AND(O96&gt;0,LEN(TRIM(B96&amp;""))&gt;0,LEN(TRIM(C96&amp;""))&gt;0,LEN(TRIM(E96&amp;""))&gt;0,ISNUMBER(F96)),O96,"")</f>
      </c>
      <c r="R96" s="0" t="n">
        <f>IF(O96=0,0,IF(COUNTIFS($Q$13:$Q$512,O96)&gt;0,MATCH(O96,$Q$13:$Q$512,0),0))</f>
        <v>0</v>
      </c>
      <c r="S96" s="0">
        <f>IF(AB96="","",IF(SUMPRODUCT(--('LÉEME'!$B$65:$B$86=AC96))=1,INDEX('LÉEME'!$C$65:$C$86,MATCH(AC96,'LÉEME'!$B$65:$B$86,0)),UPPER(TRIM(AB96))))</f>
      </c>
      <c r="T96" s="0" t="n">
        <f>IF(R96=0,0,IF(OR(AND(LEN(TRIM(B96&amp;""))&gt;0,UPPER(TRIM(B96&amp;""))&lt;&gt;UPPER(TRIM(INDEX($B$13:$B$512,R96)&amp;""))),AND(LEN(TRIM(C96&amp;""))&gt;0,UPPER(TRIM(C96&amp;""))&lt;&gt;UPPER(TRIM(INDEX($C$13:$C$512,R96)&amp;""))),AND(LEN(TRIM(E96&amp;""))&gt;0,S96&lt;&gt;INDEX($S$13:$S$512,R96)),AND(F96&lt;&gt;"",NOT(ISNUMBER(F96)))),1,IF(ISNUMBER(F96),IF(ABS(F96-INDEX($F$13:$F$512,R96))&gt;0.00000001,1,0),0)))</f>
        <v>0</v>
      </c>
      <c r="U96" s="0" t="n">
        <f>IF(P96="DIRECTA",IF(AND(ISNUMBER(G96),COUNTA(H96:J96)=0),1,0),IF(P96="DIMENSIONES",IF(AND(COUNT(G96:J96)&gt;0,COUNTA(G96:J96)=COUNT(G96:J96)),1,0),0))</f>
        <v>0</v>
      </c>
      <c r="V96" s="0" t="n">
        <f>IF(O96=0,0,IF(COUNTIFS($O$13:O96,O96)=1,1,0))</f>
        <v>0</v>
      </c>
      <c r="W96" s="0">
        <f>IF(V96=1,COUNTIFS($V$13:V96,1),"")</f>
      </c>
      <c r="X96" s="0">
        <f>IF(COUNTA(B96:L96)=0,"",IF(OR(NOT(IF(ISNUMBER($E$6),AND($E$6&gt;=0,$E$6&lt;=6,$E$6=INT($E$6)),FALSE)),O96=0,R96=0,T96&gt;0,AND(P96&lt;&gt;"DIMENSIONES",P96&lt;&gt;"DIRECTA",P96&lt;&gt;"SIN LÍNEAS",P96&lt;&gt;"CABECERA"),AND(OR(P96="DIRECTA",P96="DIMENSIONES"),U96=0),AND(OR(P96="SIN LÍNEAS",P96="CABECERA"),COUNTA(G96:J96)&gt;0)),2,IF(OR(P96="SIN LÍNEAS",Y96&gt;0,Z96&gt;0,AA96&gt;0,SUMPRODUCT(--('LÉEME'!$B$65:$B$86=AC96))&lt;&gt;1),1,0)))</f>
      </c>
      <c r="Y96" s="0" t="n">
        <f>IF(AND(P96="DIMENSIONES",S96="m²",COUNT(H96:J96)=3),1,0)</f>
        <v>0</v>
      </c>
      <c r="Z96" s="0" t="n">
        <f>IF(IF(ISNUMBER($E$6),AND($E$6&gt;=0,$E$6&lt;=6,$E$6=INT($E$6)),FALSE),IF(SUM(IF(ISNUMBER(F96),IF(ABS(F96-ROUND(F96,$E$6))&gt;0.00000001,1,0),0),IF(ISNUMBER(G96),IF(ABS(G96-ROUND(G96,$E$6))&gt;0.00000001,1,0),0),IF(ISNUMBER(H96),IF(ABS(H96-ROUND(H96,$E$6))&gt;0.00000001,1,0),0),IF(ISNUMBER(I96),IF(ABS(I96-ROUND(I96,$E$6))&gt;0.00000001,1,0),0),IF(ISNUMBER(J96),IF(ABS(J96-ROUND(J96,$E$6))&gt;0.00000001,1,0),0),IF(ISNUMBER(M96),IF(ABS(M96-ROUND(M96,$E$6))&gt;0.00000001,1,0),0))&gt;0,1,0),0)</f>
        <v>0</v>
      </c>
      <c r="AA96" s="0" t="n">
        <f>IF(COUNTA(B96:L96)=0,0,IF(OR(AND(ISNUMBER(F96),F96&lt;0),AND(U96=1,OR(SUM(IF(ISNUMBER(G96),IF(G96=0,1,0),0),IF(ISNUMBER(H96),IF(H96=0,1,0),0),IF(ISNUMBER(I96),IF(I96=0,1,0),0),IF(ISNUMBER(J96),IF(J96=0,1,0),0))&gt;0,COUNTIFS(G96:J96,"&lt;0")&gt;0)),AND(P96="DIMENSIONES",U96=1,OR(AND(S96="m",COUNT(H96:J96)&lt;&gt;1),AND(S96="m²",COUNT(H96:J96)&lt;&gt;2,Y96=0),AND(S96="m³",COUNT(H96:J96)&lt;&gt;3),AND(S96="ud",COUNT(H96:J96)&gt;0))),AND(P96="DIRECTA",OR(S96="m",S96="m²",S96="m³"))),1,0))</f>
        <v>0</v>
      </c>
      <c r="AB96" s="0">
        <f>IF(LEN(TRIM(E96&amp;""))&gt;0,E96,IF(R96&gt;0,INDEX($E$13:$E$512,R96),""))</f>
      </c>
      <c r="AC96" s="0">
        <f>UPPER(SUBSTITUTE(SUBSTITUTE(SUBSTITUTE(SUBSTITUTE(SUBSTITUTE(TRIM(AB96),"²","2"),"³","3"),"^",""),".","")," ",""))</f>
      </c>
    </row>
    <row r="97" ht="35" customHeight="1">
      <c r="B97" s="35"/>
      <c r="C97" s="35"/>
      <c r="D97" s="37"/>
      <c r="E97" s="35"/>
      <c r="F97" s="38"/>
      <c r="G97" s="38"/>
      <c r="H97" s="38"/>
      <c r="I97" s="38"/>
      <c r="J97" s="38"/>
      <c r="K97" s="35"/>
      <c r="L97" s="35"/>
      <c r="M97" s="39">
        <f>IF(U97&lt;&gt;1,"",IF(P97="DIRECTA",G97,IF(ISNUMBER(G97),G97,1)*IF(ISNUMBER(H97),H97,1)*IF(ISNUMBER(I97),I97,1)*IF(ISNUMBER(J97),J97,1)))</f>
      </c>
      <c r="N97" s="30">
        <f>IF(COUNTA(B97:L97)=0,"",IF(X97=0,IF(P97="CABECERA","VERDE · Fila descriptiva; la suma usa las líneas del ID","VERDE · Datos numéricos interpretables"),IF(X97=2,"ROJO · ","ÁMBAR · ")&amp;IF(NOT(IF(ISNUMBER($E$6),AND($E$6&gt;=0,$E$6&lt;=6,$E$6=INT($E$6)),FALSE)),"Indicamos entre 0 y 6 decimales en E6. ","")&amp;IF(O97=0,"Falta un ID numérico. ","")&amp;IF(R97=0,"Faltan capítulo, código, unidad o total numérico del ID. ","")&amp;IF(T97&gt;0,"Los datos o el total del ID se contradicen. ","")&amp;IF(AND(P97&lt;&gt;"DIMENSIONES",P97&lt;&gt;"DIRECTA",P97&lt;&gt;"SIN LÍNEAS",P97&lt;&gt;"CABECERA"),"Tipo de fila no reconocido. ","")&amp;IF(AND(OR(P97="SIN LÍNEAS",P97="CABECERA"),COUNTA(G97:J97)&gt;0),"La fila dice que no mide, pero contiene medidas. ","")&amp;IF(AND(OR(P97="DIRECTA",P97="DIMENSIONES"),U97=0),"Línea incompleta o con medidas no numéricas. ","")&amp;IF(P97="SIN LÍNEAS","No constan medidas de esta fila. ","")&amp;IF(Y97&gt;0,"Parece m³: tres dimensiones bajo m². ","")&amp;IF(AND(AB97&lt;&gt;"",SUMPRODUCT(--('LÉEME'!$B$65:$B$86=AC97))&lt;&gt;1),"Revisamos el significado de la unidad. ","")&amp;IF(Z97&gt;0,"Más precisión que los decimales indicados: cotejamos el original. ","")&amp;IF(AA97&gt;0,"Revisamos dimensiones, cantidad directa, ceros o deducción. ","")))</f>
      </c>
      <c r="O97" s="0" t="n">
        <f>IF(ISNUMBER(K97),IF(AND(K97&gt;0,K97=INT(K97),K97&lt;=999999),K97,0),0)</f>
        <v>0</v>
      </c>
      <c r="P97" s="0">
        <f>IF(COUNTA(B97:L97)=0,"",IF(L97="",IF(COUNTA(G97:J97)&gt;0,"DIMENSIONES","SIN LÍNEAS"),UPPER(TRIM(L97))))</f>
      </c>
      <c r="Q97" s="0">
        <f>IF(AND(O97&gt;0,LEN(TRIM(B97&amp;""))&gt;0,LEN(TRIM(C97&amp;""))&gt;0,LEN(TRIM(E97&amp;""))&gt;0,ISNUMBER(F97)),O97,"")</f>
      </c>
      <c r="R97" s="0" t="n">
        <f>IF(O97=0,0,IF(COUNTIFS($Q$13:$Q$512,O97)&gt;0,MATCH(O97,$Q$13:$Q$512,0),0))</f>
        <v>0</v>
      </c>
      <c r="S97" s="0">
        <f>IF(AB97="","",IF(SUMPRODUCT(--('LÉEME'!$B$65:$B$86=AC97))=1,INDEX('LÉEME'!$C$65:$C$86,MATCH(AC97,'LÉEME'!$B$65:$B$86,0)),UPPER(TRIM(AB97))))</f>
      </c>
      <c r="T97" s="0" t="n">
        <f>IF(R97=0,0,IF(OR(AND(LEN(TRIM(B97&amp;""))&gt;0,UPPER(TRIM(B97&amp;""))&lt;&gt;UPPER(TRIM(INDEX($B$13:$B$512,R97)&amp;""))),AND(LEN(TRIM(C97&amp;""))&gt;0,UPPER(TRIM(C97&amp;""))&lt;&gt;UPPER(TRIM(INDEX($C$13:$C$512,R97)&amp;""))),AND(LEN(TRIM(E97&amp;""))&gt;0,S97&lt;&gt;INDEX($S$13:$S$512,R97)),AND(F97&lt;&gt;"",NOT(ISNUMBER(F97)))),1,IF(ISNUMBER(F97),IF(ABS(F97-INDEX($F$13:$F$512,R97))&gt;0.00000001,1,0),0)))</f>
        <v>0</v>
      </c>
      <c r="U97" s="0" t="n">
        <f>IF(P97="DIRECTA",IF(AND(ISNUMBER(G97),COUNTA(H97:J97)=0),1,0),IF(P97="DIMENSIONES",IF(AND(COUNT(G97:J97)&gt;0,COUNTA(G97:J97)=COUNT(G97:J97)),1,0),0))</f>
        <v>0</v>
      </c>
      <c r="V97" s="0" t="n">
        <f>IF(O97=0,0,IF(COUNTIFS($O$13:O97,O97)=1,1,0))</f>
        <v>0</v>
      </c>
      <c r="W97" s="0">
        <f>IF(V97=1,COUNTIFS($V$13:V97,1),"")</f>
      </c>
      <c r="X97" s="0">
        <f>IF(COUNTA(B97:L97)=0,"",IF(OR(NOT(IF(ISNUMBER($E$6),AND($E$6&gt;=0,$E$6&lt;=6,$E$6=INT($E$6)),FALSE)),O97=0,R97=0,T97&gt;0,AND(P97&lt;&gt;"DIMENSIONES",P97&lt;&gt;"DIRECTA",P97&lt;&gt;"SIN LÍNEAS",P97&lt;&gt;"CABECERA"),AND(OR(P97="DIRECTA",P97="DIMENSIONES"),U97=0),AND(OR(P97="SIN LÍNEAS",P97="CABECERA"),COUNTA(G97:J97)&gt;0)),2,IF(OR(P97="SIN LÍNEAS",Y97&gt;0,Z97&gt;0,AA97&gt;0,SUMPRODUCT(--('LÉEME'!$B$65:$B$86=AC97))&lt;&gt;1),1,0)))</f>
      </c>
      <c r="Y97" s="0" t="n">
        <f>IF(AND(P97="DIMENSIONES",S97="m²",COUNT(H97:J97)=3),1,0)</f>
        <v>0</v>
      </c>
      <c r="Z97" s="0" t="n">
        <f>IF(IF(ISNUMBER($E$6),AND($E$6&gt;=0,$E$6&lt;=6,$E$6=INT($E$6)),FALSE),IF(SUM(IF(ISNUMBER(F97),IF(ABS(F97-ROUND(F97,$E$6))&gt;0.00000001,1,0),0),IF(ISNUMBER(G97),IF(ABS(G97-ROUND(G97,$E$6))&gt;0.00000001,1,0),0),IF(ISNUMBER(H97),IF(ABS(H97-ROUND(H97,$E$6))&gt;0.00000001,1,0),0),IF(ISNUMBER(I97),IF(ABS(I97-ROUND(I97,$E$6))&gt;0.00000001,1,0),0),IF(ISNUMBER(J97),IF(ABS(J97-ROUND(J97,$E$6))&gt;0.00000001,1,0),0),IF(ISNUMBER(M97),IF(ABS(M97-ROUND(M97,$E$6))&gt;0.00000001,1,0),0))&gt;0,1,0),0)</f>
        <v>0</v>
      </c>
      <c r="AA97" s="0" t="n">
        <f>IF(COUNTA(B97:L97)=0,0,IF(OR(AND(ISNUMBER(F97),F97&lt;0),AND(U97=1,OR(SUM(IF(ISNUMBER(G97),IF(G97=0,1,0),0),IF(ISNUMBER(H97),IF(H97=0,1,0),0),IF(ISNUMBER(I97),IF(I97=0,1,0),0),IF(ISNUMBER(J97),IF(J97=0,1,0),0))&gt;0,COUNTIFS(G97:J97,"&lt;0")&gt;0)),AND(P97="DIMENSIONES",U97=1,OR(AND(S97="m",COUNT(H97:J97)&lt;&gt;1),AND(S97="m²",COUNT(H97:J97)&lt;&gt;2,Y97=0),AND(S97="m³",COUNT(H97:J97)&lt;&gt;3),AND(S97="ud",COUNT(H97:J97)&gt;0))),AND(P97="DIRECTA",OR(S97="m",S97="m²",S97="m³"))),1,0))</f>
        <v>0</v>
      </c>
      <c r="AB97" s="0">
        <f>IF(LEN(TRIM(E97&amp;""))&gt;0,E97,IF(R97&gt;0,INDEX($E$13:$E$512,R97),""))</f>
      </c>
      <c r="AC97" s="0">
        <f>UPPER(SUBSTITUTE(SUBSTITUTE(SUBSTITUTE(SUBSTITUTE(SUBSTITUTE(TRIM(AB97),"²","2"),"³","3"),"^",""),".","")," ",""))</f>
      </c>
    </row>
    <row r="98" ht="35" customHeight="1">
      <c r="B98" s="35"/>
      <c r="C98" s="35"/>
      <c r="D98" s="37"/>
      <c r="E98" s="35"/>
      <c r="F98" s="38"/>
      <c r="G98" s="38"/>
      <c r="H98" s="38"/>
      <c r="I98" s="38"/>
      <c r="J98" s="38"/>
      <c r="K98" s="35"/>
      <c r="L98" s="35"/>
      <c r="M98" s="39">
        <f>IF(U98&lt;&gt;1,"",IF(P98="DIRECTA",G98,IF(ISNUMBER(G98),G98,1)*IF(ISNUMBER(H98),H98,1)*IF(ISNUMBER(I98),I98,1)*IF(ISNUMBER(J98),J98,1)))</f>
      </c>
      <c r="N98" s="30">
        <f>IF(COUNTA(B98:L98)=0,"",IF(X98=0,IF(P98="CABECERA","VERDE · Fila descriptiva; la suma usa las líneas del ID","VERDE · Datos numéricos interpretables"),IF(X98=2,"ROJO · ","ÁMBAR · ")&amp;IF(NOT(IF(ISNUMBER($E$6),AND($E$6&gt;=0,$E$6&lt;=6,$E$6=INT($E$6)),FALSE)),"Indicamos entre 0 y 6 decimales en E6. ","")&amp;IF(O98=0,"Falta un ID numérico. ","")&amp;IF(R98=0,"Faltan capítulo, código, unidad o total numérico del ID. ","")&amp;IF(T98&gt;0,"Los datos o el total del ID se contradicen. ","")&amp;IF(AND(P98&lt;&gt;"DIMENSIONES",P98&lt;&gt;"DIRECTA",P98&lt;&gt;"SIN LÍNEAS",P98&lt;&gt;"CABECERA"),"Tipo de fila no reconocido. ","")&amp;IF(AND(OR(P98="SIN LÍNEAS",P98="CABECERA"),COUNTA(G98:J98)&gt;0),"La fila dice que no mide, pero contiene medidas. ","")&amp;IF(AND(OR(P98="DIRECTA",P98="DIMENSIONES"),U98=0),"Línea incompleta o con medidas no numéricas. ","")&amp;IF(P98="SIN LÍNEAS","No constan medidas de esta fila. ","")&amp;IF(Y98&gt;0,"Parece m³: tres dimensiones bajo m². ","")&amp;IF(AND(AB98&lt;&gt;"",SUMPRODUCT(--('LÉEME'!$B$65:$B$86=AC98))&lt;&gt;1),"Revisamos el significado de la unidad. ","")&amp;IF(Z98&gt;0,"Más precisión que los decimales indicados: cotejamos el original. ","")&amp;IF(AA98&gt;0,"Revisamos dimensiones, cantidad directa, ceros o deducción. ","")))</f>
      </c>
      <c r="O98" s="0" t="n">
        <f>IF(ISNUMBER(K98),IF(AND(K98&gt;0,K98=INT(K98),K98&lt;=999999),K98,0),0)</f>
        <v>0</v>
      </c>
      <c r="P98" s="0">
        <f>IF(COUNTA(B98:L98)=0,"",IF(L98="",IF(COUNTA(G98:J98)&gt;0,"DIMENSIONES","SIN LÍNEAS"),UPPER(TRIM(L98))))</f>
      </c>
      <c r="Q98" s="0">
        <f>IF(AND(O98&gt;0,LEN(TRIM(B98&amp;""))&gt;0,LEN(TRIM(C98&amp;""))&gt;0,LEN(TRIM(E98&amp;""))&gt;0,ISNUMBER(F98)),O98,"")</f>
      </c>
      <c r="R98" s="0" t="n">
        <f>IF(O98=0,0,IF(COUNTIFS($Q$13:$Q$512,O98)&gt;0,MATCH(O98,$Q$13:$Q$512,0),0))</f>
        <v>0</v>
      </c>
      <c r="S98" s="0">
        <f>IF(AB98="","",IF(SUMPRODUCT(--('LÉEME'!$B$65:$B$86=AC98))=1,INDEX('LÉEME'!$C$65:$C$86,MATCH(AC98,'LÉEME'!$B$65:$B$86,0)),UPPER(TRIM(AB98))))</f>
      </c>
      <c r="T98" s="0" t="n">
        <f>IF(R98=0,0,IF(OR(AND(LEN(TRIM(B98&amp;""))&gt;0,UPPER(TRIM(B98&amp;""))&lt;&gt;UPPER(TRIM(INDEX($B$13:$B$512,R98)&amp;""))),AND(LEN(TRIM(C98&amp;""))&gt;0,UPPER(TRIM(C98&amp;""))&lt;&gt;UPPER(TRIM(INDEX($C$13:$C$512,R98)&amp;""))),AND(LEN(TRIM(E98&amp;""))&gt;0,S98&lt;&gt;INDEX($S$13:$S$512,R98)),AND(F98&lt;&gt;"",NOT(ISNUMBER(F98)))),1,IF(ISNUMBER(F98),IF(ABS(F98-INDEX($F$13:$F$512,R98))&gt;0.00000001,1,0),0)))</f>
        <v>0</v>
      </c>
      <c r="U98" s="0" t="n">
        <f>IF(P98="DIRECTA",IF(AND(ISNUMBER(G98),COUNTA(H98:J98)=0),1,0),IF(P98="DIMENSIONES",IF(AND(COUNT(G98:J98)&gt;0,COUNTA(G98:J98)=COUNT(G98:J98)),1,0),0))</f>
        <v>0</v>
      </c>
      <c r="V98" s="0" t="n">
        <f>IF(O98=0,0,IF(COUNTIFS($O$13:O98,O98)=1,1,0))</f>
        <v>0</v>
      </c>
      <c r="W98" s="0">
        <f>IF(V98=1,COUNTIFS($V$13:V98,1),"")</f>
      </c>
      <c r="X98" s="0">
        <f>IF(COUNTA(B98:L98)=0,"",IF(OR(NOT(IF(ISNUMBER($E$6),AND($E$6&gt;=0,$E$6&lt;=6,$E$6=INT($E$6)),FALSE)),O98=0,R98=0,T98&gt;0,AND(P98&lt;&gt;"DIMENSIONES",P98&lt;&gt;"DIRECTA",P98&lt;&gt;"SIN LÍNEAS",P98&lt;&gt;"CABECERA"),AND(OR(P98="DIRECTA",P98="DIMENSIONES"),U98=0),AND(OR(P98="SIN LÍNEAS",P98="CABECERA"),COUNTA(G98:J98)&gt;0)),2,IF(OR(P98="SIN LÍNEAS",Y98&gt;0,Z98&gt;0,AA98&gt;0,SUMPRODUCT(--('LÉEME'!$B$65:$B$86=AC98))&lt;&gt;1),1,0)))</f>
      </c>
      <c r="Y98" s="0" t="n">
        <f>IF(AND(P98="DIMENSIONES",S98="m²",COUNT(H98:J98)=3),1,0)</f>
        <v>0</v>
      </c>
      <c r="Z98" s="0" t="n">
        <f>IF(IF(ISNUMBER($E$6),AND($E$6&gt;=0,$E$6&lt;=6,$E$6=INT($E$6)),FALSE),IF(SUM(IF(ISNUMBER(F98),IF(ABS(F98-ROUND(F98,$E$6))&gt;0.00000001,1,0),0),IF(ISNUMBER(G98),IF(ABS(G98-ROUND(G98,$E$6))&gt;0.00000001,1,0),0),IF(ISNUMBER(H98),IF(ABS(H98-ROUND(H98,$E$6))&gt;0.00000001,1,0),0),IF(ISNUMBER(I98),IF(ABS(I98-ROUND(I98,$E$6))&gt;0.00000001,1,0),0),IF(ISNUMBER(J98),IF(ABS(J98-ROUND(J98,$E$6))&gt;0.00000001,1,0),0),IF(ISNUMBER(M98),IF(ABS(M98-ROUND(M98,$E$6))&gt;0.00000001,1,0),0))&gt;0,1,0),0)</f>
        <v>0</v>
      </c>
      <c r="AA98" s="0" t="n">
        <f>IF(COUNTA(B98:L98)=0,0,IF(OR(AND(ISNUMBER(F98),F98&lt;0),AND(U98=1,OR(SUM(IF(ISNUMBER(G98),IF(G98=0,1,0),0),IF(ISNUMBER(H98),IF(H98=0,1,0),0),IF(ISNUMBER(I98),IF(I98=0,1,0),0),IF(ISNUMBER(J98),IF(J98=0,1,0),0))&gt;0,COUNTIFS(G98:J98,"&lt;0")&gt;0)),AND(P98="DIMENSIONES",U98=1,OR(AND(S98="m",COUNT(H98:J98)&lt;&gt;1),AND(S98="m²",COUNT(H98:J98)&lt;&gt;2,Y98=0),AND(S98="m³",COUNT(H98:J98)&lt;&gt;3),AND(S98="ud",COUNT(H98:J98)&gt;0))),AND(P98="DIRECTA",OR(S98="m",S98="m²",S98="m³"))),1,0))</f>
        <v>0</v>
      </c>
      <c r="AB98" s="0">
        <f>IF(LEN(TRIM(E98&amp;""))&gt;0,E98,IF(R98&gt;0,INDEX($E$13:$E$512,R98),""))</f>
      </c>
      <c r="AC98" s="0">
        <f>UPPER(SUBSTITUTE(SUBSTITUTE(SUBSTITUTE(SUBSTITUTE(SUBSTITUTE(TRIM(AB98),"²","2"),"³","3"),"^",""),".","")," ",""))</f>
      </c>
    </row>
    <row r="99" ht="35" customHeight="1">
      <c r="B99" s="35"/>
      <c r="C99" s="35"/>
      <c r="D99" s="37"/>
      <c r="E99" s="35"/>
      <c r="F99" s="38"/>
      <c r="G99" s="38"/>
      <c r="H99" s="38"/>
      <c r="I99" s="38"/>
      <c r="J99" s="38"/>
      <c r="K99" s="35"/>
      <c r="L99" s="35"/>
      <c r="M99" s="39">
        <f>IF(U99&lt;&gt;1,"",IF(P99="DIRECTA",G99,IF(ISNUMBER(G99),G99,1)*IF(ISNUMBER(H99),H99,1)*IF(ISNUMBER(I99),I99,1)*IF(ISNUMBER(J99),J99,1)))</f>
      </c>
      <c r="N99" s="30">
        <f>IF(COUNTA(B99:L99)=0,"",IF(X99=0,IF(P99="CABECERA","VERDE · Fila descriptiva; la suma usa las líneas del ID","VERDE · Datos numéricos interpretables"),IF(X99=2,"ROJO · ","ÁMBAR · ")&amp;IF(NOT(IF(ISNUMBER($E$6),AND($E$6&gt;=0,$E$6&lt;=6,$E$6=INT($E$6)),FALSE)),"Indicamos entre 0 y 6 decimales en E6. ","")&amp;IF(O99=0,"Falta un ID numérico. ","")&amp;IF(R99=0,"Faltan capítulo, código, unidad o total numérico del ID. ","")&amp;IF(T99&gt;0,"Los datos o el total del ID se contradicen. ","")&amp;IF(AND(P99&lt;&gt;"DIMENSIONES",P99&lt;&gt;"DIRECTA",P99&lt;&gt;"SIN LÍNEAS",P99&lt;&gt;"CABECERA"),"Tipo de fila no reconocido. ","")&amp;IF(AND(OR(P99="SIN LÍNEAS",P99="CABECERA"),COUNTA(G99:J99)&gt;0),"La fila dice que no mide, pero contiene medidas. ","")&amp;IF(AND(OR(P99="DIRECTA",P99="DIMENSIONES"),U99=0),"Línea incompleta o con medidas no numéricas. ","")&amp;IF(P99="SIN LÍNEAS","No constan medidas de esta fila. ","")&amp;IF(Y99&gt;0,"Parece m³: tres dimensiones bajo m². ","")&amp;IF(AND(AB99&lt;&gt;"",SUMPRODUCT(--('LÉEME'!$B$65:$B$86=AC99))&lt;&gt;1),"Revisamos el significado de la unidad. ","")&amp;IF(Z99&gt;0,"Más precisión que los decimales indicados: cotejamos el original. ","")&amp;IF(AA99&gt;0,"Revisamos dimensiones, cantidad directa, ceros o deducción. ","")))</f>
      </c>
      <c r="O99" s="0" t="n">
        <f>IF(ISNUMBER(K99),IF(AND(K99&gt;0,K99=INT(K99),K99&lt;=999999),K99,0),0)</f>
        <v>0</v>
      </c>
      <c r="P99" s="0">
        <f>IF(COUNTA(B99:L99)=0,"",IF(L99="",IF(COUNTA(G99:J99)&gt;0,"DIMENSIONES","SIN LÍNEAS"),UPPER(TRIM(L99))))</f>
      </c>
      <c r="Q99" s="0">
        <f>IF(AND(O99&gt;0,LEN(TRIM(B99&amp;""))&gt;0,LEN(TRIM(C99&amp;""))&gt;0,LEN(TRIM(E99&amp;""))&gt;0,ISNUMBER(F99)),O99,"")</f>
      </c>
      <c r="R99" s="0" t="n">
        <f>IF(O99=0,0,IF(COUNTIFS($Q$13:$Q$512,O99)&gt;0,MATCH(O99,$Q$13:$Q$512,0),0))</f>
        <v>0</v>
      </c>
      <c r="S99" s="0">
        <f>IF(AB99="","",IF(SUMPRODUCT(--('LÉEME'!$B$65:$B$86=AC99))=1,INDEX('LÉEME'!$C$65:$C$86,MATCH(AC99,'LÉEME'!$B$65:$B$86,0)),UPPER(TRIM(AB99))))</f>
      </c>
      <c r="T99" s="0" t="n">
        <f>IF(R99=0,0,IF(OR(AND(LEN(TRIM(B99&amp;""))&gt;0,UPPER(TRIM(B99&amp;""))&lt;&gt;UPPER(TRIM(INDEX($B$13:$B$512,R99)&amp;""))),AND(LEN(TRIM(C99&amp;""))&gt;0,UPPER(TRIM(C99&amp;""))&lt;&gt;UPPER(TRIM(INDEX($C$13:$C$512,R99)&amp;""))),AND(LEN(TRIM(E99&amp;""))&gt;0,S99&lt;&gt;INDEX($S$13:$S$512,R99)),AND(F99&lt;&gt;"",NOT(ISNUMBER(F99)))),1,IF(ISNUMBER(F99),IF(ABS(F99-INDEX($F$13:$F$512,R99))&gt;0.00000001,1,0),0)))</f>
        <v>0</v>
      </c>
      <c r="U99" s="0" t="n">
        <f>IF(P99="DIRECTA",IF(AND(ISNUMBER(G99),COUNTA(H99:J99)=0),1,0),IF(P99="DIMENSIONES",IF(AND(COUNT(G99:J99)&gt;0,COUNTA(G99:J99)=COUNT(G99:J99)),1,0),0))</f>
        <v>0</v>
      </c>
      <c r="V99" s="0" t="n">
        <f>IF(O99=0,0,IF(COUNTIFS($O$13:O99,O99)=1,1,0))</f>
        <v>0</v>
      </c>
      <c r="W99" s="0">
        <f>IF(V99=1,COUNTIFS($V$13:V99,1),"")</f>
      </c>
      <c r="X99" s="0">
        <f>IF(COUNTA(B99:L99)=0,"",IF(OR(NOT(IF(ISNUMBER($E$6),AND($E$6&gt;=0,$E$6&lt;=6,$E$6=INT($E$6)),FALSE)),O99=0,R99=0,T99&gt;0,AND(P99&lt;&gt;"DIMENSIONES",P99&lt;&gt;"DIRECTA",P99&lt;&gt;"SIN LÍNEAS",P99&lt;&gt;"CABECERA"),AND(OR(P99="DIRECTA",P99="DIMENSIONES"),U99=0),AND(OR(P99="SIN LÍNEAS",P99="CABECERA"),COUNTA(G99:J99)&gt;0)),2,IF(OR(P99="SIN LÍNEAS",Y99&gt;0,Z99&gt;0,AA99&gt;0,SUMPRODUCT(--('LÉEME'!$B$65:$B$86=AC99))&lt;&gt;1),1,0)))</f>
      </c>
      <c r="Y99" s="0" t="n">
        <f>IF(AND(P99="DIMENSIONES",S99="m²",COUNT(H99:J99)=3),1,0)</f>
        <v>0</v>
      </c>
      <c r="Z99" s="0" t="n">
        <f>IF(IF(ISNUMBER($E$6),AND($E$6&gt;=0,$E$6&lt;=6,$E$6=INT($E$6)),FALSE),IF(SUM(IF(ISNUMBER(F99),IF(ABS(F99-ROUND(F99,$E$6))&gt;0.00000001,1,0),0),IF(ISNUMBER(G99),IF(ABS(G99-ROUND(G99,$E$6))&gt;0.00000001,1,0),0),IF(ISNUMBER(H99),IF(ABS(H99-ROUND(H99,$E$6))&gt;0.00000001,1,0),0),IF(ISNUMBER(I99),IF(ABS(I99-ROUND(I99,$E$6))&gt;0.00000001,1,0),0),IF(ISNUMBER(J99),IF(ABS(J99-ROUND(J99,$E$6))&gt;0.00000001,1,0),0),IF(ISNUMBER(M99),IF(ABS(M99-ROUND(M99,$E$6))&gt;0.00000001,1,0),0))&gt;0,1,0),0)</f>
        <v>0</v>
      </c>
      <c r="AA99" s="0" t="n">
        <f>IF(COUNTA(B99:L99)=0,0,IF(OR(AND(ISNUMBER(F99),F99&lt;0),AND(U99=1,OR(SUM(IF(ISNUMBER(G99),IF(G99=0,1,0),0),IF(ISNUMBER(H99),IF(H99=0,1,0),0),IF(ISNUMBER(I99),IF(I99=0,1,0),0),IF(ISNUMBER(J99),IF(J99=0,1,0),0))&gt;0,COUNTIFS(G99:J99,"&lt;0")&gt;0)),AND(P99="DIMENSIONES",U99=1,OR(AND(S99="m",COUNT(H99:J99)&lt;&gt;1),AND(S99="m²",COUNT(H99:J99)&lt;&gt;2,Y99=0),AND(S99="m³",COUNT(H99:J99)&lt;&gt;3),AND(S99="ud",COUNT(H99:J99)&gt;0))),AND(P99="DIRECTA",OR(S99="m",S99="m²",S99="m³"))),1,0))</f>
        <v>0</v>
      </c>
      <c r="AB99" s="0">
        <f>IF(LEN(TRIM(E99&amp;""))&gt;0,E99,IF(R99&gt;0,INDEX($E$13:$E$512,R99),""))</f>
      </c>
      <c r="AC99" s="0">
        <f>UPPER(SUBSTITUTE(SUBSTITUTE(SUBSTITUTE(SUBSTITUTE(SUBSTITUTE(TRIM(AB99),"²","2"),"³","3"),"^",""),".","")," ",""))</f>
      </c>
    </row>
    <row r="100" ht="35" customHeight="1">
      <c r="B100" s="35"/>
      <c r="C100" s="35"/>
      <c r="D100" s="37"/>
      <c r="E100" s="35"/>
      <c r="F100" s="38"/>
      <c r="G100" s="38"/>
      <c r="H100" s="38"/>
      <c r="I100" s="38"/>
      <c r="J100" s="38"/>
      <c r="K100" s="35"/>
      <c r="L100" s="35"/>
      <c r="M100" s="39">
        <f>IF(U100&lt;&gt;1,"",IF(P100="DIRECTA",G100,IF(ISNUMBER(G100),G100,1)*IF(ISNUMBER(H100),H100,1)*IF(ISNUMBER(I100),I100,1)*IF(ISNUMBER(J100),J100,1)))</f>
      </c>
      <c r="N100" s="30">
        <f>IF(COUNTA(B100:L100)=0,"",IF(X100=0,IF(P100="CABECERA","VERDE · Fila descriptiva; la suma usa las líneas del ID","VERDE · Datos numéricos interpretables"),IF(X100=2,"ROJO · ","ÁMBAR · ")&amp;IF(NOT(IF(ISNUMBER($E$6),AND($E$6&gt;=0,$E$6&lt;=6,$E$6=INT($E$6)),FALSE)),"Indicamos entre 0 y 6 decimales en E6. ","")&amp;IF(O100=0,"Falta un ID numérico. ","")&amp;IF(R100=0,"Faltan capítulo, código, unidad o total numérico del ID. ","")&amp;IF(T100&gt;0,"Los datos o el total del ID se contradicen. ","")&amp;IF(AND(P100&lt;&gt;"DIMENSIONES",P100&lt;&gt;"DIRECTA",P100&lt;&gt;"SIN LÍNEAS",P100&lt;&gt;"CABECERA"),"Tipo de fila no reconocido. ","")&amp;IF(AND(OR(P100="SIN LÍNEAS",P100="CABECERA"),COUNTA(G100:J100)&gt;0),"La fila dice que no mide, pero contiene medidas. ","")&amp;IF(AND(OR(P100="DIRECTA",P100="DIMENSIONES"),U100=0),"Línea incompleta o con medidas no numéricas. ","")&amp;IF(P100="SIN LÍNEAS","No constan medidas de esta fila. ","")&amp;IF(Y100&gt;0,"Parece m³: tres dimensiones bajo m². ","")&amp;IF(AND(AB100&lt;&gt;"",SUMPRODUCT(--('LÉEME'!$B$65:$B$86=AC100))&lt;&gt;1),"Revisamos el significado de la unidad. ","")&amp;IF(Z100&gt;0,"Más precisión que los decimales indicados: cotejamos el original. ","")&amp;IF(AA100&gt;0,"Revisamos dimensiones, cantidad directa, ceros o deducción. ","")))</f>
      </c>
      <c r="O100" s="0" t="n">
        <f>IF(ISNUMBER(K100),IF(AND(K100&gt;0,K100=INT(K100),K100&lt;=999999),K100,0),0)</f>
        <v>0</v>
      </c>
      <c r="P100" s="0">
        <f>IF(COUNTA(B100:L100)=0,"",IF(L100="",IF(COUNTA(G100:J100)&gt;0,"DIMENSIONES","SIN LÍNEAS"),UPPER(TRIM(L100))))</f>
      </c>
      <c r="Q100" s="0">
        <f>IF(AND(O100&gt;0,LEN(TRIM(B100&amp;""))&gt;0,LEN(TRIM(C100&amp;""))&gt;0,LEN(TRIM(E100&amp;""))&gt;0,ISNUMBER(F100)),O100,"")</f>
      </c>
      <c r="R100" s="0" t="n">
        <f>IF(O100=0,0,IF(COUNTIFS($Q$13:$Q$512,O100)&gt;0,MATCH(O100,$Q$13:$Q$512,0),0))</f>
        <v>0</v>
      </c>
      <c r="S100" s="0">
        <f>IF(AB100="","",IF(SUMPRODUCT(--('LÉEME'!$B$65:$B$86=AC100))=1,INDEX('LÉEME'!$C$65:$C$86,MATCH(AC100,'LÉEME'!$B$65:$B$86,0)),UPPER(TRIM(AB100))))</f>
      </c>
      <c r="T100" s="0" t="n">
        <f>IF(R100=0,0,IF(OR(AND(LEN(TRIM(B100&amp;""))&gt;0,UPPER(TRIM(B100&amp;""))&lt;&gt;UPPER(TRIM(INDEX($B$13:$B$512,R100)&amp;""))),AND(LEN(TRIM(C100&amp;""))&gt;0,UPPER(TRIM(C100&amp;""))&lt;&gt;UPPER(TRIM(INDEX($C$13:$C$512,R100)&amp;""))),AND(LEN(TRIM(E100&amp;""))&gt;0,S100&lt;&gt;INDEX($S$13:$S$512,R100)),AND(F100&lt;&gt;"",NOT(ISNUMBER(F100)))),1,IF(ISNUMBER(F100),IF(ABS(F100-INDEX($F$13:$F$512,R100))&gt;0.00000001,1,0),0)))</f>
        <v>0</v>
      </c>
      <c r="U100" s="0" t="n">
        <f>IF(P100="DIRECTA",IF(AND(ISNUMBER(G100),COUNTA(H100:J100)=0),1,0),IF(P100="DIMENSIONES",IF(AND(COUNT(G100:J100)&gt;0,COUNTA(G100:J100)=COUNT(G100:J100)),1,0),0))</f>
        <v>0</v>
      </c>
      <c r="V100" s="0" t="n">
        <f>IF(O100=0,0,IF(COUNTIFS($O$13:O100,O100)=1,1,0))</f>
        <v>0</v>
      </c>
      <c r="W100" s="0">
        <f>IF(V100=1,COUNTIFS($V$13:V100,1),"")</f>
      </c>
      <c r="X100" s="0">
        <f>IF(COUNTA(B100:L100)=0,"",IF(OR(NOT(IF(ISNUMBER($E$6),AND($E$6&gt;=0,$E$6&lt;=6,$E$6=INT($E$6)),FALSE)),O100=0,R100=0,T100&gt;0,AND(P100&lt;&gt;"DIMENSIONES",P100&lt;&gt;"DIRECTA",P100&lt;&gt;"SIN LÍNEAS",P100&lt;&gt;"CABECERA"),AND(OR(P100="DIRECTA",P100="DIMENSIONES"),U100=0),AND(OR(P100="SIN LÍNEAS",P100="CABECERA"),COUNTA(G100:J100)&gt;0)),2,IF(OR(P100="SIN LÍNEAS",Y100&gt;0,Z100&gt;0,AA100&gt;0,SUMPRODUCT(--('LÉEME'!$B$65:$B$86=AC100))&lt;&gt;1),1,0)))</f>
      </c>
      <c r="Y100" s="0" t="n">
        <f>IF(AND(P100="DIMENSIONES",S100="m²",COUNT(H100:J100)=3),1,0)</f>
        <v>0</v>
      </c>
      <c r="Z100" s="0" t="n">
        <f>IF(IF(ISNUMBER($E$6),AND($E$6&gt;=0,$E$6&lt;=6,$E$6=INT($E$6)),FALSE),IF(SUM(IF(ISNUMBER(F100),IF(ABS(F100-ROUND(F100,$E$6))&gt;0.00000001,1,0),0),IF(ISNUMBER(G100),IF(ABS(G100-ROUND(G100,$E$6))&gt;0.00000001,1,0),0),IF(ISNUMBER(H100),IF(ABS(H100-ROUND(H100,$E$6))&gt;0.00000001,1,0),0),IF(ISNUMBER(I100),IF(ABS(I100-ROUND(I100,$E$6))&gt;0.00000001,1,0),0),IF(ISNUMBER(J100),IF(ABS(J100-ROUND(J100,$E$6))&gt;0.00000001,1,0),0),IF(ISNUMBER(M100),IF(ABS(M100-ROUND(M100,$E$6))&gt;0.00000001,1,0),0))&gt;0,1,0),0)</f>
        <v>0</v>
      </c>
      <c r="AA100" s="0" t="n">
        <f>IF(COUNTA(B100:L100)=0,0,IF(OR(AND(ISNUMBER(F100),F100&lt;0),AND(U100=1,OR(SUM(IF(ISNUMBER(G100),IF(G100=0,1,0),0),IF(ISNUMBER(H100),IF(H100=0,1,0),0),IF(ISNUMBER(I100),IF(I100=0,1,0),0),IF(ISNUMBER(J100),IF(J100=0,1,0),0))&gt;0,COUNTIFS(G100:J100,"&lt;0")&gt;0)),AND(P100="DIMENSIONES",U100=1,OR(AND(S100="m",COUNT(H100:J100)&lt;&gt;1),AND(S100="m²",COUNT(H100:J100)&lt;&gt;2,Y100=0),AND(S100="m³",COUNT(H100:J100)&lt;&gt;3),AND(S100="ud",COUNT(H100:J100)&gt;0))),AND(P100="DIRECTA",OR(S100="m",S100="m²",S100="m³"))),1,0))</f>
        <v>0</v>
      </c>
      <c r="AB100" s="0">
        <f>IF(LEN(TRIM(E100&amp;""))&gt;0,E100,IF(R100&gt;0,INDEX($E$13:$E$512,R100),""))</f>
      </c>
      <c r="AC100" s="0">
        <f>UPPER(SUBSTITUTE(SUBSTITUTE(SUBSTITUTE(SUBSTITUTE(SUBSTITUTE(TRIM(AB100),"²","2"),"³","3"),"^",""),".","")," ",""))</f>
      </c>
    </row>
    <row r="101" ht="35" customHeight="1">
      <c r="B101" s="35"/>
      <c r="C101" s="35"/>
      <c r="D101" s="37"/>
      <c r="E101" s="35"/>
      <c r="F101" s="38"/>
      <c r="G101" s="38"/>
      <c r="H101" s="38"/>
      <c r="I101" s="38"/>
      <c r="J101" s="38"/>
      <c r="K101" s="35"/>
      <c r="L101" s="35"/>
      <c r="M101" s="39">
        <f>IF(U101&lt;&gt;1,"",IF(P101="DIRECTA",G101,IF(ISNUMBER(G101),G101,1)*IF(ISNUMBER(H101),H101,1)*IF(ISNUMBER(I101),I101,1)*IF(ISNUMBER(J101),J101,1)))</f>
      </c>
      <c r="N101" s="30">
        <f>IF(COUNTA(B101:L101)=0,"",IF(X101=0,IF(P101="CABECERA","VERDE · Fila descriptiva; la suma usa las líneas del ID","VERDE · Datos numéricos interpretables"),IF(X101=2,"ROJO · ","ÁMBAR · ")&amp;IF(NOT(IF(ISNUMBER($E$6),AND($E$6&gt;=0,$E$6&lt;=6,$E$6=INT($E$6)),FALSE)),"Indicamos entre 0 y 6 decimales en E6. ","")&amp;IF(O101=0,"Falta un ID numérico. ","")&amp;IF(R101=0,"Faltan capítulo, código, unidad o total numérico del ID. ","")&amp;IF(T101&gt;0,"Los datos o el total del ID se contradicen. ","")&amp;IF(AND(P101&lt;&gt;"DIMENSIONES",P101&lt;&gt;"DIRECTA",P101&lt;&gt;"SIN LÍNEAS",P101&lt;&gt;"CABECERA"),"Tipo de fila no reconocido. ","")&amp;IF(AND(OR(P101="SIN LÍNEAS",P101="CABECERA"),COUNTA(G101:J101)&gt;0),"La fila dice que no mide, pero contiene medidas. ","")&amp;IF(AND(OR(P101="DIRECTA",P101="DIMENSIONES"),U101=0),"Línea incompleta o con medidas no numéricas. ","")&amp;IF(P101="SIN LÍNEAS","No constan medidas de esta fila. ","")&amp;IF(Y101&gt;0,"Parece m³: tres dimensiones bajo m². ","")&amp;IF(AND(AB101&lt;&gt;"",SUMPRODUCT(--('LÉEME'!$B$65:$B$86=AC101))&lt;&gt;1),"Revisamos el significado de la unidad. ","")&amp;IF(Z101&gt;0,"Más precisión que los decimales indicados: cotejamos el original. ","")&amp;IF(AA101&gt;0,"Revisamos dimensiones, cantidad directa, ceros o deducción. ","")))</f>
      </c>
      <c r="O101" s="0" t="n">
        <f>IF(ISNUMBER(K101),IF(AND(K101&gt;0,K101=INT(K101),K101&lt;=999999),K101,0),0)</f>
        <v>0</v>
      </c>
      <c r="P101" s="0">
        <f>IF(COUNTA(B101:L101)=0,"",IF(L101="",IF(COUNTA(G101:J101)&gt;0,"DIMENSIONES","SIN LÍNEAS"),UPPER(TRIM(L101))))</f>
      </c>
      <c r="Q101" s="0">
        <f>IF(AND(O101&gt;0,LEN(TRIM(B101&amp;""))&gt;0,LEN(TRIM(C101&amp;""))&gt;0,LEN(TRIM(E101&amp;""))&gt;0,ISNUMBER(F101)),O101,"")</f>
      </c>
      <c r="R101" s="0" t="n">
        <f>IF(O101=0,0,IF(COUNTIFS($Q$13:$Q$512,O101)&gt;0,MATCH(O101,$Q$13:$Q$512,0),0))</f>
        <v>0</v>
      </c>
      <c r="S101" s="0">
        <f>IF(AB101="","",IF(SUMPRODUCT(--('LÉEME'!$B$65:$B$86=AC101))=1,INDEX('LÉEME'!$C$65:$C$86,MATCH(AC101,'LÉEME'!$B$65:$B$86,0)),UPPER(TRIM(AB101))))</f>
      </c>
      <c r="T101" s="0" t="n">
        <f>IF(R101=0,0,IF(OR(AND(LEN(TRIM(B101&amp;""))&gt;0,UPPER(TRIM(B101&amp;""))&lt;&gt;UPPER(TRIM(INDEX($B$13:$B$512,R101)&amp;""))),AND(LEN(TRIM(C101&amp;""))&gt;0,UPPER(TRIM(C101&amp;""))&lt;&gt;UPPER(TRIM(INDEX($C$13:$C$512,R101)&amp;""))),AND(LEN(TRIM(E101&amp;""))&gt;0,S101&lt;&gt;INDEX($S$13:$S$512,R101)),AND(F101&lt;&gt;"",NOT(ISNUMBER(F101)))),1,IF(ISNUMBER(F101),IF(ABS(F101-INDEX($F$13:$F$512,R101))&gt;0.00000001,1,0),0)))</f>
        <v>0</v>
      </c>
      <c r="U101" s="0" t="n">
        <f>IF(P101="DIRECTA",IF(AND(ISNUMBER(G101),COUNTA(H101:J101)=0),1,0),IF(P101="DIMENSIONES",IF(AND(COUNT(G101:J101)&gt;0,COUNTA(G101:J101)=COUNT(G101:J101)),1,0),0))</f>
        <v>0</v>
      </c>
      <c r="V101" s="0" t="n">
        <f>IF(O101=0,0,IF(COUNTIFS($O$13:O101,O101)=1,1,0))</f>
        <v>0</v>
      </c>
      <c r="W101" s="0">
        <f>IF(V101=1,COUNTIFS($V$13:V101,1),"")</f>
      </c>
      <c r="X101" s="0">
        <f>IF(COUNTA(B101:L101)=0,"",IF(OR(NOT(IF(ISNUMBER($E$6),AND($E$6&gt;=0,$E$6&lt;=6,$E$6=INT($E$6)),FALSE)),O101=0,R101=0,T101&gt;0,AND(P101&lt;&gt;"DIMENSIONES",P101&lt;&gt;"DIRECTA",P101&lt;&gt;"SIN LÍNEAS",P101&lt;&gt;"CABECERA"),AND(OR(P101="DIRECTA",P101="DIMENSIONES"),U101=0),AND(OR(P101="SIN LÍNEAS",P101="CABECERA"),COUNTA(G101:J101)&gt;0)),2,IF(OR(P101="SIN LÍNEAS",Y101&gt;0,Z101&gt;0,AA101&gt;0,SUMPRODUCT(--('LÉEME'!$B$65:$B$86=AC101))&lt;&gt;1),1,0)))</f>
      </c>
      <c r="Y101" s="0" t="n">
        <f>IF(AND(P101="DIMENSIONES",S101="m²",COUNT(H101:J101)=3),1,0)</f>
        <v>0</v>
      </c>
      <c r="Z101" s="0" t="n">
        <f>IF(IF(ISNUMBER($E$6),AND($E$6&gt;=0,$E$6&lt;=6,$E$6=INT($E$6)),FALSE),IF(SUM(IF(ISNUMBER(F101),IF(ABS(F101-ROUND(F101,$E$6))&gt;0.00000001,1,0),0),IF(ISNUMBER(G101),IF(ABS(G101-ROUND(G101,$E$6))&gt;0.00000001,1,0),0),IF(ISNUMBER(H101),IF(ABS(H101-ROUND(H101,$E$6))&gt;0.00000001,1,0),0),IF(ISNUMBER(I101),IF(ABS(I101-ROUND(I101,$E$6))&gt;0.00000001,1,0),0),IF(ISNUMBER(J101),IF(ABS(J101-ROUND(J101,$E$6))&gt;0.00000001,1,0),0),IF(ISNUMBER(M101),IF(ABS(M101-ROUND(M101,$E$6))&gt;0.00000001,1,0),0))&gt;0,1,0),0)</f>
        <v>0</v>
      </c>
      <c r="AA101" s="0" t="n">
        <f>IF(COUNTA(B101:L101)=0,0,IF(OR(AND(ISNUMBER(F101),F101&lt;0),AND(U101=1,OR(SUM(IF(ISNUMBER(G101),IF(G101=0,1,0),0),IF(ISNUMBER(H101),IF(H101=0,1,0),0),IF(ISNUMBER(I101),IF(I101=0,1,0),0),IF(ISNUMBER(J101),IF(J101=0,1,0),0))&gt;0,COUNTIFS(G101:J101,"&lt;0")&gt;0)),AND(P101="DIMENSIONES",U101=1,OR(AND(S101="m",COUNT(H101:J101)&lt;&gt;1),AND(S101="m²",COUNT(H101:J101)&lt;&gt;2,Y101=0),AND(S101="m³",COUNT(H101:J101)&lt;&gt;3),AND(S101="ud",COUNT(H101:J101)&gt;0))),AND(P101="DIRECTA",OR(S101="m",S101="m²",S101="m³"))),1,0))</f>
        <v>0</v>
      </c>
      <c r="AB101" s="0">
        <f>IF(LEN(TRIM(E101&amp;""))&gt;0,E101,IF(R101&gt;0,INDEX($E$13:$E$512,R101),""))</f>
      </c>
      <c r="AC101" s="0">
        <f>UPPER(SUBSTITUTE(SUBSTITUTE(SUBSTITUTE(SUBSTITUTE(SUBSTITUTE(TRIM(AB101),"²","2"),"³","3"),"^",""),".","")," ",""))</f>
      </c>
    </row>
    <row r="102" ht="35" customHeight="1">
      <c r="B102" s="35"/>
      <c r="C102" s="35"/>
      <c r="D102" s="37"/>
      <c r="E102" s="35"/>
      <c r="F102" s="38"/>
      <c r="G102" s="38"/>
      <c r="H102" s="38"/>
      <c r="I102" s="38"/>
      <c r="J102" s="38"/>
      <c r="K102" s="35"/>
      <c r="L102" s="35"/>
      <c r="M102" s="39">
        <f>IF(U102&lt;&gt;1,"",IF(P102="DIRECTA",G102,IF(ISNUMBER(G102),G102,1)*IF(ISNUMBER(H102),H102,1)*IF(ISNUMBER(I102),I102,1)*IF(ISNUMBER(J102),J102,1)))</f>
      </c>
      <c r="N102" s="30">
        <f>IF(COUNTA(B102:L102)=0,"",IF(X102=0,IF(P102="CABECERA","VERDE · Fila descriptiva; la suma usa las líneas del ID","VERDE · Datos numéricos interpretables"),IF(X102=2,"ROJO · ","ÁMBAR · ")&amp;IF(NOT(IF(ISNUMBER($E$6),AND($E$6&gt;=0,$E$6&lt;=6,$E$6=INT($E$6)),FALSE)),"Indicamos entre 0 y 6 decimales en E6. ","")&amp;IF(O102=0,"Falta un ID numérico. ","")&amp;IF(R102=0,"Faltan capítulo, código, unidad o total numérico del ID. ","")&amp;IF(T102&gt;0,"Los datos o el total del ID se contradicen. ","")&amp;IF(AND(P102&lt;&gt;"DIMENSIONES",P102&lt;&gt;"DIRECTA",P102&lt;&gt;"SIN LÍNEAS",P102&lt;&gt;"CABECERA"),"Tipo de fila no reconocido. ","")&amp;IF(AND(OR(P102="SIN LÍNEAS",P102="CABECERA"),COUNTA(G102:J102)&gt;0),"La fila dice que no mide, pero contiene medidas. ","")&amp;IF(AND(OR(P102="DIRECTA",P102="DIMENSIONES"),U102=0),"Línea incompleta o con medidas no numéricas. ","")&amp;IF(P102="SIN LÍNEAS","No constan medidas de esta fila. ","")&amp;IF(Y102&gt;0,"Parece m³: tres dimensiones bajo m². ","")&amp;IF(AND(AB102&lt;&gt;"",SUMPRODUCT(--('LÉEME'!$B$65:$B$86=AC102))&lt;&gt;1),"Revisamos el significado de la unidad. ","")&amp;IF(Z102&gt;0,"Más precisión que los decimales indicados: cotejamos el original. ","")&amp;IF(AA102&gt;0,"Revisamos dimensiones, cantidad directa, ceros o deducción. ","")))</f>
      </c>
      <c r="O102" s="0" t="n">
        <f>IF(ISNUMBER(K102),IF(AND(K102&gt;0,K102=INT(K102),K102&lt;=999999),K102,0),0)</f>
        <v>0</v>
      </c>
      <c r="P102" s="0">
        <f>IF(COUNTA(B102:L102)=0,"",IF(L102="",IF(COUNTA(G102:J102)&gt;0,"DIMENSIONES","SIN LÍNEAS"),UPPER(TRIM(L102))))</f>
      </c>
      <c r="Q102" s="0">
        <f>IF(AND(O102&gt;0,LEN(TRIM(B102&amp;""))&gt;0,LEN(TRIM(C102&amp;""))&gt;0,LEN(TRIM(E102&amp;""))&gt;0,ISNUMBER(F102)),O102,"")</f>
      </c>
      <c r="R102" s="0" t="n">
        <f>IF(O102=0,0,IF(COUNTIFS($Q$13:$Q$512,O102)&gt;0,MATCH(O102,$Q$13:$Q$512,0),0))</f>
        <v>0</v>
      </c>
      <c r="S102" s="0">
        <f>IF(AB102="","",IF(SUMPRODUCT(--('LÉEME'!$B$65:$B$86=AC102))=1,INDEX('LÉEME'!$C$65:$C$86,MATCH(AC102,'LÉEME'!$B$65:$B$86,0)),UPPER(TRIM(AB102))))</f>
      </c>
      <c r="T102" s="0" t="n">
        <f>IF(R102=0,0,IF(OR(AND(LEN(TRIM(B102&amp;""))&gt;0,UPPER(TRIM(B102&amp;""))&lt;&gt;UPPER(TRIM(INDEX($B$13:$B$512,R102)&amp;""))),AND(LEN(TRIM(C102&amp;""))&gt;0,UPPER(TRIM(C102&amp;""))&lt;&gt;UPPER(TRIM(INDEX($C$13:$C$512,R102)&amp;""))),AND(LEN(TRIM(E102&amp;""))&gt;0,S102&lt;&gt;INDEX($S$13:$S$512,R102)),AND(F102&lt;&gt;"",NOT(ISNUMBER(F102)))),1,IF(ISNUMBER(F102),IF(ABS(F102-INDEX($F$13:$F$512,R102))&gt;0.00000001,1,0),0)))</f>
        <v>0</v>
      </c>
      <c r="U102" s="0" t="n">
        <f>IF(P102="DIRECTA",IF(AND(ISNUMBER(G102),COUNTA(H102:J102)=0),1,0),IF(P102="DIMENSIONES",IF(AND(COUNT(G102:J102)&gt;0,COUNTA(G102:J102)=COUNT(G102:J102)),1,0),0))</f>
        <v>0</v>
      </c>
      <c r="V102" s="0" t="n">
        <f>IF(O102=0,0,IF(COUNTIFS($O$13:O102,O102)=1,1,0))</f>
        <v>0</v>
      </c>
      <c r="W102" s="0">
        <f>IF(V102=1,COUNTIFS($V$13:V102,1),"")</f>
      </c>
      <c r="X102" s="0">
        <f>IF(COUNTA(B102:L102)=0,"",IF(OR(NOT(IF(ISNUMBER($E$6),AND($E$6&gt;=0,$E$6&lt;=6,$E$6=INT($E$6)),FALSE)),O102=0,R102=0,T102&gt;0,AND(P102&lt;&gt;"DIMENSIONES",P102&lt;&gt;"DIRECTA",P102&lt;&gt;"SIN LÍNEAS",P102&lt;&gt;"CABECERA"),AND(OR(P102="DIRECTA",P102="DIMENSIONES"),U102=0),AND(OR(P102="SIN LÍNEAS",P102="CABECERA"),COUNTA(G102:J102)&gt;0)),2,IF(OR(P102="SIN LÍNEAS",Y102&gt;0,Z102&gt;0,AA102&gt;0,SUMPRODUCT(--('LÉEME'!$B$65:$B$86=AC102))&lt;&gt;1),1,0)))</f>
      </c>
      <c r="Y102" s="0" t="n">
        <f>IF(AND(P102="DIMENSIONES",S102="m²",COUNT(H102:J102)=3),1,0)</f>
        <v>0</v>
      </c>
      <c r="Z102" s="0" t="n">
        <f>IF(IF(ISNUMBER($E$6),AND($E$6&gt;=0,$E$6&lt;=6,$E$6=INT($E$6)),FALSE),IF(SUM(IF(ISNUMBER(F102),IF(ABS(F102-ROUND(F102,$E$6))&gt;0.00000001,1,0),0),IF(ISNUMBER(G102),IF(ABS(G102-ROUND(G102,$E$6))&gt;0.00000001,1,0),0),IF(ISNUMBER(H102),IF(ABS(H102-ROUND(H102,$E$6))&gt;0.00000001,1,0),0),IF(ISNUMBER(I102),IF(ABS(I102-ROUND(I102,$E$6))&gt;0.00000001,1,0),0),IF(ISNUMBER(J102),IF(ABS(J102-ROUND(J102,$E$6))&gt;0.00000001,1,0),0),IF(ISNUMBER(M102),IF(ABS(M102-ROUND(M102,$E$6))&gt;0.00000001,1,0),0))&gt;0,1,0),0)</f>
        <v>0</v>
      </c>
      <c r="AA102" s="0" t="n">
        <f>IF(COUNTA(B102:L102)=0,0,IF(OR(AND(ISNUMBER(F102),F102&lt;0),AND(U102=1,OR(SUM(IF(ISNUMBER(G102),IF(G102=0,1,0),0),IF(ISNUMBER(H102),IF(H102=0,1,0),0),IF(ISNUMBER(I102),IF(I102=0,1,0),0),IF(ISNUMBER(J102),IF(J102=0,1,0),0))&gt;0,COUNTIFS(G102:J102,"&lt;0")&gt;0)),AND(P102="DIMENSIONES",U102=1,OR(AND(S102="m",COUNT(H102:J102)&lt;&gt;1),AND(S102="m²",COUNT(H102:J102)&lt;&gt;2,Y102=0),AND(S102="m³",COUNT(H102:J102)&lt;&gt;3),AND(S102="ud",COUNT(H102:J102)&gt;0))),AND(P102="DIRECTA",OR(S102="m",S102="m²",S102="m³"))),1,0))</f>
        <v>0</v>
      </c>
      <c r="AB102" s="0">
        <f>IF(LEN(TRIM(E102&amp;""))&gt;0,E102,IF(R102&gt;0,INDEX($E$13:$E$512,R102),""))</f>
      </c>
      <c r="AC102" s="0">
        <f>UPPER(SUBSTITUTE(SUBSTITUTE(SUBSTITUTE(SUBSTITUTE(SUBSTITUTE(TRIM(AB102),"²","2"),"³","3"),"^",""),".","")," ",""))</f>
      </c>
    </row>
    <row r="103" ht="35" customHeight="1">
      <c r="B103" s="35"/>
      <c r="C103" s="35"/>
      <c r="D103" s="37"/>
      <c r="E103" s="35"/>
      <c r="F103" s="38"/>
      <c r="G103" s="38"/>
      <c r="H103" s="38"/>
      <c r="I103" s="38"/>
      <c r="J103" s="38"/>
      <c r="K103" s="35"/>
      <c r="L103" s="35"/>
      <c r="M103" s="39">
        <f>IF(U103&lt;&gt;1,"",IF(P103="DIRECTA",G103,IF(ISNUMBER(G103),G103,1)*IF(ISNUMBER(H103),H103,1)*IF(ISNUMBER(I103),I103,1)*IF(ISNUMBER(J103),J103,1)))</f>
      </c>
      <c r="N103" s="30">
        <f>IF(COUNTA(B103:L103)=0,"",IF(X103=0,IF(P103="CABECERA","VERDE · Fila descriptiva; la suma usa las líneas del ID","VERDE · Datos numéricos interpretables"),IF(X103=2,"ROJO · ","ÁMBAR · ")&amp;IF(NOT(IF(ISNUMBER($E$6),AND($E$6&gt;=0,$E$6&lt;=6,$E$6=INT($E$6)),FALSE)),"Indicamos entre 0 y 6 decimales en E6. ","")&amp;IF(O103=0,"Falta un ID numérico. ","")&amp;IF(R103=0,"Faltan capítulo, código, unidad o total numérico del ID. ","")&amp;IF(T103&gt;0,"Los datos o el total del ID se contradicen. ","")&amp;IF(AND(P103&lt;&gt;"DIMENSIONES",P103&lt;&gt;"DIRECTA",P103&lt;&gt;"SIN LÍNEAS",P103&lt;&gt;"CABECERA"),"Tipo de fila no reconocido. ","")&amp;IF(AND(OR(P103="SIN LÍNEAS",P103="CABECERA"),COUNTA(G103:J103)&gt;0),"La fila dice que no mide, pero contiene medidas. ","")&amp;IF(AND(OR(P103="DIRECTA",P103="DIMENSIONES"),U103=0),"Línea incompleta o con medidas no numéricas. ","")&amp;IF(P103="SIN LÍNEAS","No constan medidas de esta fila. ","")&amp;IF(Y103&gt;0,"Parece m³: tres dimensiones bajo m². ","")&amp;IF(AND(AB103&lt;&gt;"",SUMPRODUCT(--('LÉEME'!$B$65:$B$86=AC103))&lt;&gt;1),"Revisamos el significado de la unidad. ","")&amp;IF(Z103&gt;0,"Más precisión que los decimales indicados: cotejamos el original. ","")&amp;IF(AA103&gt;0,"Revisamos dimensiones, cantidad directa, ceros o deducción. ","")))</f>
      </c>
      <c r="O103" s="0" t="n">
        <f>IF(ISNUMBER(K103),IF(AND(K103&gt;0,K103=INT(K103),K103&lt;=999999),K103,0),0)</f>
        <v>0</v>
      </c>
      <c r="P103" s="0">
        <f>IF(COUNTA(B103:L103)=0,"",IF(L103="",IF(COUNTA(G103:J103)&gt;0,"DIMENSIONES","SIN LÍNEAS"),UPPER(TRIM(L103))))</f>
      </c>
      <c r="Q103" s="0">
        <f>IF(AND(O103&gt;0,LEN(TRIM(B103&amp;""))&gt;0,LEN(TRIM(C103&amp;""))&gt;0,LEN(TRIM(E103&amp;""))&gt;0,ISNUMBER(F103)),O103,"")</f>
      </c>
      <c r="R103" s="0" t="n">
        <f>IF(O103=0,0,IF(COUNTIFS($Q$13:$Q$512,O103)&gt;0,MATCH(O103,$Q$13:$Q$512,0),0))</f>
        <v>0</v>
      </c>
      <c r="S103" s="0">
        <f>IF(AB103="","",IF(SUMPRODUCT(--('LÉEME'!$B$65:$B$86=AC103))=1,INDEX('LÉEME'!$C$65:$C$86,MATCH(AC103,'LÉEME'!$B$65:$B$86,0)),UPPER(TRIM(AB103))))</f>
      </c>
      <c r="T103" s="0" t="n">
        <f>IF(R103=0,0,IF(OR(AND(LEN(TRIM(B103&amp;""))&gt;0,UPPER(TRIM(B103&amp;""))&lt;&gt;UPPER(TRIM(INDEX($B$13:$B$512,R103)&amp;""))),AND(LEN(TRIM(C103&amp;""))&gt;0,UPPER(TRIM(C103&amp;""))&lt;&gt;UPPER(TRIM(INDEX($C$13:$C$512,R103)&amp;""))),AND(LEN(TRIM(E103&amp;""))&gt;0,S103&lt;&gt;INDEX($S$13:$S$512,R103)),AND(F103&lt;&gt;"",NOT(ISNUMBER(F103)))),1,IF(ISNUMBER(F103),IF(ABS(F103-INDEX($F$13:$F$512,R103))&gt;0.00000001,1,0),0)))</f>
        <v>0</v>
      </c>
      <c r="U103" s="0" t="n">
        <f>IF(P103="DIRECTA",IF(AND(ISNUMBER(G103),COUNTA(H103:J103)=0),1,0),IF(P103="DIMENSIONES",IF(AND(COUNT(G103:J103)&gt;0,COUNTA(G103:J103)=COUNT(G103:J103)),1,0),0))</f>
        <v>0</v>
      </c>
      <c r="V103" s="0" t="n">
        <f>IF(O103=0,0,IF(COUNTIFS($O$13:O103,O103)=1,1,0))</f>
        <v>0</v>
      </c>
      <c r="W103" s="0">
        <f>IF(V103=1,COUNTIFS($V$13:V103,1),"")</f>
      </c>
      <c r="X103" s="0">
        <f>IF(COUNTA(B103:L103)=0,"",IF(OR(NOT(IF(ISNUMBER($E$6),AND($E$6&gt;=0,$E$6&lt;=6,$E$6=INT($E$6)),FALSE)),O103=0,R103=0,T103&gt;0,AND(P103&lt;&gt;"DIMENSIONES",P103&lt;&gt;"DIRECTA",P103&lt;&gt;"SIN LÍNEAS",P103&lt;&gt;"CABECERA"),AND(OR(P103="DIRECTA",P103="DIMENSIONES"),U103=0),AND(OR(P103="SIN LÍNEAS",P103="CABECERA"),COUNTA(G103:J103)&gt;0)),2,IF(OR(P103="SIN LÍNEAS",Y103&gt;0,Z103&gt;0,AA103&gt;0,SUMPRODUCT(--('LÉEME'!$B$65:$B$86=AC103))&lt;&gt;1),1,0)))</f>
      </c>
      <c r="Y103" s="0" t="n">
        <f>IF(AND(P103="DIMENSIONES",S103="m²",COUNT(H103:J103)=3),1,0)</f>
        <v>0</v>
      </c>
      <c r="Z103" s="0" t="n">
        <f>IF(IF(ISNUMBER($E$6),AND($E$6&gt;=0,$E$6&lt;=6,$E$6=INT($E$6)),FALSE),IF(SUM(IF(ISNUMBER(F103),IF(ABS(F103-ROUND(F103,$E$6))&gt;0.00000001,1,0),0),IF(ISNUMBER(G103),IF(ABS(G103-ROUND(G103,$E$6))&gt;0.00000001,1,0),0),IF(ISNUMBER(H103),IF(ABS(H103-ROUND(H103,$E$6))&gt;0.00000001,1,0),0),IF(ISNUMBER(I103),IF(ABS(I103-ROUND(I103,$E$6))&gt;0.00000001,1,0),0),IF(ISNUMBER(J103),IF(ABS(J103-ROUND(J103,$E$6))&gt;0.00000001,1,0),0),IF(ISNUMBER(M103),IF(ABS(M103-ROUND(M103,$E$6))&gt;0.00000001,1,0),0))&gt;0,1,0),0)</f>
        <v>0</v>
      </c>
      <c r="AA103" s="0" t="n">
        <f>IF(COUNTA(B103:L103)=0,0,IF(OR(AND(ISNUMBER(F103),F103&lt;0),AND(U103=1,OR(SUM(IF(ISNUMBER(G103),IF(G103=0,1,0),0),IF(ISNUMBER(H103),IF(H103=0,1,0),0),IF(ISNUMBER(I103),IF(I103=0,1,0),0),IF(ISNUMBER(J103),IF(J103=0,1,0),0))&gt;0,COUNTIFS(G103:J103,"&lt;0")&gt;0)),AND(P103="DIMENSIONES",U103=1,OR(AND(S103="m",COUNT(H103:J103)&lt;&gt;1),AND(S103="m²",COUNT(H103:J103)&lt;&gt;2,Y103=0),AND(S103="m³",COUNT(H103:J103)&lt;&gt;3),AND(S103="ud",COUNT(H103:J103)&gt;0))),AND(P103="DIRECTA",OR(S103="m",S103="m²",S103="m³"))),1,0))</f>
        <v>0</v>
      </c>
      <c r="AB103" s="0">
        <f>IF(LEN(TRIM(E103&amp;""))&gt;0,E103,IF(R103&gt;0,INDEX($E$13:$E$512,R103),""))</f>
      </c>
      <c r="AC103" s="0">
        <f>UPPER(SUBSTITUTE(SUBSTITUTE(SUBSTITUTE(SUBSTITUTE(SUBSTITUTE(TRIM(AB103),"²","2"),"³","3"),"^",""),".","")," ",""))</f>
      </c>
    </row>
    <row r="104" ht="35" customHeight="1">
      <c r="B104" s="35"/>
      <c r="C104" s="35"/>
      <c r="D104" s="37"/>
      <c r="E104" s="35"/>
      <c r="F104" s="38"/>
      <c r="G104" s="38"/>
      <c r="H104" s="38"/>
      <c r="I104" s="38"/>
      <c r="J104" s="38"/>
      <c r="K104" s="35"/>
      <c r="L104" s="35"/>
      <c r="M104" s="39">
        <f>IF(U104&lt;&gt;1,"",IF(P104="DIRECTA",G104,IF(ISNUMBER(G104),G104,1)*IF(ISNUMBER(H104),H104,1)*IF(ISNUMBER(I104),I104,1)*IF(ISNUMBER(J104),J104,1)))</f>
      </c>
      <c r="N104" s="30">
        <f>IF(COUNTA(B104:L104)=0,"",IF(X104=0,IF(P104="CABECERA","VERDE · Fila descriptiva; la suma usa las líneas del ID","VERDE · Datos numéricos interpretables"),IF(X104=2,"ROJO · ","ÁMBAR · ")&amp;IF(NOT(IF(ISNUMBER($E$6),AND($E$6&gt;=0,$E$6&lt;=6,$E$6=INT($E$6)),FALSE)),"Indicamos entre 0 y 6 decimales en E6. ","")&amp;IF(O104=0,"Falta un ID numérico. ","")&amp;IF(R104=0,"Faltan capítulo, código, unidad o total numérico del ID. ","")&amp;IF(T104&gt;0,"Los datos o el total del ID se contradicen. ","")&amp;IF(AND(P104&lt;&gt;"DIMENSIONES",P104&lt;&gt;"DIRECTA",P104&lt;&gt;"SIN LÍNEAS",P104&lt;&gt;"CABECERA"),"Tipo de fila no reconocido. ","")&amp;IF(AND(OR(P104="SIN LÍNEAS",P104="CABECERA"),COUNTA(G104:J104)&gt;0),"La fila dice que no mide, pero contiene medidas. ","")&amp;IF(AND(OR(P104="DIRECTA",P104="DIMENSIONES"),U104=0),"Línea incompleta o con medidas no numéricas. ","")&amp;IF(P104="SIN LÍNEAS","No constan medidas de esta fila. ","")&amp;IF(Y104&gt;0,"Parece m³: tres dimensiones bajo m². ","")&amp;IF(AND(AB104&lt;&gt;"",SUMPRODUCT(--('LÉEME'!$B$65:$B$86=AC104))&lt;&gt;1),"Revisamos el significado de la unidad. ","")&amp;IF(Z104&gt;0,"Más precisión que los decimales indicados: cotejamos el original. ","")&amp;IF(AA104&gt;0,"Revisamos dimensiones, cantidad directa, ceros o deducción. ","")))</f>
      </c>
      <c r="O104" s="0" t="n">
        <f>IF(ISNUMBER(K104),IF(AND(K104&gt;0,K104=INT(K104),K104&lt;=999999),K104,0),0)</f>
        <v>0</v>
      </c>
      <c r="P104" s="0">
        <f>IF(COUNTA(B104:L104)=0,"",IF(L104="",IF(COUNTA(G104:J104)&gt;0,"DIMENSIONES","SIN LÍNEAS"),UPPER(TRIM(L104))))</f>
      </c>
      <c r="Q104" s="0">
        <f>IF(AND(O104&gt;0,LEN(TRIM(B104&amp;""))&gt;0,LEN(TRIM(C104&amp;""))&gt;0,LEN(TRIM(E104&amp;""))&gt;0,ISNUMBER(F104)),O104,"")</f>
      </c>
      <c r="R104" s="0" t="n">
        <f>IF(O104=0,0,IF(COUNTIFS($Q$13:$Q$512,O104)&gt;0,MATCH(O104,$Q$13:$Q$512,0),0))</f>
        <v>0</v>
      </c>
      <c r="S104" s="0">
        <f>IF(AB104="","",IF(SUMPRODUCT(--('LÉEME'!$B$65:$B$86=AC104))=1,INDEX('LÉEME'!$C$65:$C$86,MATCH(AC104,'LÉEME'!$B$65:$B$86,0)),UPPER(TRIM(AB104))))</f>
      </c>
      <c r="T104" s="0" t="n">
        <f>IF(R104=0,0,IF(OR(AND(LEN(TRIM(B104&amp;""))&gt;0,UPPER(TRIM(B104&amp;""))&lt;&gt;UPPER(TRIM(INDEX($B$13:$B$512,R104)&amp;""))),AND(LEN(TRIM(C104&amp;""))&gt;0,UPPER(TRIM(C104&amp;""))&lt;&gt;UPPER(TRIM(INDEX($C$13:$C$512,R104)&amp;""))),AND(LEN(TRIM(E104&amp;""))&gt;0,S104&lt;&gt;INDEX($S$13:$S$512,R104)),AND(F104&lt;&gt;"",NOT(ISNUMBER(F104)))),1,IF(ISNUMBER(F104),IF(ABS(F104-INDEX($F$13:$F$512,R104))&gt;0.00000001,1,0),0)))</f>
        <v>0</v>
      </c>
      <c r="U104" s="0" t="n">
        <f>IF(P104="DIRECTA",IF(AND(ISNUMBER(G104),COUNTA(H104:J104)=0),1,0),IF(P104="DIMENSIONES",IF(AND(COUNT(G104:J104)&gt;0,COUNTA(G104:J104)=COUNT(G104:J104)),1,0),0))</f>
        <v>0</v>
      </c>
      <c r="V104" s="0" t="n">
        <f>IF(O104=0,0,IF(COUNTIFS($O$13:O104,O104)=1,1,0))</f>
        <v>0</v>
      </c>
      <c r="W104" s="0">
        <f>IF(V104=1,COUNTIFS($V$13:V104,1),"")</f>
      </c>
      <c r="X104" s="0">
        <f>IF(COUNTA(B104:L104)=0,"",IF(OR(NOT(IF(ISNUMBER($E$6),AND($E$6&gt;=0,$E$6&lt;=6,$E$6=INT($E$6)),FALSE)),O104=0,R104=0,T104&gt;0,AND(P104&lt;&gt;"DIMENSIONES",P104&lt;&gt;"DIRECTA",P104&lt;&gt;"SIN LÍNEAS",P104&lt;&gt;"CABECERA"),AND(OR(P104="DIRECTA",P104="DIMENSIONES"),U104=0),AND(OR(P104="SIN LÍNEAS",P104="CABECERA"),COUNTA(G104:J104)&gt;0)),2,IF(OR(P104="SIN LÍNEAS",Y104&gt;0,Z104&gt;0,AA104&gt;0,SUMPRODUCT(--('LÉEME'!$B$65:$B$86=AC104))&lt;&gt;1),1,0)))</f>
      </c>
      <c r="Y104" s="0" t="n">
        <f>IF(AND(P104="DIMENSIONES",S104="m²",COUNT(H104:J104)=3),1,0)</f>
        <v>0</v>
      </c>
      <c r="Z104" s="0" t="n">
        <f>IF(IF(ISNUMBER($E$6),AND($E$6&gt;=0,$E$6&lt;=6,$E$6=INT($E$6)),FALSE),IF(SUM(IF(ISNUMBER(F104),IF(ABS(F104-ROUND(F104,$E$6))&gt;0.00000001,1,0),0),IF(ISNUMBER(G104),IF(ABS(G104-ROUND(G104,$E$6))&gt;0.00000001,1,0),0),IF(ISNUMBER(H104),IF(ABS(H104-ROUND(H104,$E$6))&gt;0.00000001,1,0),0),IF(ISNUMBER(I104),IF(ABS(I104-ROUND(I104,$E$6))&gt;0.00000001,1,0),0),IF(ISNUMBER(J104),IF(ABS(J104-ROUND(J104,$E$6))&gt;0.00000001,1,0),0),IF(ISNUMBER(M104),IF(ABS(M104-ROUND(M104,$E$6))&gt;0.00000001,1,0),0))&gt;0,1,0),0)</f>
        <v>0</v>
      </c>
      <c r="AA104" s="0" t="n">
        <f>IF(COUNTA(B104:L104)=0,0,IF(OR(AND(ISNUMBER(F104),F104&lt;0),AND(U104=1,OR(SUM(IF(ISNUMBER(G104),IF(G104=0,1,0),0),IF(ISNUMBER(H104),IF(H104=0,1,0),0),IF(ISNUMBER(I104),IF(I104=0,1,0),0),IF(ISNUMBER(J104),IF(J104=0,1,0),0))&gt;0,COUNTIFS(G104:J104,"&lt;0")&gt;0)),AND(P104="DIMENSIONES",U104=1,OR(AND(S104="m",COUNT(H104:J104)&lt;&gt;1),AND(S104="m²",COUNT(H104:J104)&lt;&gt;2,Y104=0),AND(S104="m³",COUNT(H104:J104)&lt;&gt;3),AND(S104="ud",COUNT(H104:J104)&gt;0))),AND(P104="DIRECTA",OR(S104="m",S104="m²",S104="m³"))),1,0))</f>
        <v>0</v>
      </c>
      <c r="AB104" s="0">
        <f>IF(LEN(TRIM(E104&amp;""))&gt;0,E104,IF(R104&gt;0,INDEX($E$13:$E$512,R104),""))</f>
      </c>
      <c r="AC104" s="0">
        <f>UPPER(SUBSTITUTE(SUBSTITUTE(SUBSTITUTE(SUBSTITUTE(SUBSTITUTE(TRIM(AB104),"²","2"),"³","3"),"^",""),".","")," ",""))</f>
      </c>
    </row>
    <row r="105" ht="35" customHeight="1">
      <c r="B105" s="35"/>
      <c r="C105" s="35"/>
      <c r="D105" s="37"/>
      <c r="E105" s="35"/>
      <c r="F105" s="38"/>
      <c r="G105" s="38"/>
      <c r="H105" s="38"/>
      <c r="I105" s="38"/>
      <c r="J105" s="38"/>
      <c r="K105" s="35"/>
      <c r="L105" s="35"/>
      <c r="M105" s="39">
        <f>IF(U105&lt;&gt;1,"",IF(P105="DIRECTA",G105,IF(ISNUMBER(G105),G105,1)*IF(ISNUMBER(H105),H105,1)*IF(ISNUMBER(I105),I105,1)*IF(ISNUMBER(J105),J105,1)))</f>
      </c>
      <c r="N105" s="30">
        <f>IF(COUNTA(B105:L105)=0,"",IF(X105=0,IF(P105="CABECERA","VERDE · Fila descriptiva; la suma usa las líneas del ID","VERDE · Datos numéricos interpretables"),IF(X105=2,"ROJO · ","ÁMBAR · ")&amp;IF(NOT(IF(ISNUMBER($E$6),AND($E$6&gt;=0,$E$6&lt;=6,$E$6=INT($E$6)),FALSE)),"Indicamos entre 0 y 6 decimales en E6. ","")&amp;IF(O105=0,"Falta un ID numérico. ","")&amp;IF(R105=0,"Faltan capítulo, código, unidad o total numérico del ID. ","")&amp;IF(T105&gt;0,"Los datos o el total del ID se contradicen. ","")&amp;IF(AND(P105&lt;&gt;"DIMENSIONES",P105&lt;&gt;"DIRECTA",P105&lt;&gt;"SIN LÍNEAS",P105&lt;&gt;"CABECERA"),"Tipo de fila no reconocido. ","")&amp;IF(AND(OR(P105="SIN LÍNEAS",P105="CABECERA"),COUNTA(G105:J105)&gt;0),"La fila dice que no mide, pero contiene medidas. ","")&amp;IF(AND(OR(P105="DIRECTA",P105="DIMENSIONES"),U105=0),"Línea incompleta o con medidas no numéricas. ","")&amp;IF(P105="SIN LÍNEAS","No constan medidas de esta fila. ","")&amp;IF(Y105&gt;0,"Parece m³: tres dimensiones bajo m². ","")&amp;IF(AND(AB105&lt;&gt;"",SUMPRODUCT(--('LÉEME'!$B$65:$B$86=AC105))&lt;&gt;1),"Revisamos el significado de la unidad. ","")&amp;IF(Z105&gt;0,"Más precisión que los decimales indicados: cotejamos el original. ","")&amp;IF(AA105&gt;0,"Revisamos dimensiones, cantidad directa, ceros o deducción. ","")))</f>
      </c>
      <c r="O105" s="0" t="n">
        <f>IF(ISNUMBER(K105),IF(AND(K105&gt;0,K105=INT(K105),K105&lt;=999999),K105,0),0)</f>
        <v>0</v>
      </c>
      <c r="P105" s="0">
        <f>IF(COUNTA(B105:L105)=0,"",IF(L105="",IF(COUNTA(G105:J105)&gt;0,"DIMENSIONES","SIN LÍNEAS"),UPPER(TRIM(L105))))</f>
      </c>
      <c r="Q105" s="0">
        <f>IF(AND(O105&gt;0,LEN(TRIM(B105&amp;""))&gt;0,LEN(TRIM(C105&amp;""))&gt;0,LEN(TRIM(E105&amp;""))&gt;0,ISNUMBER(F105)),O105,"")</f>
      </c>
      <c r="R105" s="0" t="n">
        <f>IF(O105=0,0,IF(COUNTIFS($Q$13:$Q$512,O105)&gt;0,MATCH(O105,$Q$13:$Q$512,0),0))</f>
        <v>0</v>
      </c>
      <c r="S105" s="0">
        <f>IF(AB105="","",IF(SUMPRODUCT(--('LÉEME'!$B$65:$B$86=AC105))=1,INDEX('LÉEME'!$C$65:$C$86,MATCH(AC105,'LÉEME'!$B$65:$B$86,0)),UPPER(TRIM(AB105))))</f>
      </c>
      <c r="T105" s="0" t="n">
        <f>IF(R105=0,0,IF(OR(AND(LEN(TRIM(B105&amp;""))&gt;0,UPPER(TRIM(B105&amp;""))&lt;&gt;UPPER(TRIM(INDEX($B$13:$B$512,R105)&amp;""))),AND(LEN(TRIM(C105&amp;""))&gt;0,UPPER(TRIM(C105&amp;""))&lt;&gt;UPPER(TRIM(INDEX($C$13:$C$512,R105)&amp;""))),AND(LEN(TRIM(E105&amp;""))&gt;0,S105&lt;&gt;INDEX($S$13:$S$512,R105)),AND(F105&lt;&gt;"",NOT(ISNUMBER(F105)))),1,IF(ISNUMBER(F105),IF(ABS(F105-INDEX($F$13:$F$512,R105))&gt;0.00000001,1,0),0)))</f>
        <v>0</v>
      </c>
      <c r="U105" s="0" t="n">
        <f>IF(P105="DIRECTA",IF(AND(ISNUMBER(G105),COUNTA(H105:J105)=0),1,0),IF(P105="DIMENSIONES",IF(AND(COUNT(G105:J105)&gt;0,COUNTA(G105:J105)=COUNT(G105:J105)),1,0),0))</f>
        <v>0</v>
      </c>
      <c r="V105" s="0" t="n">
        <f>IF(O105=0,0,IF(COUNTIFS($O$13:O105,O105)=1,1,0))</f>
        <v>0</v>
      </c>
      <c r="W105" s="0">
        <f>IF(V105=1,COUNTIFS($V$13:V105,1),"")</f>
      </c>
      <c r="X105" s="0">
        <f>IF(COUNTA(B105:L105)=0,"",IF(OR(NOT(IF(ISNUMBER($E$6),AND($E$6&gt;=0,$E$6&lt;=6,$E$6=INT($E$6)),FALSE)),O105=0,R105=0,T105&gt;0,AND(P105&lt;&gt;"DIMENSIONES",P105&lt;&gt;"DIRECTA",P105&lt;&gt;"SIN LÍNEAS",P105&lt;&gt;"CABECERA"),AND(OR(P105="DIRECTA",P105="DIMENSIONES"),U105=0),AND(OR(P105="SIN LÍNEAS",P105="CABECERA"),COUNTA(G105:J105)&gt;0)),2,IF(OR(P105="SIN LÍNEAS",Y105&gt;0,Z105&gt;0,AA105&gt;0,SUMPRODUCT(--('LÉEME'!$B$65:$B$86=AC105))&lt;&gt;1),1,0)))</f>
      </c>
      <c r="Y105" s="0" t="n">
        <f>IF(AND(P105="DIMENSIONES",S105="m²",COUNT(H105:J105)=3),1,0)</f>
        <v>0</v>
      </c>
      <c r="Z105" s="0" t="n">
        <f>IF(IF(ISNUMBER($E$6),AND($E$6&gt;=0,$E$6&lt;=6,$E$6=INT($E$6)),FALSE),IF(SUM(IF(ISNUMBER(F105),IF(ABS(F105-ROUND(F105,$E$6))&gt;0.00000001,1,0),0),IF(ISNUMBER(G105),IF(ABS(G105-ROUND(G105,$E$6))&gt;0.00000001,1,0),0),IF(ISNUMBER(H105),IF(ABS(H105-ROUND(H105,$E$6))&gt;0.00000001,1,0),0),IF(ISNUMBER(I105),IF(ABS(I105-ROUND(I105,$E$6))&gt;0.00000001,1,0),0),IF(ISNUMBER(J105),IF(ABS(J105-ROUND(J105,$E$6))&gt;0.00000001,1,0),0),IF(ISNUMBER(M105),IF(ABS(M105-ROUND(M105,$E$6))&gt;0.00000001,1,0),0))&gt;0,1,0),0)</f>
        <v>0</v>
      </c>
      <c r="AA105" s="0" t="n">
        <f>IF(COUNTA(B105:L105)=0,0,IF(OR(AND(ISNUMBER(F105),F105&lt;0),AND(U105=1,OR(SUM(IF(ISNUMBER(G105),IF(G105=0,1,0),0),IF(ISNUMBER(H105),IF(H105=0,1,0),0),IF(ISNUMBER(I105),IF(I105=0,1,0),0),IF(ISNUMBER(J105),IF(J105=0,1,0),0))&gt;0,COUNTIFS(G105:J105,"&lt;0")&gt;0)),AND(P105="DIMENSIONES",U105=1,OR(AND(S105="m",COUNT(H105:J105)&lt;&gt;1),AND(S105="m²",COUNT(H105:J105)&lt;&gt;2,Y105=0),AND(S105="m³",COUNT(H105:J105)&lt;&gt;3),AND(S105="ud",COUNT(H105:J105)&gt;0))),AND(P105="DIRECTA",OR(S105="m",S105="m²",S105="m³"))),1,0))</f>
        <v>0</v>
      </c>
      <c r="AB105" s="0">
        <f>IF(LEN(TRIM(E105&amp;""))&gt;0,E105,IF(R105&gt;0,INDEX($E$13:$E$512,R105),""))</f>
      </c>
      <c r="AC105" s="0">
        <f>UPPER(SUBSTITUTE(SUBSTITUTE(SUBSTITUTE(SUBSTITUTE(SUBSTITUTE(TRIM(AB105),"²","2"),"³","3"),"^",""),".","")," ",""))</f>
      </c>
    </row>
    <row r="106" ht="35" customHeight="1">
      <c r="B106" s="35"/>
      <c r="C106" s="35"/>
      <c r="D106" s="37"/>
      <c r="E106" s="35"/>
      <c r="F106" s="38"/>
      <c r="G106" s="38"/>
      <c r="H106" s="38"/>
      <c r="I106" s="38"/>
      <c r="J106" s="38"/>
      <c r="K106" s="35"/>
      <c r="L106" s="35"/>
      <c r="M106" s="39">
        <f>IF(U106&lt;&gt;1,"",IF(P106="DIRECTA",G106,IF(ISNUMBER(G106),G106,1)*IF(ISNUMBER(H106),H106,1)*IF(ISNUMBER(I106),I106,1)*IF(ISNUMBER(J106),J106,1)))</f>
      </c>
      <c r="N106" s="30">
        <f>IF(COUNTA(B106:L106)=0,"",IF(X106=0,IF(P106="CABECERA","VERDE · Fila descriptiva; la suma usa las líneas del ID","VERDE · Datos numéricos interpretables"),IF(X106=2,"ROJO · ","ÁMBAR · ")&amp;IF(NOT(IF(ISNUMBER($E$6),AND($E$6&gt;=0,$E$6&lt;=6,$E$6=INT($E$6)),FALSE)),"Indicamos entre 0 y 6 decimales en E6. ","")&amp;IF(O106=0,"Falta un ID numérico. ","")&amp;IF(R106=0,"Faltan capítulo, código, unidad o total numérico del ID. ","")&amp;IF(T106&gt;0,"Los datos o el total del ID se contradicen. ","")&amp;IF(AND(P106&lt;&gt;"DIMENSIONES",P106&lt;&gt;"DIRECTA",P106&lt;&gt;"SIN LÍNEAS",P106&lt;&gt;"CABECERA"),"Tipo de fila no reconocido. ","")&amp;IF(AND(OR(P106="SIN LÍNEAS",P106="CABECERA"),COUNTA(G106:J106)&gt;0),"La fila dice que no mide, pero contiene medidas. ","")&amp;IF(AND(OR(P106="DIRECTA",P106="DIMENSIONES"),U106=0),"Línea incompleta o con medidas no numéricas. ","")&amp;IF(P106="SIN LÍNEAS","No constan medidas de esta fila. ","")&amp;IF(Y106&gt;0,"Parece m³: tres dimensiones bajo m². ","")&amp;IF(AND(AB106&lt;&gt;"",SUMPRODUCT(--('LÉEME'!$B$65:$B$86=AC106))&lt;&gt;1),"Revisamos el significado de la unidad. ","")&amp;IF(Z106&gt;0,"Más precisión que los decimales indicados: cotejamos el original. ","")&amp;IF(AA106&gt;0,"Revisamos dimensiones, cantidad directa, ceros o deducción. ","")))</f>
      </c>
      <c r="O106" s="0" t="n">
        <f>IF(ISNUMBER(K106),IF(AND(K106&gt;0,K106=INT(K106),K106&lt;=999999),K106,0),0)</f>
        <v>0</v>
      </c>
      <c r="P106" s="0">
        <f>IF(COUNTA(B106:L106)=0,"",IF(L106="",IF(COUNTA(G106:J106)&gt;0,"DIMENSIONES","SIN LÍNEAS"),UPPER(TRIM(L106))))</f>
      </c>
      <c r="Q106" s="0">
        <f>IF(AND(O106&gt;0,LEN(TRIM(B106&amp;""))&gt;0,LEN(TRIM(C106&amp;""))&gt;0,LEN(TRIM(E106&amp;""))&gt;0,ISNUMBER(F106)),O106,"")</f>
      </c>
      <c r="R106" s="0" t="n">
        <f>IF(O106=0,0,IF(COUNTIFS($Q$13:$Q$512,O106)&gt;0,MATCH(O106,$Q$13:$Q$512,0),0))</f>
        <v>0</v>
      </c>
      <c r="S106" s="0">
        <f>IF(AB106="","",IF(SUMPRODUCT(--('LÉEME'!$B$65:$B$86=AC106))=1,INDEX('LÉEME'!$C$65:$C$86,MATCH(AC106,'LÉEME'!$B$65:$B$86,0)),UPPER(TRIM(AB106))))</f>
      </c>
      <c r="T106" s="0" t="n">
        <f>IF(R106=0,0,IF(OR(AND(LEN(TRIM(B106&amp;""))&gt;0,UPPER(TRIM(B106&amp;""))&lt;&gt;UPPER(TRIM(INDEX($B$13:$B$512,R106)&amp;""))),AND(LEN(TRIM(C106&amp;""))&gt;0,UPPER(TRIM(C106&amp;""))&lt;&gt;UPPER(TRIM(INDEX($C$13:$C$512,R106)&amp;""))),AND(LEN(TRIM(E106&amp;""))&gt;0,S106&lt;&gt;INDEX($S$13:$S$512,R106)),AND(F106&lt;&gt;"",NOT(ISNUMBER(F106)))),1,IF(ISNUMBER(F106),IF(ABS(F106-INDEX($F$13:$F$512,R106))&gt;0.00000001,1,0),0)))</f>
        <v>0</v>
      </c>
      <c r="U106" s="0" t="n">
        <f>IF(P106="DIRECTA",IF(AND(ISNUMBER(G106),COUNTA(H106:J106)=0),1,0),IF(P106="DIMENSIONES",IF(AND(COUNT(G106:J106)&gt;0,COUNTA(G106:J106)=COUNT(G106:J106)),1,0),0))</f>
        <v>0</v>
      </c>
      <c r="V106" s="0" t="n">
        <f>IF(O106=0,0,IF(COUNTIFS($O$13:O106,O106)=1,1,0))</f>
        <v>0</v>
      </c>
      <c r="W106" s="0">
        <f>IF(V106=1,COUNTIFS($V$13:V106,1),"")</f>
      </c>
      <c r="X106" s="0">
        <f>IF(COUNTA(B106:L106)=0,"",IF(OR(NOT(IF(ISNUMBER($E$6),AND($E$6&gt;=0,$E$6&lt;=6,$E$6=INT($E$6)),FALSE)),O106=0,R106=0,T106&gt;0,AND(P106&lt;&gt;"DIMENSIONES",P106&lt;&gt;"DIRECTA",P106&lt;&gt;"SIN LÍNEAS",P106&lt;&gt;"CABECERA"),AND(OR(P106="DIRECTA",P106="DIMENSIONES"),U106=0),AND(OR(P106="SIN LÍNEAS",P106="CABECERA"),COUNTA(G106:J106)&gt;0)),2,IF(OR(P106="SIN LÍNEAS",Y106&gt;0,Z106&gt;0,AA106&gt;0,SUMPRODUCT(--('LÉEME'!$B$65:$B$86=AC106))&lt;&gt;1),1,0)))</f>
      </c>
      <c r="Y106" s="0" t="n">
        <f>IF(AND(P106="DIMENSIONES",S106="m²",COUNT(H106:J106)=3),1,0)</f>
        <v>0</v>
      </c>
      <c r="Z106" s="0" t="n">
        <f>IF(IF(ISNUMBER($E$6),AND($E$6&gt;=0,$E$6&lt;=6,$E$6=INT($E$6)),FALSE),IF(SUM(IF(ISNUMBER(F106),IF(ABS(F106-ROUND(F106,$E$6))&gt;0.00000001,1,0),0),IF(ISNUMBER(G106),IF(ABS(G106-ROUND(G106,$E$6))&gt;0.00000001,1,0),0),IF(ISNUMBER(H106),IF(ABS(H106-ROUND(H106,$E$6))&gt;0.00000001,1,0),0),IF(ISNUMBER(I106),IF(ABS(I106-ROUND(I106,$E$6))&gt;0.00000001,1,0),0),IF(ISNUMBER(J106),IF(ABS(J106-ROUND(J106,$E$6))&gt;0.00000001,1,0),0),IF(ISNUMBER(M106),IF(ABS(M106-ROUND(M106,$E$6))&gt;0.00000001,1,0),0))&gt;0,1,0),0)</f>
        <v>0</v>
      </c>
      <c r="AA106" s="0" t="n">
        <f>IF(COUNTA(B106:L106)=0,0,IF(OR(AND(ISNUMBER(F106),F106&lt;0),AND(U106=1,OR(SUM(IF(ISNUMBER(G106),IF(G106=0,1,0),0),IF(ISNUMBER(H106),IF(H106=0,1,0),0),IF(ISNUMBER(I106),IF(I106=0,1,0),0),IF(ISNUMBER(J106),IF(J106=0,1,0),0))&gt;0,COUNTIFS(G106:J106,"&lt;0")&gt;0)),AND(P106="DIMENSIONES",U106=1,OR(AND(S106="m",COUNT(H106:J106)&lt;&gt;1),AND(S106="m²",COUNT(H106:J106)&lt;&gt;2,Y106=0),AND(S106="m³",COUNT(H106:J106)&lt;&gt;3),AND(S106="ud",COUNT(H106:J106)&gt;0))),AND(P106="DIRECTA",OR(S106="m",S106="m²",S106="m³"))),1,0))</f>
        <v>0</v>
      </c>
      <c r="AB106" s="0">
        <f>IF(LEN(TRIM(E106&amp;""))&gt;0,E106,IF(R106&gt;0,INDEX($E$13:$E$512,R106),""))</f>
      </c>
      <c r="AC106" s="0">
        <f>UPPER(SUBSTITUTE(SUBSTITUTE(SUBSTITUTE(SUBSTITUTE(SUBSTITUTE(TRIM(AB106),"²","2"),"³","3"),"^",""),".","")," ",""))</f>
      </c>
    </row>
    <row r="107" ht="35" customHeight="1">
      <c r="B107" s="35"/>
      <c r="C107" s="35"/>
      <c r="D107" s="37"/>
      <c r="E107" s="35"/>
      <c r="F107" s="38"/>
      <c r="G107" s="38"/>
      <c r="H107" s="38"/>
      <c r="I107" s="38"/>
      <c r="J107" s="38"/>
      <c r="K107" s="35"/>
      <c r="L107" s="35"/>
      <c r="M107" s="39">
        <f>IF(U107&lt;&gt;1,"",IF(P107="DIRECTA",G107,IF(ISNUMBER(G107),G107,1)*IF(ISNUMBER(H107),H107,1)*IF(ISNUMBER(I107),I107,1)*IF(ISNUMBER(J107),J107,1)))</f>
      </c>
      <c r="N107" s="30">
        <f>IF(COUNTA(B107:L107)=0,"",IF(X107=0,IF(P107="CABECERA","VERDE · Fila descriptiva; la suma usa las líneas del ID","VERDE · Datos numéricos interpretables"),IF(X107=2,"ROJO · ","ÁMBAR · ")&amp;IF(NOT(IF(ISNUMBER($E$6),AND($E$6&gt;=0,$E$6&lt;=6,$E$6=INT($E$6)),FALSE)),"Indicamos entre 0 y 6 decimales en E6. ","")&amp;IF(O107=0,"Falta un ID numérico. ","")&amp;IF(R107=0,"Faltan capítulo, código, unidad o total numérico del ID. ","")&amp;IF(T107&gt;0,"Los datos o el total del ID se contradicen. ","")&amp;IF(AND(P107&lt;&gt;"DIMENSIONES",P107&lt;&gt;"DIRECTA",P107&lt;&gt;"SIN LÍNEAS",P107&lt;&gt;"CABECERA"),"Tipo de fila no reconocido. ","")&amp;IF(AND(OR(P107="SIN LÍNEAS",P107="CABECERA"),COUNTA(G107:J107)&gt;0),"La fila dice que no mide, pero contiene medidas. ","")&amp;IF(AND(OR(P107="DIRECTA",P107="DIMENSIONES"),U107=0),"Línea incompleta o con medidas no numéricas. ","")&amp;IF(P107="SIN LÍNEAS","No constan medidas de esta fila. ","")&amp;IF(Y107&gt;0,"Parece m³: tres dimensiones bajo m². ","")&amp;IF(AND(AB107&lt;&gt;"",SUMPRODUCT(--('LÉEME'!$B$65:$B$86=AC107))&lt;&gt;1),"Revisamos el significado de la unidad. ","")&amp;IF(Z107&gt;0,"Más precisión que los decimales indicados: cotejamos el original. ","")&amp;IF(AA107&gt;0,"Revisamos dimensiones, cantidad directa, ceros o deducción. ","")))</f>
      </c>
      <c r="O107" s="0" t="n">
        <f>IF(ISNUMBER(K107),IF(AND(K107&gt;0,K107=INT(K107),K107&lt;=999999),K107,0),0)</f>
        <v>0</v>
      </c>
      <c r="P107" s="0">
        <f>IF(COUNTA(B107:L107)=0,"",IF(L107="",IF(COUNTA(G107:J107)&gt;0,"DIMENSIONES","SIN LÍNEAS"),UPPER(TRIM(L107))))</f>
      </c>
      <c r="Q107" s="0">
        <f>IF(AND(O107&gt;0,LEN(TRIM(B107&amp;""))&gt;0,LEN(TRIM(C107&amp;""))&gt;0,LEN(TRIM(E107&amp;""))&gt;0,ISNUMBER(F107)),O107,"")</f>
      </c>
      <c r="R107" s="0" t="n">
        <f>IF(O107=0,0,IF(COUNTIFS($Q$13:$Q$512,O107)&gt;0,MATCH(O107,$Q$13:$Q$512,0),0))</f>
        <v>0</v>
      </c>
      <c r="S107" s="0">
        <f>IF(AB107="","",IF(SUMPRODUCT(--('LÉEME'!$B$65:$B$86=AC107))=1,INDEX('LÉEME'!$C$65:$C$86,MATCH(AC107,'LÉEME'!$B$65:$B$86,0)),UPPER(TRIM(AB107))))</f>
      </c>
      <c r="T107" s="0" t="n">
        <f>IF(R107=0,0,IF(OR(AND(LEN(TRIM(B107&amp;""))&gt;0,UPPER(TRIM(B107&amp;""))&lt;&gt;UPPER(TRIM(INDEX($B$13:$B$512,R107)&amp;""))),AND(LEN(TRIM(C107&amp;""))&gt;0,UPPER(TRIM(C107&amp;""))&lt;&gt;UPPER(TRIM(INDEX($C$13:$C$512,R107)&amp;""))),AND(LEN(TRIM(E107&amp;""))&gt;0,S107&lt;&gt;INDEX($S$13:$S$512,R107)),AND(F107&lt;&gt;"",NOT(ISNUMBER(F107)))),1,IF(ISNUMBER(F107),IF(ABS(F107-INDEX($F$13:$F$512,R107))&gt;0.00000001,1,0),0)))</f>
        <v>0</v>
      </c>
      <c r="U107" s="0" t="n">
        <f>IF(P107="DIRECTA",IF(AND(ISNUMBER(G107),COUNTA(H107:J107)=0),1,0),IF(P107="DIMENSIONES",IF(AND(COUNT(G107:J107)&gt;0,COUNTA(G107:J107)=COUNT(G107:J107)),1,0),0))</f>
        <v>0</v>
      </c>
      <c r="V107" s="0" t="n">
        <f>IF(O107=0,0,IF(COUNTIFS($O$13:O107,O107)=1,1,0))</f>
        <v>0</v>
      </c>
      <c r="W107" s="0">
        <f>IF(V107=1,COUNTIFS($V$13:V107,1),"")</f>
      </c>
      <c r="X107" s="0">
        <f>IF(COUNTA(B107:L107)=0,"",IF(OR(NOT(IF(ISNUMBER($E$6),AND($E$6&gt;=0,$E$6&lt;=6,$E$6=INT($E$6)),FALSE)),O107=0,R107=0,T107&gt;0,AND(P107&lt;&gt;"DIMENSIONES",P107&lt;&gt;"DIRECTA",P107&lt;&gt;"SIN LÍNEAS",P107&lt;&gt;"CABECERA"),AND(OR(P107="DIRECTA",P107="DIMENSIONES"),U107=0),AND(OR(P107="SIN LÍNEAS",P107="CABECERA"),COUNTA(G107:J107)&gt;0)),2,IF(OR(P107="SIN LÍNEAS",Y107&gt;0,Z107&gt;0,AA107&gt;0,SUMPRODUCT(--('LÉEME'!$B$65:$B$86=AC107))&lt;&gt;1),1,0)))</f>
      </c>
      <c r="Y107" s="0" t="n">
        <f>IF(AND(P107="DIMENSIONES",S107="m²",COUNT(H107:J107)=3),1,0)</f>
        <v>0</v>
      </c>
      <c r="Z107" s="0" t="n">
        <f>IF(IF(ISNUMBER($E$6),AND($E$6&gt;=0,$E$6&lt;=6,$E$6=INT($E$6)),FALSE),IF(SUM(IF(ISNUMBER(F107),IF(ABS(F107-ROUND(F107,$E$6))&gt;0.00000001,1,0),0),IF(ISNUMBER(G107),IF(ABS(G107-ROUND(G107,$E$6))&gt;0.00000001,1,0),0),IF(ISNUMBER(H107),IF(ABS(H107-ROUND(H107,$E$6))&gt;0.00000001,1,0),0),IF(ISNUMBER(I107),IF(ABS(I107-ROUND(I107,$E$6))&gt;0.00000001,1,0),0),IF(ISNUMBER(J107),IF(ABS(J107-ROUND(J107,$E$6))&gt;0.00000001,1,0),0),IF(ISNUMBER(M107),IF(ABS(M107-ROUND(M107,$E$6))&gt;0.00000001,1,0),0))&gt;0,1,0),0)</f>
        <v>0</v>
      </c>
      <c r="AA107" s="0" t="n">
        <f>IF(COUNTA(B107:L107)=0,0,IF(OR(AND(ISNUMBER(F107),F107&lt;0),AND(U107=1,OR(SUM(IF(ISNUMBER(G107),IF(G107=0,1,0),0),IF(ISNUMBER(H107),IF(H107=0,1,0),0),IF(ISNUMBER(I107),IF(I107=0,1,0),0),IF(ISNUMBER(J107),IF(J107=0,1,0),0))&gt;0,COUNTIFS(G107:J107,"&lt;0")&gt;0)),AND(P107="DIMENSIONES",U107=1,OR(AND(S107="m",COUNT(H107:J107)&lt;&gt;1),AND(S107="m²",COUNT(H107:J107)&lt;&gt;2,Y107=0),AND(S107="m³",COUNT(H107:J107)&lt;&gt;3),AND(S107="ud",COUNT(H107:J107)&gt;0))),AND(P107="DIRECTA",OR(S107="m",S107="m²",S107="m³"))),1,0))</f>
        <v>0</v>
      </c>
      <c r="AB107" s="0">
        <f>IF(LEN(TRIM(E107&amp;""))&gt;0,E107,IF(R107&gt;0,INDEX($E$13:$E$512,R107),""))</f>
      </c>
      <c r="AC107" s="0">
        <f>UPPER(SUBSTITUTE(SUBSTITUTE(SUBSTITUTE(SUBSTITUTE(SUBSTITUTE(TRIM(AB107),"²","2"),"³","3"),"^",""),".","")," ",""))</f>
      </c>
    </row>
    <row r="108" ht="35" customHeight="1">
      <c r="B108" s="35"/>
      <c r="C108" s="35"/>
      <c r="D108" s="37"/>
      <c r="E108" s="35"/>
      <c r="F108" s="38"/>
      <c r="G108" s="38"/>
      <c r="H108" s="38"/>
      <c r="I108" s="38"/>
      <c r="J108" s="38"/>
      <c r="K108" s="35"/>
      <c r="L108" s="35"/>
      <c r="M108" s="39">
        <f>IF(U108&lt;&gt;1,"",IF(P108="DIRECTA",G108,IF(ISNUMBER(G108),G108,1)*IF(ISNUMBER(H108),H108,1)*IF(ISNUMBER(I108),I108,1)*IF(ISNUMBER(J108),J108,1)))</f>
      </c>
      <c r="N108" s="30">
        <f>IF(COUNTA(B108:L108)=0,"",IF(X108=0,IF(P108="CABECERA","VERDE · Fila descriptiva; la suma usa las líneas del ID","VERDE · Datos numéricos interpretables"),IF(X108=2,"ROJO · ","ÁMBAR · ")&amp;IF(NOT(IF(ISNUMBER($E$6),AND($E$6&gt;=0,$E$6&lt;=6,$E$6=INT($E$6)),FALSE)),"Indicamos entre 0 y 6 decimales en E6. ","")&amp;IF(O108=0,"Falta un ID numérico. ","")&amp;IF(R108=0,"Faltan capítulo, código, unidad o total numérico del ID. ","")&amp;IF(T108&gt;0,"Los datos o el total del ID se contradicen. ","")&amp;IF(AND(P108&lt;&gt;"DIMENSIONES",P108&lt;&gt;"DIRECTA",P108&lt;&gt;"SIN LÍNEAS",P108&lt;&gt;"CABECERA"),"Tipo de fila no reconocido. ","")&amp;IF(AND(OR(P108="SIN LÍNEAS",P108="CABECERA"),COUNTA(G108:J108)&gt;0),"La fila dice que no mide, pero contiene medidas. ","")&amp;IF(AND(OR(P108="DIRECTA",P108="DIMENSIONES"),U108=0),"Línea incompleta o con medidas no numéricas. ","")&amp;IF(P108="SIN LÍNEAS","No constan medidas de esta fila. ","")&amp;IF(Y108&gt;0,"Parece m³: tres dimensiones bajo m². ","")&amp;IF(AND(AB108&lt;&gt;"",SUMPRODUCT(--('LÉEME'!$B$65:$B$86=AC108))&lt;&gt;1),"Revisamos el significado de la unidad. ","")&amp;IF(Z108&gt;0,"Más precisión que los decimales indicados: cotejamos el original. ","")&amp;IF(AA108&gt;0,"Revisamos dimensiones, cantidad directa, ceros o deducción. ","")))</f>
      </c>
      <c r="O108" s="0" t="n">
        <f>IF(ISNUMBER(K108),IF(AND(K108&gt;0,K108=INT(K108),K108&lt;=999999),K108,0),0)</f>
        <v>0</v>
      </c>
      <c r="P108" s="0">
        <f>IF(COUNTA(B108:L108)=0,"",IF(L108="",IF(COUNTA(G108:J108)&gt;0,"DIMENSIONES","SIN LÍNEAS"),UPPER(TRIM(L108))))</f>
      </c>
      <c r="Q108" s="0">
        <f>IF(AND(O108&gt;0,LEN(TRIM(B108&amp;""))&gt;0,LEN(TRIM(C108&amp;""))&gt;0,LEN(TRIM(E108&amp;""))&gt;0,ISNUMBER(F108)),O108,"")</f>
      </c>
      <c r="R108" s="0" t="n">
        <f>IF(O108=0,0,IF(COUNTIFS($Q$13:$Q$512,O108)&gt;0,MATCH(O108,$Q$13:$Q$512,0),0))</f>
        <v>0</v>
      </c>
      <c r="S108" s="0">
        <f>IF(AB108="","",IF(SUMPRODUCT(--('LÉEME'!$B$65:$B$86=AC108))=1,INDEX('LÉEME'!$C$65:$C$86,MATCH(AC108,'LÉEME'!$B$65:$B$86,0)),UPPER(TRIM(AB108))))</f>
      </c>
      <c r="T108" s="0" t="n">
        <f>IF(R108=0,0,IF(OR(AND(LEN(TRIM(B108&amp;""))&gt;0,UPPER(TRIM(B108&amp;""))&lt;&gt;UPPER(TRIM(INDEX($B$13:$B$512,R108)&amp;""))),AND(LEN(TRIM(C108&amp;""))&gt;0,UPPER(TRIM(C108&amp;""))&lt;&gt;UPPER(TRIM(INDEX($C$13:$C$512,R108)&amp;""))),AND(LEN(TRIM(E108&amp;""))&gt;0,S108&lt;&gt;INDEX($S$13:$S$512,R108)),AND(F108&lt;&gt;"",NOT(ISNUMBER(F108)))),1,IF(ISNUMBER(F108),IF(ABS(F108-INDEX($F$13:$F$512,R108))&gt;0.00000001,1,0),0)))</f>
        <v>0</v>
      </c>
      <c r="U108" s="0" t="n">
        <f>IF(P108="DIRECTA",IF(AND(ISNUMBER(G108),COUNTA(H108:J108)=0),1,0),IF(P108="DIMENSIONES",IF(AND(COUNT(G108:J108)&gt;0,COUNTA(G108:J108)=COUNT(G108:J108)),1,0),0))</f>
        <v>0</v>
      </c>
      <c r="V108" s="0" t="n">
        <f>IF(O108=0,0,IF(COUNTIFS($O$13:O108,O108)=1,1,0))</f>
        <v>0</v>
      </c>
      <c r="W108" s="0">
        <f>IF(V108=1,COUNTIFS($V$13:V108,1),"")</f>
      </c>
      <c r="X108" s="0">
        <f>IF(COUNTA(B108:L108)=0,"",IF(OR(NOT(IF(ISNUMBER($E$6),AND($E$6&gt;=0,$E$6&lt;=6,$E$6=INT($E$6)),FALSE)),O108=0,R108=0,T108&gt;0,AND(P108&lt;&gt;"DIMENSIONES",P108&lt;&gt;"DIRECTA",P108&lt;&gt;"SIN LÍNEAS",P108&lt;&gt;"CABECERA"),AND(OR(P108="DIRECTA",P108="DIMENSIONES"),U108=0),AND(OR(P108="SIN LÍNEAS",P108="CABECERA"),COUNTA(G108:J108)&gt;0)),2,IF(OR(P108="SIN LÍNEAS",Y108&gt;0,Z108&gt;0,AA108&gt;0,SUMPRODUCT(--('LÉEME'!$B$65:$B$86=AC108))&lt;&gt;1),1,0)))</f>
      </c>
      <c r="Y108" s="0" t="n">
        <f>IF(AND(P108="DIMENSIONES",S108="m²",COUNT(H108:J108)=3),1,0)</f>
        <v>0</v>
      </c>
      <c r="Z108" s="0" t="n">
        <f>IF(IF(ISNUMBER($E$6),AND($E$6&gt;=0,$E$6&lt;=6,$E$6=INT($E$6)),FALSE),IF(SUM(IF(ISNUMBER(F108),IF(ABS(F108-ROUND(F108,$E$6))&gt;0.00000001,1,0),0),IF(ISNUMBER(G108),IF(ABS(G108-ROUND(G108,$E$6))&gt;0.00000001,1,0),0),IF(ISNUMBER(H108),IF(ABS(H108-ROUND(H108,$E$6))&gt;0.00000001,1,0),0),IF(ISNUMBER(I108),IF(ABS(I108-ROUND(I108,$E$6))&gt;0.00000001,1,0),0),IF(ISNUMBER(J108),IF(ABS(J108-ROUND(J108,$E$6))&gt;0.00000001,1,0),0),IF(ISNUMBER(M108),IF(ABS(M108-ROUND(M108,$E$6))&gt;0.00000001,1,0),0))&gt;0,1,0),0)</f>
        <v>0</v>
      </c>
      <c r="AA108" s="0" t="n">
        <f>IF(COUNTA(B108:L108)=0,0,IF(OR(AND(ISNUMBER(F108),F108&lt;0),AND(U108=1,OR(SUM(IF(ISNUMBER(G108),IF(G108=0,1,0),0),IF(ISNUMBER(H108),IF(H108=0,1,0),0),IF(ISNUMBER(I108),IF(I108=0,1,0),0),IF(ISNUMBER(J108),IF(J108=0,1,0),0))&gt;0,COUNTIFS(G108:J108,"&lt;0")&gt;0)),AND(P108="DIMENSIONES",U108=1,OR(AND(S108="m",COUNT(H108:J108)&lt;&gt;1),AND(S108="m²",COUNT(H108:J108)&lt;&gt;2,Y108=0),AND(S108="m³",COUNT(H108:J108)&lt;&gt;3),AND(S108="ud",COUNT(H108:J108)&gt;0))),AND(P108="DIRECTA",OR(S108="m",S108="m²",S108="m³"))),1,0))</f>
        <v>0</v>
      </c>
      <c r="AB108" s="0">
        <f>IF(LEN(TRIM(E108&amp;""))&gt;0,E108,IF(R108&gt;0,INDEX($E$13:$E$512,R108),""))</f>
      </c>
      <c r="AC108" s="0">
        <f>UPPER(SUBSTITUTE(SUBSTITUTE(SUBSTITUTE(SUBSTITUTE(SUBSTITUTE(TRIM(AB108),"²","2"),"³","3"),"^",""),".","")," ",""))</f>
      </c>
    </row>
    <row r="109" ht="35" customHeight="1">
      <c r="B109" s="35"/>
      <c r="C109" s="35"/>
      <c r="D109" s="37"/>
      <c r="E109" s="35"/>
      <c r="F109" s="38"/>
      <c r="G109" s="38"/>
      <c r="H109" s="38"/>
      <c r="I109" s="38"/>
      <c r="J109" s="38"/>
      <c r="K109" s="35"/>
      <c r="L109" s="35"/>
      <c r="M109" s="39">
        <f>IF(U109&lt;&gt;1,"",IF(P109="DIRECTA",G109,IF(ISNUMBER(G109),G109,1)*IF(ISNUMBER(H109),H109,1)*IF(ISNUMBER(I109),I109,1)*IF(ISNUMBER(J109),J109,1)))</f>
      </c>
      <c r="N109" s="30">
        <f>IF(COUNTA(B109:L109)=0,"",IF(X109=0,IF(P109="CABECERA","VERDE · Fila descriptiva; la suma usa las líneas del ID","VERDE · Datos numéricos interpretables"),IF(X109=2,"ROJO · ","ÁMBAR · ")&amp;IF(NOT(IF(ISNUMBER($E$6),AND($E$6&gt;=0,$E$6&lt;=6,$E$6=INT($E$6)),FALSE)),"Indicamos entre 0 y 6 decimales en E6. ","")&amp;IF(O109=0,"Falta un ID numérico. ","")&amp;IF(R109=0,"Faltan capítulo, código, unidad o total numérico del ID. ","")&amp;IF(T109&gt;0,"Los datos o el total del ID se contradicen. ","")&amp;IF(AND(P109&lt;&gt;"DIMENSIONES",P109&lt;&gt;"DIRECTA",P109&lt;&gt;"SIN LÍNEAS",P109&lt;&gt;"CABECERA"),"Tipo de fila no reconocido. ","")&amp;IF(AND(OR(P109="SIN LÍNEAS",P109="CABECERA"),COUNTA(G109:J109)&gt;0),"La fila dice que no mide, pero contiene medidas. ","")&amp;IF(AND(OR(P109="DIRECTA",P109="DIMENSIONES"),U109=0),"Línea incompleta o con medidas no numéricas. ","")&amp;IF(P109="SIN LÍNEAS","No constan medidas de esta fila. ","")&amp;IF(Y109&gt;0,"Parece m³: tres dimensiones bajo m². ","")&amp;IF(AND(AB109&lt;&gt;"",SUMPRODUCT(--('LÉEME'!$B$65:$B$86=AC109))&lt;&gt;1),"Revisamos el significado de la unidad. ","")&amp;IF(Z109&gt;0,"Más precisión que los decimales indicados: cotejamos el original. ","")&amp;IF(AA109&gt;0,"Revisamos dimensiones, cantidad directa, ceros o deducción. ","")))</f>
      </c>
      <c r="O109" s="0" t="n">
        <f>IF(ISNUMBER(K109),IF(AND(K109&gt;0,K109=INT(K109),K109&lt;=999999),K109,0),0)</f>
        <v>0</v>
      </c>
      <c r="P109" s="0">
        <f>IF(COUNTA(B109:L109)=0,"",IF(L109="",IF(COUNTA(G109:J109)&gt;0,"DIMENSIONES","SIN LÍNEAS"),UPPER(TRIM(L109))))</f>
      </c>
      <c r="Q109" s="0">
        <f>IF(AND(O109&gt;0,LEN(TRIM(B109&amp;""))&gt;0,LEN(TRIM(C109&amp;""))&gt;0,LEN(TRIM(E109&amp;""))&gt;0,ISNUMBER(F109)),O109,"")</f>
      </c>
      <c r="R109" s="0" t="n">
        <f>IF(O109=0,0,IF(COUNTIFS($Q$13:$Q$512,O109)&gt;0,MATCH(O109,$Q$13:$Q$512,0),0))</f>
        <v>0</v>
      </c>
      <c r="S109" s="0">
        <f>IF(AB109="","",IF(SUMPRODUCT(--('LÉEME'!$B$65:$B$86=AC109))=1,INDEX('LÉEME'!$C$65:$C$86,MATCH(AC109,'LÉEME'!$B$65:$B$86,0)),UPPER(TRIM(AB109))))</f>
      </c>
      <c r="T109" s="0" t="n">
        <f>IF(R109=0,0,IF(OR(AND(LEN(TRIM(B109&amp;""))&gt;0,UPPER(TRIM(B109&amp;""))&lt;&gt;UPPER(TRIM(INDEX($B$13:$B$512,R109)&amp;""))),AND(LEN(TRIM(C109&amp;""))&gt;0,UPPER(TRIM(C109&amp;""))&lt;&gt;UPPER(TRIM(INDEX($C$13:$C$512,R109)&amp;""))),AND(LEN(TRIM(E109&amp;""))&gt;0,S109&lt;&gt;INDEX($S$13:$S$512,R109)),AND(F109&lt;&gt;"",NOT(ISNUMBER(F109)))),1,IF(ISNUMBER(F109),IF(ABS(F109-INDEX($F$13:$F$512,R109))&gt;0.00000001,1,0),0)))</f>
        <v>0</v>
      </c>
      <c r="U109" s="0" t="n">
        <f>IF(P109="DIRECTA",IF(AND(ISNUMBER(G109),COUNTA(H109:J109)=0),1,0),IF(P109="DIMENSIONES",IF(AND(COUNT(G109:J109)&gt;0,COUNTA(G109:J109)=COUNT(G109:J109)),1,0),0))</f>
        <v>0</v>
      </c>
      <c r="V109" s="0" t="n">
        <f>IF(O109=0,0,IF(COUNTIFS($O$13:O109,O109)=1,1,0))</f>
        <v>0</v>
      </c>
      <c r="W109" s="0">
        <f>IF(V109=1,COUNTIFS($V$13:V109,1),"")</f>
      </c>
      <c r="X109" s="0">
        <f>IF(COUNTA(B109:L109)=0,"",IF(OR(NOT(IF(ISNUMBER($E$6),AND($E$6&gt;=0,$E$6&lt;=6,$E$6=INT($E$6)),FALSE)),O109=0,R109=0,T109&gt;0,AND(P109&lt;&gt;"DIMENSIONES",P109&lt;&gt;"DIRECTA",P109&lt;&gt;"SIN LÍNEAS",P109&lt;&gt;"CABECERA"),AND(OR(P109="DIRECTA",P109="DIMENSIONES"),U109=0),AND(OR(P109="SIN LÍNEAS",P109="CABECERA"),COUNTA(G109:J109)&gt;0)),2,IF(OR(P109="SIN LÍNEAS",Y109&gt;0,Z109&gt;0,AA109&gt;0,SUMPRODUCT(--('LÉEME'!$B$65:$B$86=AC109))&lt;&gt;1),1,0)))</f>
      </c>
      <c r="Y109" s="0" t="n">
        <f>IF(AND(P109="DIMENSIONES",S109="m²",COUNT(H109:J109)=3),1,0)</f>
        <v>0</v>
      </c>
      <c r="Z109" s="0" t="n">
        <f>IF(IF(ISNUMBER($E$6),AND($E$6&gt;=0,$E$6&lt;=6,$E$6=INT($E$6)),FALSE),IF(SUM(IF(ISNUMBER(F109),IF(ABS(F109-ROUND(F109,$E$6))&gt;0.00000001,1,0),0),IF(ISNUMBER(G109),IF(ABS(G109-ROUND(G109,$E$6))&gt;0.00000001,1,0),0),IF(ISNUMBER(H109),IF(ABS(H109-ROUND(H109,$E$6))&gt;0.00000001,1,0),0),IF(ISNUMBER(I109),IF(ABS(I109-ROUND(I109,$E$6))&gt;0.00000001,1,0),0),IF(ISNUMBER(J109),IF(ABS(J109-ROUND(J109,$E$6))&gt;0.00000001,1,0),0),IF(ISNUMBER(M109),IF(ABS(M109-ROUND(M109,$E$6))&gt;0.00000001,1,0),0))&gt;0,1,0),0)</f>
        <v>0</v>
      </c>
      <c r="AA109" s="0" t="n">
        <f>IF(COUNTA(B109:L109)=0,0,IF(OR(AND(ISNUMBER(F109),F109&lt;0),AND(U109=1,OR(SUM(IF(ISNUMBER(G109),IF(G109=0,1,0),0),IF(ISNUMBER(H109),IF(H109=0,1,0),0),IF(ISNUMBER(I109),IF(I109=0,1,0),0),IF(ISNUMBER(J109),IF(J109=0,1,0),0))&gt;0,COUNTIFS(G109:J109,"&lt;0")&gt;0)),AND(P109="DIMENSIONES",U109=1,OR(AND(S109="m",COUNT(H109:J109)&lt;&gt;1),AND(S109="m²",COUNT(H109:J109)&lt;&gt;2,Y109=0),AND(S109="m³",COUNT(H109:J109)&lt;&gt;3),AND(S109="ud",COUNT(H109:J109)&gt;0))),AND(P109="DIRECTA",OR(S109="m",S109="m²",S109="m³"))),1,0))</f>
        <v>0</v>
      </c>
      <c r="AB109" s="0">
        <f>IF(LEN(TRIM(E109&amp;""))&gt;0,E109,IF(R109&gt;0,INDEX($E$13:$E$512,R109),""))</f>
      </c>
      <c r="AC109" s="0">
        <f>UPPER(SUBSTITUTE(SUBSTITUTE(SUBSTITUTE(SUBSTITUTE(SUBSTITUTE(TRIM(AB109),"²","2"),"³","3"),"^",""),".","")," ",""))</f>
      </c>
    </row>
    <row r="110" ht="35" customHeight="1">
      <c r="B110" s="35"/>
      <c r="C110" s="35"/>
      <c r="D110" s="37"/>
      <c r="E110" s="35"/>
      <c r="F110" s="38"/>
      <c r="G110" s="38"/>
      <c r="H110" s="38"/>
      <c r="I110" s="38"/>
      <c r="J110" s="38"/>
      <c r="K110" s="35"/>
      <c r="L110" s="35"/>
      <c r="M110" s="39">
        <f>IF(U110&lt;&gt;1,"",IF(P110="DIRECTA",G110,IF(ISNUMBER(G110),G110,1)*IF(ISNUMBER(H110),H110,1)*IF(ISNUMBER(I110),I110,1)*IF(ISNUMBER(J110),J110,1)))</f>
      </c>
      <c r="N110" s="30">
        <f>IF(COUNTA(B110:L110)=0,"",IF(X110=0,IF(P110="CABECERA","VERDE · Fila descriptiva; la suma usa las líneas del ID","VERDE · Datos numéricos interpretables"),IF(X110=2,"ROJO · ","ÁMBAR · ")&amp;IF(NOT(IF(ISNUMBER($E$6),AND($E$6&gt;=0,$E$6&lt;=6,$E$6=INT($E$6)),FALSE)),"Indicamos entre 0 y 6 decimales en E6. ","")&amp;IF(O110=0,"Falta un ID numérico. ","")&amp;IF(R110=0,"Faltan capítulo, código, unidad o total numérico del ID. ","")&amp;IF(T110&gt;0,"Los datos o el total del ID se contradicen. ","")&amp;IF(AND(P110&lt;&gt;"DIMENSIONES",P110&lt;&gt;"DIRECTA",P110&lt;&gt;"SIN LÍNEAS",P110&lt;&gt;"CABECERA"),"Tipo de fila no reconocido. ","")&amp;IF(AND(OR(P110="SIN LÍNEAS",P110="CABECERA"),COUNTA(G110:J110)&gt;0),"La fila dice que no mide, pero contiene medidas. ","")&amp;IF(AND(OR(P110="DIRECTA",P110="DIMENSIONES"),U110=0),"Línea incompleta o con medidas no numéricas. ","")&amp;IF(P110="SIN LÍNEAS","No constan medidas de esta fila. ","")&amp;IF(Y110&gt;0,"Parece m³: tres dimensiones bajo m². ","")&amp;IF(AND(AB110&lt;&gt;"",SUMPRODUCT(--('LÉEME'!$B$65:$B$86=AC110))&lt;&gt;1),"Revisamos el significado de la unidad. ","")&amp;IF(Z110&gt;0,"Más precisión que los decimales indicados: cotejamos el original. ","")&amp;IF(AA110&gt;0,"Revisamos dimensiones, cantidad directa, ceros o deducción. ","")))</f>
      </c>
      <c r="O110" s="0" t="n">
        <f>IF(ISNUMBER(K110),IF(AND(K110&gt;0,K110=INT(K110),K110&lt;=999999),K110,0),0)</f>
        <v>0</v>
      </c>
      <c r="P110" s="0">
        <f>IF(COUNTA(B110:L110)=0,"",IF(L110="",IF(COUNTA(G110:J110)&gt;0,"DIMENSIONES","SIN LÍNEAS"),UPPER(TRIM(L110))))</f>
      </c>
      <c r="Q110" s="0">
        <f>IF(AND(O110&gt;0,LEN(TRIM(B110&amp;""))&gt;0,LEN(TRIM(C110&amp;""))&gt;0,LEN(TRIM(E110&amp;""))&gt;0,ISNUMBER(F110)),O110,"")</f>
      </c>
      <c r="R110" s="0" t="n">
        <f>IF(O110=0,0,IF(COUNTIFS($Q$13:$Q$512,O110)&gt;0,MATCH(O110,$Q$13:$Q$512,0),0))</f>
        <v>0</v>
      </c>
      <c r="S110" s="0">
        <f>IF(AB110="","",IF(SUMPRODUCT(--('LÉEME'!$B$65:$B$86=AC110))=1,INDEX('LÉEME'!$C$65:$C$86,MATCH(AC110,'LÉEME'!$B$65:$B$86,0)),UPPER(TRIM(AB110))))</f>
      </c>
      <c r="T110" s="0" t="n">
        <f>IF(R110=0,0,IF(OR(AND(LEN(TRIM(B110&amp;""))&gt;0,UPPER(TRIM(B110&amp;""))&lt;&gt;UPPER(TRIM(INDEX($B$13:$B$512,R110)&amp;""))),AND(LEN(TRIM(C110&amp;""))&gt;0,UPPER(TRIM(C110&amp;""))&lt;&gt;UPPER(TRIM(INDEX($C$13:$C$512,R110)&amp;""))),AND(LEN(TRIM(E110&amp;""))&gt;0,S110&lt;&gt;INDEX($S$13:$S$512,R110)),AND(F110&lt;&gt;"",NOT(ISNUMBER(F110)))),1,IF(ISNUMBER(F110),IF(ABS(F110-INDEX($F$13:$F$512,R110))&gt;0.00000001,1,0),0)))</f>
        <v>0</v>
      </c>
      <c r="U110" s="0" t="n">
        <f>IF(P110="DIRECTA",IF(AND(ISNUMBER(G110),COUNTA(H110:J110)=0),1,0),IF(P110="DIMENSIONES",IF(AND(COUNT(G110:J110)&gt;0,COUNTA(G110:J110)=COUNT(G110:J110)),1,0),0))</f>
        <v>0</v>
      </c>
      <c r="V110" s="0" t="n">
        <f>IF(O110=0,0,IF(COUNTIFS($O$13:O110,O110)=1,1,0))</f>
        <v>0</v>
      </c>
      <c r="W110" s="0">
        <f>IF(V110=1,COUNTIFS($V$13:V110,1),"")</f>
      </c>
      <c r="X110" s="0">
        <f>IF(COUNTA(B110:L110)=0,"",IF(OR(NOT(IF(ISNUMBER($E$6),AND($E$6&gt;=0,$E$6&lt;=6,$E$6=INT($E$6)),FALSE)),O110=0,R110=0,T110&gt;0,AND(P110&lt;&gt;"DIMENSIONES",P110&lt;&gt;"DIRECTA",P110&lt;&gt;"SIN LÍNEAS",P110&lt;&gt;"CABECERA"),AND(OR(P110="DIRECTA",P110="DIMENSIONES"),U110=0),AND(OR(P110="SIN LÍNEAS",P110="CABECERA"),COUNTA(G110:J110)&gt;0)),2,IF(OR(P110="SIN LÍNEAS",Y110&gt;0,Z110&gt;0,AA110&gt;0,SUMPRODUCT(--('LÉEME'!$B$65:$B$86=AC110))&lt;&gt;1),1,0)))</f>
      </c>
      <c r="Y110" s="0" t="n">
        <f>IF(AND(P110="DIMENSIONES",S110="m²",COUNT(H110:J110)=3),1,0)</f>
        <v>0</v>
      </c>
      <c r="Z110" s="0" t="n">
        <f>IF(IF(ISNUMBER($E$6),AND($E$6&gt;=0,$E$6&lt;=6,$E$6=INT($E$6)),FALSE),IF(SUM(IF(ISNUMBER(F110),IF(ABS(F110-ROUND(F110,$E$6))&gt;0.00000001,1,0),0),IF(ISNUMBER(G110),IF(ABS(G110-ROUND(G110,$E$6))&gt;0.00000001,1,0),0),IF(ISNUMBER(H110),IF(ABS(H110-ROUND(H110,$E$6))&gt;0.00000001,1,0),0),IF(ISNUMBER(I110),IF(ABS(I110-ROUND(I110,$E$6))&gt;0.00000001,1,0),0),IF(ISNUMBER(J110),IF(ABS(J110-ROUND(J110,$E$6))&gt;0.00000001,1,0),0),IF(ISNUMBER(M110),IF(ABS(M110-ROUND(M110,$E$6))&gt;0.00000001,1,0),0))&gt;0,1,0),0)</f>
        <v>0</v>
      </c>
      <c r="AA110" s="0" t="n">
        <f>IF(COUNTA(B110:L110)=0,0,IF(OR(AND(ISNUMBER(F110),F110&lt;0),AND(U110=1,OR(SUM(IF(ISNUMBER(G110),IF(G110=0,1,0),0),IF(ISNUMBER(H110),IF(H110=0,1,0),0),IF(ISNUMBER(I110),IF(I110=0,1,0),0),IF(ISNUMBER(J110),IF(J110=0,1,0),0))&gt;0,COUNTIFS(G110:J110,"&lt;0")&gt;0)),AND(P110="DIMENSIONES",U110=1,OR(AND(S110="m",COUNT(H110:J110)&lt;&gt;1),AND(S110="m²",COUNT(H110:J110)&lt;&gt;2,Y110=0),AND(S110="m³",COUNT(H110:J110)&lt;&gt;3),AND(S110="ud",COUNT(H110:J110)&gt;0))),AND(P110="DIRECTA",OR(S110="m",S110="m²",S110="m³"))),1,0))</f>
        <v>0</v>
      </c>
      <c r="AB110" s="0">
        <f>IF(LEN(TRIM(E110&amp;""))&gt;0,E110,IF(R110&gt;0,INDEX($E$13:$E$512,R110),""))</f>
      </c>
      <c r="AC110" s="0">
        <f>UPPER(SUBSTITUTE(SUBSTITUTE(SUBSTITUTE(SUBSTITUTE(SUBSTITUTE(TRIM(AB110),"²","2"),"³","3"),"^",""),".","")," ",""))</f>
      </c>
    </row>
    <row r="111" ht="35" customHeight="1">
      <c r="B111" s="35"/>
      <c r="C111" s="35"/>
      <c r="D111" s="37"/>
      <c r="E111" s="35"/>
      <c r="F111" s="38"/>
      <c r="G111" s="38"/>
      <c r="H111" s="38"/>
      <c r="I111" s="38"/>
      <c r="J111" s="38"/>
      <c r="K111" s="35"/>
      <c r="L111" s="35"/>
      <c r="M111" s="39">
        <f>IF(U111&lt;&gt;1,"",IF(P111="DIRECTA",G111,IF(ISNUMBER(G111),G111,1)*IF(ISNUMBER(H111),H111,1)*IF(ISNUMBER(I111),I111,1)*IF(ISNUMBER(J111),J111,1)))</f>
      </c>
      <c r="N111" s="30">
        <f>IF(COUNTA(B111:L111)=0,"",IF(X111=0,IF(P111="CABECERA","VERDE · Fila descriptiva; la suma usa las líneas del ID","VERDE · Datos numéricos interpretables"),IF(X111=2,"ROJO · ","ÁMBAR · ")&amp;IF(NOT(IF(ISNUMBER($E$6),AND($E$6&gt;=0,$E$6&lt;=6,$E$6=INT($E$6)),FALSE)),"Indicamos entre 0 y 6 decimales en E6. ","")&amp;IF(O111=0,"Falta un ID numérico. ","")&amp;IF(R111=0,"Faltan capítulo, código, unidad o total numérico del ID. ","")&amp;IF(T111&gt;0,"Los datos o el total del ID se contradicen. ","")&amp;IF(AND(P111&lt;&gt;"DIMENSIONES",P111&lt;&gt;"DIRECTA",P111&lt;&gt;"SIN LÍNEAS",P111&lt;&gt;"CABECERA"),"Tipo de fila no reconocido. ","")&amp;IF(AND(OR(P111="SIN LÍNEAS",P111="CABECERA"),COUNTA(G111:J111)&gt;0),"La fila dice que no mide, pero contiene medidas. ","")&amp;IF(AND(OR(P111="DIRECTA",P111="DIMENSIONES"),U111=0),"Línea incompleta o con medidas no numéricas. ","")&amp;IF(P111="SIN LÍNEAS","No constan medidas de esta fila. ","")&amp;IF(Y111&gt;0,"Parece m³: tres dimensiones bajo m². ","")&amp;IF(AND(AB111&lt;&gt;"",SUMPRODUCT(--('LÉEME'!$B$65:$B$86=AC111))&lt;&gt;1),"Revisamos el significado de la unidad. ","")&amp;IF(Z111&gt;0,"Más precisión que los decimales indicados: cotejamos el original. ","")&amp;IF(AA111&gt;0,"Revisamos dimensiones, cantidad directa, ceros o deducción. ","")))</f>
      </c>
      <c r="O111" s="0" t="n">
        <f>IF(ISNUMBER(K111),IF(AND(K111&gt;0,K111=INT(K111),K111&lt;=999999),K111,0),0)</f>
        <v>0</v>
      </c>
      <c r="P111" s="0">
        <f>IF(COUNTA(B111:L111)=0,"",IF(L111="",IF(COUNTA(G111:J111)&gt;0,"DIMENSIONES","SIN LÍNEAS"),UPPER(TRIM(L111))))</f>
      </c>
      <c r="Q111" s="0">
        <f>IF(AND(O111&gt;0,LEN(TRIM(B111&amp;""))&gt;0,LEN(TRIM(C111&amp;""))&gt;0,LEN(TRIM(E111&amp;""))&gt;0,ISNUMBER(F111)),O111,"")</f>
      </c>
      <c r="R111" s="0" t="n">
        <f>IF(O111=0,0,IF(COUNTIFS($Q$13:$Q$512,O111)&gt;0,MATCH(O111,$Q$13:$Q$512,0),0))</f>
        <v>0</v>
      </c>
      <c r="S111" s="0">
        <f>IF(AB111="","",IF(SUMPRODUCT(--('LÉEME'!$B$65:$B$86=AC111))=1,INDEX('LÉEME'!$C$65:$C$86,MATCH(AC111,'LÉEME'!$B$65:$B$86,0)),UPPER(TRIM(AB111))))</f>
      </c>
      <c r="T111" s="0" t="n">
        <f>IF(R111=0,0,IF(OR(AND(LEN(TRIM(B111&amp;""))&gt;0,UPPER(TRIM(B111&amp;""))&lt;&gt;UPPER(TRIM(INDEX($B$13:$B$512,R111)&amp;""))),AND(LEN(TRIM(C111&amp;""))&gt;0,UPPER(TRIM(C111&amp;""))&lt;&gt;UPPER(TRIM(INDEX($C$13:$C$512,R111)&amp;""))),AND(LEN(TRIM(E111&amp;""))&gt;0,S111&lt;&gt;INDEX($S$13:$S$512,R111)),AND(F111&lt;&gt;"",NOT(ISNUMBER(F111)))),1,IF(ISNUMBER(F111),IF(ABS(F111-INDEX($F$13:$F$512,R111))&gt;0.00000001,1,0),0)))</f>
        <v>0</v>
      </c>
      <c r="U111" s="0" t="n">
        <f>IF(P111="DIRECTA",IF(AND(ISNUMBER(G111),COUNTA(H111:J111)=0),1,0),IF(P111="DIMENSIONES",IF(AND(COUNT(G111:J111)&gt;0,COUNTA(G111:J111)=COUNT(G111:J111)),1,0),0))</f>
        <v>0</v>
      </c>
      <c r="V111" s="0" t="n">
        <f>IF(O111=0,0,IF(COUNTIFS($O$13:O111,O111)=1,1,0))</f>
        <v>0</v>
      </c>
      <c r="W111" s="0">
        <f>IF(V111=1,COUNTIFS($V$13:V111,1),"")</f>
      </c>
      <c r="X111" s="0">
        <f>IF(COUNTA(B111:L111)=0,"",IF(OR(NOT(IF(ISNUMBER($E$6),AND($E$6&gt;=0,$E$6&lt;=6,$E$6=INT($E$6)),FALSE)),O111=0,R111=0,T111&gt;0,AND(P111&lt;&gt;"DIMENSIONES",P111&lt;&gt;"DIRECTA",P111&lt;&gt;"SIN LÍNEAS",P111&lt;&gt;"CABECERA"),AND(OR(P111="DIRECTA",P111="DIMENSIONES"),U111=0),AND(OR(P111="SIN LÍNEAS",P111="CABECERA"),COUNTA(G111:J111)&gt;0)),2,IF(OR(P111="SIN LÍNEAS",Y111&gt;0,Z111&gt;0,AA111&gt;0,SUMPRODUCT(--('LÉEME'!$B$65:$B$86=AC111))&lt;&gt;1),1,0)))</f>
      </c>
      <c r="Y111" s="0" t="n">
        <f>IF(AND(P111="DIMENSIONES",S111="m²",COUNT(H111:J111)=3),1,0)</f>
        <v>0</v>
      </c>
      <c r="Z111" s="0" t="n">
        <f>IF(IF(ISNUMBER($E$6),AND($E$6&gt;=0,$E$6&lt;=6,$E$6=INT($E$6)),FALSE),IF(SUM(IF(ISNUMBER(F111),IF(ABS(F111-ROUND(F111,$E$6))&gt;0.00000001,1,0),0),IF(ISNUMBER(G111),IF(ABS(G111-ROUND(G111,$E$6))&gt;0.00000001,1,0),0),IF(ISNUMBER(H111),IF(ABS(H111-ROUND(H111,$E$6))&gt;0.00000001,1,0),0),IF(ISNUMBER(I111),IF(ABS(I111-ROUND(I111,$E$6))&gt;0.00000001,1,0),0),IF(ISNUMBER(J111),IF(ABS(J111-ROUND(J111,$E$6))&gt;0.00000001,1,0),0),IF(ISNUMBER(M111),IF(ABS(M111-ROUND(M111,$E$6))&gt;0.00000001,1,0),0))&gt;0,1,0),0)</f>
        <v>0</v>
      </c>
      <c r="AA111" s="0" t="n">
        <f>IF(COUNTA(B111:L111)=0,0,IF(OR(AND(ISNUMBER(F111),F111&lt;0),AND(U111=1,OR(SUM(IF(ISNUMBER(G111),IF(G111=0,1,0),0),IF(ISNUMBER(H111),IF(H111=0,1,0),0),IF(ISNUMBER(I111),IF(I111=0,1,0),0),IF(ISNUMBER(J111),IF(J111=0,1,0),0))&gt;0,COUNTIFS(G111:J111,"&lt;0")&gt;0)),AND(P111="DIMENSIONES",U111=1,OR(AND(S111="m",COUNT(H111:J111)&lt;&gt;1),AND(S111="m²",COUNT(H111:J111)&lt;&gt;2,Y111=0),AND(S111="m³",COUNT(H111:J111)&lt;&gt;3),AND(S111="ud",COUNT(H111:J111)&gt;0))),AND(P111="DIRECTA",OR(S111="m",S111="m²",S111="m³"))),1,0))</f>
        <v>0</v>
      </c>
      <c r="AB111" s="0">
        <f>IF(LEN(TRIM(E111&amp;""))&gt;0,E111,IF(R111&gt;0,INDEX($E$13:$E$512,R111),""))</f>
      </c>
      <c r="AC111" s="0">
        <f>UPPER(SUBSTITUTE(SUBSTITUTE(SUBSTITUTE(SUBSTITUTE(SUBSTITUTE(TRIM(AB111),"²","2"),"³","3"),"^",""),".","")," ",""))</f>
      </c>
    </row>
    <row r="112" ht="35" customHeight="1">
      <c r="B112" s="35"/>
      <c r="C112" s="35"/>
      <c r="D112" s="37"/>
      <c r="E112" s="35"/>
      <c r="F112" s="38"/>
      <c r="G112" s="38"/>
      <c r="H112" s="38"/>
      <c r="I112" s="38"/>
      <c r="J112" s="38"/>
      <c r="K112" s="35"/>
      <c r="L112" s="35"/>
      <c r="M112" s="39">
        <f>IF(U112&lt;&gt;1,"",IF(P112="DIRECTA",G112,IF(ISNUMBER(G112),G112,1)*IF(ISNUMBER(H112),H112,1)*IF(ISNUMBER(I112),I112,1)*IF(ISNUMBER(J112),J112,1)))</f>
      </c>
      <c r="N112" s="30">
        <f>IF(COUNTA(B112:L112)=0,"",IF(X112=0,IF(P112="CABECERA","VERDE · Fila descriptiva; la suma usa las líneas del ID","VERDE · Datos numéricos interpretables"),IF(X112=2,"ROJO · ","ÁMBAR · ")&amp;IF(NOT(IF(ISNUMBER($E$6),AND($E$6&gt;=0,$E$6&lt;=6,$E$6=INT($E$6)),FALSE)),"Indicamos entre 0 y 6 decimales en E6. ","")&amp;IF(O112=0,"Falta un ID numérico. ","")&amp;IF(R112=0,"Faltan capítulo, código, unidad o total numérico del ID. ","")&amp;IF(T112&gt;0,"Los datos o el total del ID se contradicen. ","")&amp;IF(AND(P112&lt;&gt;"DIMENSIONES",P112&lt;&gt;"DIRECTA",P112&lt;&gt;"SIN LÍNEAS",P112&lt;&gt;"CABECERA"),"Tipo de fila no reconocido. ","")&amp;IF(AND(OR(P112="SIN LÍNEAS",P112="CABECERA"),COUNTA(G112:J112)&gt;0),"La fila dice que no mide, pero contiene medidas. ","")&amp;IF(AND(OR(P112="DIRECTA",P112="DIMENSIONES"),U112=0),"Línea incompleta o con medidas no numéricas. ","")&amp;IF(P112="SIN LÍNEAS","No constan medidas de esta fila. ","")&amp;IF(Y112&gt;0,"Parece m³: tres dimensiones bajo m². ","")&amp;IF(AND(AB112&lt;&gt;"",SUMPRODUCT(--('LÉEME'!$B$65:$B$86=AC112))&lt;&gt;1),"Revisamos el significado de la unidad. ","")&amp;IF(Z112&gt;0,"Más precisión que los decimales indicados: cotejamos el original. ","")&amp;IF(AA112&gt;0,"Revisamos dimensiones, cantidad directa, ceros o deducción. ","")))</f>
      </c>
      <c r="O112" s="0" t="n">
        <f>IF(ISNUMBER(K112),IF(AND(K112&gt;0,K112=INT(K112),K112&lt;=999999),K112,0),0)</f>
        <v>0</v>
      </c>
      <c r="P112" s="0">
        <f>IF(COUNTA(B112:L112)=0,"",IF(L112="",IF(COUNTA(G112:J112)&gt;0,"DIMENSIONES","SIN LÍNEAS"),UPPER(TRIM(L112))))</f>
      </c>
      <c r="Q112" s="0">
        <f>IF(AND(O112&gt;0,LEN(TRIM(B112&amp;""))&gt;0,LEN(TRIM(C112&amp;""))&gt;0,LEN(TRIM(E112&amp;""))&gt;0,ISNUMBER(F112)),O112,"")</f>
      </c>
      <c r="R112" s="0" t="n">
        <f>IF(O112=0,0,IF(COUNTIFS($Q$13:$Q$512,O112)&gt;0,MATCH(O112,$Q$13:$Q$512,0),0))</f>
        <v>0</v>
      </c>
      <c r="S112" s="0">
        <f>IF(AB112="","",IF(SUMPRODUCT(--('LÉEME'!$B$65:$B$86=AC112))=1,INDEX('LÉEME'!$C$65:$C$86,MATCH(AC112,'LÉEME'!$B$65:$B$86,0)),UPPER(TRIM(AB112))))</f>
      </c>
      <c r="T112" s="0" t="n">
        <f>IF(R112=0,0,IF(OR(AND(LEN(TRIM(B112&amp;""))&gt;0,UPPER(TRIM(B112&amp;""))&lt;&gt;UPPER(TRIM(INDEX($B$13:$B$512,R112)&amp;""))),AND(LEN(TRIM(C112&amp;""))&gt;0,UPPER(TRIM(C112&amp;""))&lt;&gt;UPPER(TRIM(INDEX($C$13:$C$512,R112)&amp;""))),AND(LEN(TRIM(E112&amp;""))&gt;0,S112&lt;&gt;INDEX($S$13:$S$512,R112)),AND(F112&lt;&gt;"",NOT(ISNUMBER(F112)))),1,IF(ISNUMBER(F112),IF(ABS(F112-INDEX($F$13:$F$512,R112))&gt;0.00000001,1,0),0)))</f>
        <v>0</v>
      </c>
      <c r="U112" s="0" t="n">
        <f>IF(P112="DIRECTA",IF(AND(ISNUMBER(G112),COUNTA(H112:J112)=0),1,0),IF(P112="DIMENSIONES",IF(AND(COUNT(G112:J112)&gt;0,COUNTA(G112:J112)=COUNT(G112:J112)),1,0),0))</f>
        <v>0</v>
      </c>
      <c r="V112" s="0" t="n">
        <f>IF(O112=0,0,IF(COUNTIFS($O$13:O112,O112)=1,1,0))</f>
        <v>0</v>
      </c>
      <c r="W112" s="0">
        <f>IF(V112=1,COUNTIFS($V$13:V112,1),"")</f>
      </c>
      <c r="X112" s="0">
        <f>IF(COUNTA(B112:L112)=0,"",IF(OR(NOT(IF(ISNUMBER($E$6),AND($E$6&gt;=0,$E$6&lt;=6,$E$6=INT($E$6)),FALSE)),O112=0,R112=0,T112&gt;0,AND(P112&lt;&gt;"DIMENSIONES",P112&lt;&gt;"DIRECTA",P112&lt;&gt;"SIN LÍNEAS",P112&lt;&gt;"CABECERA"),AND(OR(P112="DIRECTA",P112="DIMENSIONES"),U112=0),AND(OR(P112="SIN LÍNEAS",P112="CABECERA"),COUNTA(G112:J112)&gt;0)),2,IF(OR(P112="SIN LÍNEAS",Y112&gt;0,Z112&gt;0,AA112&gt;0,SUMPRODUCT(--('LÉEME'!$B$65:$B$86=AC112))&lt;&gt;1),1,0)))</f>
      </c>
      <c r="Y112" s="0" t="n">
        <f>IF(AND(P112="DIMENSIONES",S112="m²",COUNT(H112:J112)=3),1,0)</f>
        <v>0</v>
      </c>
      <c r="Z112" s="0" t="n">
        <f>IF(IF(ISNUMBER($E$6),AND($E$6&gt;=0,$E$6&lt;=6,$E$6=INT($E$6)),FALSE),IF(SUM(IF(ISNUMBER(F112),IF(ABS(F112-ROUND(F112,$E$6))&gt;0.00000001,1,0),0),IF(ISNUMBER(G112),IF(ABS(G112-ROUND(G112,$E$6))&gt;0.00000001,1,0),0),IF(ISNUMBER(H112),IF(ABS(H112-ROUND(H112,$E$6))&gt;0.00000001,1,0),0),IF(ISNUMBER(I112),IF(ABS(I112-ROUND(I112,$E$6))&gt;0.00000001,1,0),0),IF(ISNUMBER(J112),IF(ABS(J112-ROUND(J112,$E$6))&gt;0.00000001,1,0),0),IF(ISNUMBER(M112),IF(ABS(M112-ROUND(M112,$E$6))&gt;0.00000001,1,0),0))&gt;0,1,0),0)</f>
        <v>0</v>
      </c>
      <c r="AA112" s="0" t="n">
        <f>IF(COUNTA(B112:L112)=0,0,IF(OR(AND(ISNUMBER(F112),F112&lt;0),AND(U112=1,OR(SUM(IF(ISNUMBER(G112),IF(G112=0,1,0),0),IF(ISNUMBER(H112),IF(H112=0,1,0),0),IF(ISNUMBER(I112),IF(I112=0,1,0),0),IF(ISNUMBER(J112),IF(J112=0,1,0),0))&gt;0,COUNTIFS(G112:J112,"&lt;0")&gt;0)),AND(P112="DIMENSIONES",U112=1,OR(AND(S112="m",COUNT(H112:J112)&lt;&gt;1),AND(S112="m²",COUNT(H112:J112)&lt;&gt;2,Y112=0),AND(S112="m³",COUNT(H112:J112)&lt;&gt;3),AND(S112="ud",COUNT(H112:J112)&gt;0))),AND(P112="DIRECTA",OR(S112="m",S112="m²",S112="m³"))),1,0))</f>
        <v>0</v>
      </c>
      <c r="AB112" s="0">
        <f>IF(LEN(TRIM(E112&amp;""))&gt;0,E112,IF(R112&gt;0,INDEX($E$13:$E$512,R112),""))</f>
      </c>
      <c r="AC112" s="0">
        <f>UPPER(SUBSTITUTE(SUBSTITUTE(SUBSTITUTE(SUBSTITUTE(SUBSTITUTE(TRIM(AB112),"²","2"),"³","3"),"^",""),".","")," ",""))</f>
      </c>
    </row>
    <row r="113" ht="35" customHeight="1">
      <c r="B113" s="35"/>
      <c r="C113" s="35"/>
      <c r="D113" s="37"/>
      <c r="E113" s="35"/>
      <c r="F113" s="38"/>
      <c r="G113" s="38"/>
      <c r="H113" s="38"/>
      <c r="I113" s="38"/>
      <c r="J113" s="38"/>
      <c r="K113" s="35"/>
      <c r="L113" s="35"/>
      <c r="M113" s="39">
        <f>IF(U113&lt;&gt;1,"",IF(P113="DIRECTA",G113,IF(ISNUMBER(G113),G113,1)*IF(ISNUMBER(H113),H113,1)*IF(ISNUMBER(I113),I113,1)*IF(ISNUMBER(J113),J113,1)))</f>
      </c>
      <c r="N113" s="30">
        <f>IF(COUNTA(B113:L113)=0,"",IF(X113=0,IF(P113="CABECERA","VERDE · Fila descriptiva; la suma usa las líneas del ID","VERDE · Datos numéricos interpretables"),IF(X113=2,"ROJO · ","ÁMBAR · ")&amp;IF(NOT(IF(ISNUMBER($E$6),AND($E$6&gt;=0,$E$6&lt;=6,$E$6=INT($E$6)),FALSE)),"Indicamos entre 0 y 6 decimales en E6. ","")&amp;IF(O113=0,"Falta un ID numérico. ","")&amp;IF(R113=0,"Faltan capítulo, código, unidad o total numérico del ID. ","")&amp;IF(T113&gt;0,"Los datos o el total del ID se contradicen. ","")&amp;IF(AND(P113&lt;&gt;"DIMENSIONES",P113&lt;&gt;"DIRECTA",P113&lt;&gt;"SIN LÍNEAS",P113&lt;&gt;"CABECERA"),"Tipo de fila no reconocido. ","")&amp;IF(AND(OR(P113="SIN LÍNEAS",P113="CABECERA"),COUNTA(G113:J113)&gt;0),"La fila dice que no mide, pero contiene medidas. ","")&amp;IF(AND(OR(P113="DIRECTA",P113="DIMENSIONES"),U113=0),"Línea incompleta o con medidas no numéricas. ","")&amp;IF(P113="SIN LÍNEAS","No constan medidas de esta fila. ","")&amp;IF(Y113&gt;0,"Parece m³: tres dimensiones bajo m². ","")&amp;IF(AND(AB113&lt;&gt;"",SUMPRODUCT(--('LÉEME'!$B$65:$B$86=AC113))&lt;&gt;1),"Revisamos el significado de la unidad. ","")&amp;IF(Z113&gt;0,"Más precisión que los decimales indicados: cotejamos el original. ","")&amp;IF(AA113&gt;0,"Revisamos dimensiones, cantidad directa, ceros o deducción. ","")))</f>
      </c>
      <c r="O113" s="0" t="n">
        <f>IF(ISNUMBER(K113),IF(AND(K113&gt;0,K113=INT(K113),K113&lt;=999999),K113,0),0)</f>
        <v>0</v>
      </c>
      <c r="P113" s="0">
        <f>IF(COUNTA(B113:L113)=0,"",IF(L113="",IF(COUNTA(G113:J113)&gt;0,"DIMENSIONES","SIN LÍNEAS"),UPPER(TRIM(L113))))</f>
      </c>
      <c r="Q113" s="0">
        <f>IF(AND(O113&gt;0,LEN(TRIM(B113&amp;""))&gt;0,LEN(TRIM(C113&amp;""))&gt;0,LEN(TRIM(E113&amp;""))&gt;0,ISNUMBER(F113)),O113,"")</f>
      </c>
      <c r="R113" s="0" t="n">
        <f>IF(O113=0,0,IF(COUNTIFS($Q$13:$Q$512,O113)&gt;0,MATCH(O113,$Q$13:$Q$512,0),0))</f>
        <v>0</v>
      </c>
      <c r="S113" s="0">
        <f>IF(AB113="","",IF(SUMPRODUCT(--('LÉEME'!$B$65:$B$86=AC113))=1,INDEX('LÉEME'!$C$65:$C$86,MATCH(AC113,'LÉEME'!$B$65:$B$86,0)),UPPER(TRIM(AB113))))</f>
      </c>
      <c r="T113" s="0" t="n">
        <f>IF(R113=0,0,IF(OR(AND(LEN(TRIM(B113&amp;""))&gt;0,UPPER(TRIM(B113&amp;""))&lt;&gt;UPPER(TRIM(INDEX($B$13:$B$512,R113)&amp;""))),AND(LEN(TRIM(C113&amp;""))&gt;0,UPPER(TRIM(C113&amp;""))&lt;&gt;UPPER(TRIM(INDEX($C$13:$C$512,R113)&amp;""))),AND(LEN(TRIM(E113&amp;""))&gt;0,S113&lt;&gt;INDEX($S$13:$S$512,R113)),AND(F113&lt;&gt;"",NOT(ISNUMBER(F113)))),1,IF(ISNUMBER(F113),IF(ABS(F113-INDEX($F$13:$F$512,R113))&gt;0.00000001,1,0),0)))</f>
        <v>0</v>
      </c>
      <c r="U113" s="0" t="n">
        <f>IF(P113="DIRECTA",IF(AND(ISNUMBER(G113),COUNTA(H113:J113)=0),1,0),IF(P113="DIMENSIONES",IF(AND(COUNT(G113:J113)&gt;0,COUNTA(G113:J113)=COUNT(G113:J113)),1,0),0))</f>
        <v>0</v>
      </c>
      <c r="V113" s="0" t="n">
        <f>IF(O113=0,0,IF(COUNTIFS($O$13:O113,O113)=1,1,0))</f>
        <v>0</v>
      </c>
      <c r="W113" s="0">
        <f>IF(V113=1,COUNTIFS($V$13:V113,1),"")</f>
      </c>
      <c r="X113" s="0">
        <f>IF(COUNTA(B113:L113)=0,"",IF(OR(NOT(IF(ISNUMBER($E$6),AND($E$6&gt;=0,$E$6&lt;=6,$E$6=INT($E$6)),FALSE)),O113=0,R113=0,T113&gt;0,AND(P113&lt;&gt;"DIMENSIONES",P113&lt;&gt;"DIRECTA",P113&lt;&gt;"SIN LÍNEAS",P113&lt;&gt;"CABECERA"),AND(OR(P113="DIRECTA",P113="DIMENSIONES"),U113=0),AND(OR(P113="SIN LÍNEAS",P113="CABECERA"),COUNTA(G113:J113)&gt;0)),2,IF(OR(P113="SIN LÍNEAS",Y113&gt;0,Z113&gt;0,AA113&gt;0,SUMPRODUCT(--('LÉEME'!$B$65:$B$86=AC113))&lt;&gt;1),1,0)))</f>
      </c>
      <c r="Y113" s="0" t="n">
        <f>IF(AND(P113="DIMENSIONES",S113="m²",COUNT(H113:J113)=3),1,0)</f>
        <v>0</v>
      </c>
      <c r="Z113" s="0" t="n">
        <f>IF(IF(ISNUMBER($E$6),AND($E$6&gt;=0,$E$6&lt;=6,$E$6=INT($E$6)),FALSE),IF(SUM(IF(ISNUMBER(F113),IF(ABS(F113-ROUND(F113,$E$6))&gt;0.00000001,1,0),0),IF(ISNUMBER(G113),IF(ABS(G113-ROUND(G113,$E$6))&gt;0.00000001,1,0),0),IF(ISNUMBER(H113),IF(ABS(H113-ROUND(H113,$E$6))&gt;0.00000001,1,0),0),IF(ISNUMBER(I113),IF(ABS(I113-ROUND(I113,$E$6))&gt;0.00000001,1,0),0),IF(ISNUMBER(J113),IF(ABS(J113-ROUND(J113,$E$6))&gt;0.00000001,1,0),0),IF(ISNUMBER(M113),IF(ABS(M113-ROUND(M113,$E$6))&gt;0.00000001,1,0),0))&gt;0,1,0),0)</f>
        <v>0</v>
      </c>
      <c r="AA113" s="0" t="n">
        <f>IF(COUNTA(B113:L113)=0,0,IF(OR(AND(ISNUMBER(F113),F113&lt;0),AND(U113=1,OR(SUM(IF(ISNUMBER(G113),IF(G113=0,1,0),0),IF(ISNUMBER(H113),IF(H113=0,1,0),0),IF(ISNUMBER(I113),IF(I113=0,1,0),0),IF(ISNUMBER(J113),IF(J113=0,1,0),0))&gt;0,COUNTIFS(G113:J113,"&lt;0")&gt;0)),AND(P113="DIMENSIONES",U113=1,OR(AND(S113="m",COUNT(H113:J113)&lt;&gt;1),AND(S113="m²",COUNT(H113:J113)&lt;&gt;2,Y113=0),AND(S113="m³",COUNT(H113:J113)&lt;&gt;3),AND(S113="ud",COUNT(H113:J113)&gt;0))),AND(P113="DIRECTA",OR(S113="m",S113="m²",S113="m³"))),1,0))</f>
        <v>0</v>
      </c>
      <c r="AB113" s="0">
        <f>IF(LEN(TRIM(E113&amp;""))&gt;0,E113,IF(R113&gt;0,INDEX($E$13:$E$512,R113),""))</f>
      </c>
      <c r="AC113" s="0">
        <f>UPPER(SUBSTITUTE(SUBSTITUTE(SUBSTITUTE(SUBSTITUTE(SUBSTITUTE(TRIM(AB113),"²","2"),"³","3"),"^",""),".","")," ",""))</f>
      </c>
    </row>
    <row r="114" ht="35" customHeight="1">
      <c r="B114" s="35"/>
      <c r="C114" s="35"/>
      <c r="D114" s="37"/>
      <c r="E114" s="35"/>
      <c r="F114" s="38"/>
      <c r="G114" s="38"/>
      <c r="H114" s="38"/>
      <c r="I114" s="38"/>
      <c r="J114" s="38"/>
      <c r="K114" s="35"/>
      <c r="L114" s="35"/>
      <c r="M114" s="39">
        <f>IF(U114&lt;&gt;1,"",IF(P114="DIRECTA",G114,IF(ISNUMBER(G114),G114,1)*IF(ISNUMBER(H114),H114,1)*IF(ISNUMBER(I114),I114,1)*IF(ISNUMBER(J114),J114,1)))</f>
      </c>
      <c r="N114" s="30">
        <f>IF(COUNTA(B114:L114)=0,"",IF(X114=0,IF(P114="CABECERA","VERDE · Fila descriptiva; la suma usa las líneas del ID","VERDE · Datos numéricos interpretables"),IF(X114=2,"ROJO · ","ÁMBAR · ")&amp;IF(NOT(IF(ISNUMBER($E$6),AND($E$6&gt;=0,$E$6&lt;=6,$E$6=INT($E$6)),FALSE)),"Indicamos entre 0 y 6 decimales en E6. ","")&amp;IF(O114=0,"Falta un ID numérico. ","")&amp;IF(R114=0,"Faltan capítulo, código, unidad o total numérico del ID. ","")&amp;IF(T114&gt;0,"Los datos o el total del ID se contradicen. ","")&amp;IF(AND(P114&lt;&gt;"DIMENSIONES",P114&lt;&gt;"DIRECTA",P114&lt;&gt;"SIN LÍNEAS",P114&lt;&gt;"CABECERA"),"Tipo de fila no reconocido. ","")&amp;IF(AND(OR(P114="SIN LÍNEAS",P114="CABECERA"),COUNTA(G114:J114)&gt;0),"La fila dice que no mide, pero contiene medidas. ","")&amp;IF(AND(OR(P114="DIRECTA",P114="DIMENSIONES"),U114=0),"Línea incompleta o con medidas no numéricas. ","")&amp;IF(P114="SIN LÍNEAS","No constan medidas de esta fila. ","")&amp;IF(Y114&gt;0,"Parece m³: tres dimensiones bajo m². ","")&amp;IF(AND(AB114&lt;&gt;"",SUMPRODUCT(--('LÉEME'!$B$65:$B$86=AC114))&lt;&gt;1),"Revisamos el significado de la unidad. ","")&amp;IF(Z114&gt;0,"Más precisión que los decimales indicados: cotejamos el original. ","")&amp;IF(AA114&gt;0,"Revisamos dimensiones, cantidad directa, ceros o deducción. ","")))</f>
      </c>
      <c r="O114" s="0" t="n">
        <f>IF(ISNUMBER(K114),IF(AND(K114&gt;0,K114=INT(K114),K114&lt;=999999),K114,0),0)</f>
        <v>0</v>
      </c>
      <c r="P114" s="0">
        <f>IF(COUNTA(B114:L114)=0,"",IF(L114="",IF(COUNTA(G114:J114)&gt;0,"DIMENSIONES","SIN LÍNEAS"),UPPER(TRIM(L114))))</f>
      </c>
      <c r="Q114" s="0">
        <f>IF(AND(O114&gt;0,LEN(TRIM(B114&amp;""))&gt;0,LEN(TRIM(C114&amp;""))&gt;0,LEN(TRIM(E114&amp;""))&gt;0,ISNUMBER(F114)),O114,"")</f>
      </c>
      <c r="R114" s="0" t="n">
        <f>IF(O114=0,0,IF(COUNTIFS($Q$13:$Q$512,O114)&gt;0,MATCH(O114,$Q$13:$Q$512,0),0))</f>
        <v>0</v>
      </c>
      <c r="S114" s="0">
        <f>IF(AB114="","",IF(SUMPRODUCT(--('LÉEME'!$B$65:$B$86=AC114))=1,INDEX('LÉEME'!$C$65:$C$86,MATCH(AC114,'LÉEME'!$B$65:$B$86,0)),UPPER(TRIM(AB114))))</f>
      </c>
      <c r="T114" s="0" t="n">
        <f>IF(R114=0,0,IF(OR(AND(LEN(TRIM(B114&amp;""))&gt;0,UPPER(TRIM(B114&amp;""))&lt;&gt;UPPER(TRIM(INDEX($B$13:$B$512,R114)&amp;""))),AND(LEN(TRIM(C114&amp;""))&gt;0,UPPER(TRIM(C114&amp;""))&lt;&gt;UPPER(TRIM(INDEX($C$13:$C$512,R114)&amp;""))),AND(LEN(TRIM(E114&amp;""))&gt;0,S114&lt;&gt;INDEX($S$13:$S$512,R114)),AND(F114&lt;&gt;"",NOT(ISNUMBER(F114)))),1,IF(ISNUMBER(F114),IF(ABS(F114-INDEX($F$13:$F$512,R114))&gt;0.00000001,1,0),0)))</f>
        <v>0</v>
      </c>
      <c r="U114" s="0" t="n">
        <f>IF(P114="DIRECTA",IF(AND(ISNUMBER(G114),COUNTA(H114:J114)=0),1,0),IF(P114="DIMENSIONES",IF(AND(COUNT(G114:J114)&gt;0,COUNTA(G114:J114)=COUNT(G114:J114)),1,0),0))</f>
        <v>0</v>
      </c>
      <c r="V114" s="0" t="n">
        <f>IF(O114=0,0,IF(COUNTIFS($O$13:O114,O114)=1,1,0))</f>
        <v>0</v>
      </c>
      <c r="W114" s="0">
        <f>IF(V114=1,COUNTIFS($V$13:V114,1),"")</f>
      </c>
      <c r="X114" s="0">
        <f>IF(COUNTA(B114:L114)=0,"",IF(OR(NOT(IF(ISNUMBER($E$6),AND($E$6&gt;=0,$E$6&lt;=6,$E$6=INT($E$6)),FALSE)),O114=0,R114=0,T114&gt;0,AND(P114&lt;&gt;"DIMENSIONES",P114&lt;&gt;"DIRECTA",P114&lt;&gt;"SIN LÍNEAS",P114&lt;&gt;"CABECERA"),AND(OR(P114="DIRECTA",P114="DIMENSIONES"),U114=0),AND(OR(P114="SIN LÍNEAS",P114="CABECERA"),COUNTA(G114:J114)&gt;0)),2,IF(OR(P114="SIN LÍNEAS",Y114&gt;0,Z114&gt;0,AA114&gt;0,SUMPRODUCT(--('LÉEME'!$B$65:$B$86=AC114))&lt;&gt;1),1,0)))</f>
      </c>
      <c r="Y114" s="0" t="n">
        <f>IF(AND(P114="DIMENSIONES",S114="m²",COUNT(H114:J114)=3),1,0)</f>
        <v>0</v>
      </c>
      <c r="Z114" s="0" t="n">
        <f>IF(IF(ISNUMBER($E$6),AND($E$6&gt;=0,$E$6&lt;=6,$E$6=INT($E$6)),FALSE),IF(SUM(IF(ISNUMBER(F114),IF(ABS(F114-ROUND(F114,$E$6))&gt;0.00000001,1,0),0),IF(ISNUMBER(G114),IF(ABS(G114-ROUND(G114,$E$6))&gt;0.00000001,1,0),0),IF(ISNUMBER(H114),IF(ABS(H114-ROUND(H114,$E$6))&gt;0.00000001,1,0),0),IF(ISNUMBER(I114),IF(ABS(I114-ROUND(I114,$E$6))&gt;0.00000001,1,0),0),IF(ISNUMBER(J114),IF(ABS(J114-ROUND(J114,$E$6))&gt;0.00000001,1,0),0),IF(ISNUMBER(M114),IF(ABS(M114-ROUND(M114,$E$6))&gt;0.00000001,1,0),0))&gt;0,1,0),0)</f>
        <v>0</v>
      </c>
      <c r="AA114" s="0" t="n">
        <f>IF(COUNTA(B114:L114)=0,0,IF(OR(AND(ISNUMBER(F114),F114&lt;0),AND(U114=1,OR(SUM(IF(ISNUMBER(G114),IF(G114=0,1,0),0),IF(ISNUMBER(H114),IF(H114=0,1,0),0),IF(ISNUMBER(I114),IF(I114=0,1,0),0),IF(ISNUMBER(J114),IF(J114=0,1,0),0))&gt;0,COUNTIFS(G114:J114,"&lt;0")&gt;0)),AND(P114="DIMENSIONES",U114=1,OR(AND(S114="m",COUNT(H114:J114)&lt;&gt;1),AND(S114="m²",COUNT(H114:J114)&lt;&gt;2,Y114=0),AND(S114="m³",COUNT(H114:J114)&lt;&gt;3),AND(S114="ud",COUNT(H114:J114)&gt;0))),AND(P114="DIRECTA",OR(S114="m",S114="m²",S114="m³"))),1,0))</f>
        <v>0</v>
      </c>
      <c r="AB114" s="0">
        <f>IF(LEN(TRIM(E114&amp;""))&gt;0,E114,IF(R114&gt;0,INDEX($E$13:$E$512,R114),""))</f>
      </c>
      <c r="AC114" s="0">
        <f>UPPER(SUBSTITUTE(SUBSTITUTE(SUBSTITUTE(SUBSTITUTE(SUBSTITUTE(TRIM(AB114),"²","2"),"³","3"),"^",""),".","")," ",""))</f>
      </c>
    </row>
    <row r="115" ht="35" customHeight="1">
      <c r="B115" s="35"/>
      <c r="C115" s="35"/>
      <c r="D115" s="37"/>
      <c r="E115" s="35"/>
      <c r="F115" s="38"/>
      <c r="G115" s="38"/>
      <c r="H115" s="38"/>
      <c r="I115" s="38"/>
      <c r="J115" s="38"/>
      <c r="K115" s="35"/>
      <c r="L115" s="35"/>
      <c r="M115" s="39">
        <f>IF(U115&lt;&gt;1,"",IF(P115="DIRECTA",G115,IF(ISNUMBER(G115),G115,1)*IF(ISNUMBER(H115),H115,1)*IF(ISNUMBER(I115),I115,1)*IF(ISNUMBER(J115),J115,1)))</f>
      </c>
      <c r="N115" s="30">
        <f>IF(COUNTA(B115:L115)=0,"",IF(X115=0,IF(P115="CABECERA","VERDE · Fila descriptiva; la suma usa las líneas del ID","VERDE · Datos numéricos interpretables"),IF(X115=2,"ROJO · ","ÁMBAR · ")&amp;IF(NOT(IF(ISNUMBER($E$6),AND($E$6&gt;=0,$E$6&lt;=6,$E$6=INT($E$6)),FALSE)),"Indicamos entre 0 y 6 decimales en E6. ","")&amp;IF(O115=0,"Falta un ID numérico. ","")&amp;IF(R115=0,"Faltan capítulo, código, unidad o total numérico del ID. ","")&amp;IF(T115&gt;0,"Los datos o el total del ID se contradicen. ","")&amp;IF(AND(P115&lt;&gt;"DIMENSIONES",P115&lt;&gt;"DIRECTA",P115&lt;&gt;"SIN LÍNEAS",P115&lt;&gt;"CABECERA"),"Tipo de fila no reconocido. ","")&amp;IF(AND(OR(P115="SIN LÍNEAS",P115="CABECERA"),COUNTA(G115:J115)&gt;0),"La fila dice que no mide, pero contiene medidas. ","")&amp;IF(AND(OR(P115="DIRECTA",P115="DIMENSIONES"),U115=0),"Línea incompleta o con medidas no numéricas. ","")&amp;IF(P115="SIN LÍNEAS","No constan medidas de esta fila. ","")&amp;IF(Y115&gt;0,"Parece m³: tres dimensiones bajo m². ","")&amp;IF(AND(AB115&lt;&gt;"",SUMPRODUCT(--('LÉEME'!$B$65:$B$86=AC115))&lt;&gt;1),"Revisamos el significado de la unidad. ","")&amp;IF(Z115&gt;0,"Más precisión que los decimales indicados: cotejamos el original. ","")&amp;IF(AA115&gt;0,"Revisamos dimensiones, cantidad directa, ceros o deducción. ","")))</f>
      </c>
      <c r="O115" s="0" t="n">
        <f>IF(ISNUMBER(K115),IF(AND(K115&gt;0,K115=INT(K115),K115&lt;=999999),K115,0),0)</f>
        <v>0</v>
      </c>
      <c r="P115" s="0">
        <f>IF(COUNTA(B115:L115)=0,"",IF(L115="",IF(COUNTA(G115:J115)&gt;0,"DIMENSIONES","SIN LÍNEAS"),UPPER(TRIM(L115))))</f>
      </c>
      <c r="Q115" s="0">
        <f>IF(AND(O115&gt;0,LEN(TRIM(B115&amp;""))&gt;0,LEN(TRIM(C115&amp;""))&gt;0,LEN(TRIM(E115&amp;""))&gt;0,ISNUMBER(F115)),O115,"")</f>
      </c>
      <c r="R115" s="0" t="n">
        <f>IF(O115=0,0,IF(COUNTIFS($Q$13:$Q$512,O115)&gt;0,MATCH(O115,$Q$13:$Q$512,0),0))</f>
        <v>0</v>
      </c>
      <c r="S115" s="0">
        <f>IF(AB115="","",IF(SUMPRODUCT(--('LÉEME'!$B$65:$B$86=AC115))=1,INDEX('LÉEME'!$C$65:$C$86,MATCH(AC115,'LÉEME'!$B$65:$B$86,0)),UPPER(TRIM(AB115))))</f>
      </c>
      <c r="T115" s="0" t="n">
        <f>IF(R115=0,0,IF(OR(AND(LEN(TRIM(B115&amp;""))&gt;0,UPPER(TRIM(B115&amp;""))&lt;&gt;UPPER(TRIM(INDEX($B$13:$B$512,R115)&amp;""))),AND(LEN(TRIM(C115&amp;""))&gt;0,UPPER(TRIM(C115&amp;""))&lt;&gt;UPPER(TRIM(INDEX($C$13:$C$512,R115)&amp;""))),AND(LEN(TRIM(E115&amp;""))&gt;0,S115&lt;&gt;INDEX($S$13:$S$512,R115)),AND(F115&lt;&gt;"",NOT(ISNUMBER(F115)))),1,IF(ISNUMBER(F115),IF(ABS(F115-INDEX($F$13:$F$512,R115))&gt;0.00000001,1,0),0)))</f>
        <v>0</v>
      </c>
      <c r="U115" s="0" t="n">
        <f>IF(P115="DIRECTA",IF(AND(ISNUMBER(G115),COUNTA(H115:J115)=0),1,0),IF(P115="DIMENSIONES",IF(AND(COUNT(G115:J115)&gt;0,COUNTA(G115:J115)=COUNT(G115:J115)),1,0),0))</f>
        <v>0</v>
      </c>
      <c r="V115" s="0" t="n">
        <f>IF(O115=0,0,IF(COUNTIFS($O$13:O115,O115)=1,1,0))</f>
        <v>0</v>
      </c>
      <c r="W115" s="0">
        <f>IF(V115=1,COUNTIFS($V$13:V115,1),"")</f>
      </c>
      <c r="X115" s="0">
        <f>IF(COUNTA(B115:L115)=0,"",IF(OR(NOT(IF(ISNUMBER($E$6),AND($E$6&gt;=0,$E$6&lt;=6,$E$6=INT($E$6)),FALSE)),O115=0,R115=0,T115&gt;0,AND(P115&lt;&gt;"DIMENSIONES",P115&lt;&gt;"DIRECTA",P115&lt;&gt;"SIN LÍNEAS",P115&lt;&gt;"CABECERA"),AND(OR(P115="DIRECTA",P115="DIMENSIONES"),U115=0),AND(OR(P115="SIN LÍNEAS",P115="CABECERA"),COUNTA(G115:J115)&gt;0)),2,IF(OR(P115="SIN LÍNEAS",Y115&gt;0,Z115&gt;0,AA115&gt;0,SUMPRODUCT(--('LÉEME'!$B$65:$B$86=AC115))&lt;&gt;1),1,0)))</f>
      </c>
      <c r="Y115" s="0" t="n">
        <f>IF(AND(P115="DIMENSIONES",S115="m²",COUNT(H115:J115)=3),1,0)</f>
        <v>0</v>
      </c>
      <c r="Z115" s="0" t="n">
        <f>IF(IF(ISNUMBER($E$6),AND($E$6&gt;=0,$E$6&lt;=6,$E$6=INT($E$6)),FALSE),IF(SUM(IF(ISNUMBER(F115),IF(ABS(F115-ROUND(F115,$E$6))&gt;0.00000001,1,0),0),IF(ISNUMBER(G115),IF(ABS(G115-ROUND(G115,$E$6))&gt;0.00000001,1,0),0),IF(ISNUMBER(H115),IF(ABS(H115-ROUND(H115,$E$6))&gt;0.00000001,1,0),0),IF(ISNUMBER(I115),IF(ABS(I115-ROUND(I115,$E$6))&gt;0.00000001,1,0),0),IF(ISNUMBER(J115),IF(ABS(J115-ROUND(J115,$E$6))&gt;0.00000001,1,0),0),IF(ISNUMBER(M115),IF(ABS(M115-ROUND(M115,$E$6))&gt;0.00000001,1,0),0))&gt;0,1,0),0)</f>
        <v>0</v>
      </c>
      <c r="AA115" s="0" t="n">
        <f>IF(COUNTA(B115:L115)=0,0,IF(OR(AND(ISNUMBER(F115),F115&lt;0),AND(U115=1,OR(SUM(IF(ISNUMBER(G115),IF(G115=0,1,0),0),IF(ISNUMBER(H115),IF(H115=0,1,0),0),IF(ISNUMBER(I115),IF(I115=0,1,0),0),IF(ISNUMBER(J115),IF(J115=0,1,0),0))&gt;0,COUNTIFS(G115:J115,"&lt;0")&gt;0)),AND(P115="DIMENSIONES",U115=1,OR(AND(S115="m",COUNT(H115:J115)&lt;&gt;1),AND(S115="m²",COUNT(H115:J115)&lt;&gt;2,Y115=0),AND(S115="m³",COUNT(H115:J115)&lt;&gt;3),AND(S115="ud",COUNT(H115:J115)&gt;0))),AND(P115="DIRECTA",OR(S115="m",S115="m²",S115="m³"))),1,0))</f>
        <v>0</v>
      </c>
      <c r="AB115" s="0">
        <f>IF(LEN(TRIM(E115&amp;""))&gt;0,E115,IF(R115&gt;0,INDEX($E$13:$E$512,R115),""))</f>
      </c>
      <c r="AC115" s="0">
        <f>UPPER(SUBSTITUTE(SUBSTITUTE(SUBSTITUTE(SUBSTITUTE(SUBSTITUTE(TRIM(AB115),"²","2"),"³","3"),"^",""),".","")," ",""))</f>
      </c>
    </row>
    <row r="116" ht="35" customHeight="1">
      <c r="B116" s="35"/>
      <c r="C116" s="35"/>
      <c r="D116" s="37"/>
      <c r="E116" s="35"/>
      <c r="F116" s="38"/>
      <c r="G116" s="38"/>
      <c r="H116" s="38"/>
      <c r="I116" s="38"/>
      <c r="J116" s="38"/>
      <c r="K116" s="35"/>
      <c r="L116" s="35"/>
      <c r="M116" s="39">
        <f>IF(U116&lt;&gt;1,"",IF(P116="DIRECTA",G116,IF(ISNUMBER(G116),G116,1)*IF(ISNUMBER(H116),H116,1)*IF(ISNUMBER(I116),I116,1)*IF(ISNUMBER(J116),J116,1)))</f>
      </c>
      <c r="N116" s="30">
        <f>IF(COUNTA(B116:L116)=0,"",IF(X116=0,IF(P116="CABECERA","VERDE · Fila descriptiva; la suma usa las líneas del ID","VERDE · Datos numéricos interpretables"),IF(X116=2,"ROJO · ","ÁMBAR · ")&amp;IF(NOT(IF(ISNUMBER($E$6),AND($E$6&gt;=0,$E$6&lt;=6,$E$6=INT($E$6)),FALSE)),"Indicamos entre 0 y 6 decimales en E6. ","")&amp;IF(O116=0,"Falta un ID numérico. ","")&amp;IF(R116=0,"Faltan capítulo, código, unidad o total numérico del ID. ","")&amp;IF(T116&gt;0,"Los datos o el total del ID se contradicen. ","")&amp;IF(AND(P116&lt;&gt;"DIMENSIONES",P116&lt;&gt;"DIRECTA",P116&lt;&gt;"SIN LÍNEAS",P116&lt;&gt;"CABECERA"),"Tipo de fila no reconocido. ","")&amp;IF(AND(OR(P116="SIN LÍNEAS",P116="CABECERA"),COUNTA(G116:J116)&gt;0),"La fila dice que no mide, pero contiene medidas. ","")&amp;IF(AND(OR(P116="DIRECTA",P116="DIMENSIONES"),U116=0),"Línea incompleta o con medidas no numéricas. ","")&amp;IF(P116="SIN LÍNEAS","No constan medidas de esta fila. ","")&amp;IF(Y116&gt;0,"Parece m³: tres dimensiones bajo m². ","")&amp;IF(AND(AB116&lt;&gt;"",SUMPRODUCT(--('LÉEME'!$B$65:$B$86=AC116))&lt;&gt;1),"Revisamos el significado de la unidad. ","")&amp;IF(Z116&gt;0,"Más precisión que los decimales indicados: cotejamos el original. ","")&amp;IF(AA116&gt;0,"Revisamos dimensiones, cantidad directa, ceros o deducción. ","")))</f>
      </c>
      <c r="O116" s="0" t="n">
        <f>IF(ISNUMBER(K116),IF(AND(K116&gt;0,K116=INT(K116),K116&lt;=999999),K116,0),0)</f>
        <v>0</v>
      </c>
      <c r="P116" s="0">
        <f>IF(COUNTA(B116:L116)=0,"",IF(L116="",IF(COUNTA(G116:J116)&gt;0,"DIMENSIONES","SIN LÍNEAS"),UPPER(TRIM(L116))))</f>
      </c>
      <c r="Q116" s="0">
        <f>IF(AND(O116&gt;0,LEN(TRIM(B116&amp;""))&gt;0,LEN(TRIM(C116&amp;""))&gt;0,LEN(TRIM(E116&amp;""))&gt;0,ISNUMBER(F116)),O116,"")</f>
      </c>
      <c r="R116" s="0" t="n">
        <f>IF(O116=0,0,IF(COUNTIFS($Q$13:$Q$512,O116)&gt;0,MATCH(O116,$Q$13:$Q$512,0),0))</f>
        <v>0</v>
      </c>
      <c r="S116" s="0">
        <f>IF(AB116="","",IF(SUMPRODUCT(--('LÉEME'!$B$65:$B$86=AC116))=1,INDEX('LÉEME'!$C$65:$C$86,MATCH(AC116,'LÉEME'!$B$65:$B$86,0)),UPPER(TRIM(AB116))))</f>
      </c>
      <c r="T116" s="0" t="n">
        <f>IF(R116=0,0,IF(OR(AND(LEN(TRIM(B116&amp;""))&gt;0,UPPER(TRIM(B116&amp;""))&lt;&gt;UPPER(TRIM(INDEX($B$13:$B$512,R116)&amp;""))),AND(LEN(TRIM(C116&amp;""))&gt;0,UPPER(TRIM(C116&amp;""))&lt;&gt;UPPER(TRIM(INDEX($C$13:$C$512,R116)&amp;""))),AND(LEN(TRIM(E116&amp;""))&gt;0,S116&lt;&gt;INDEX($S$13:$S$512,R116)),AND(F116&lt;&gt;"",NOT(ISNUMBER(F116)))),1,IF(ISNUMBER(F116),IF(ABS(F116-INDEX($F$13:$F$512,R116))&gt;0.00000001,1,0),0)))</f>
        <v>0</v>
      </c>
      <c r="U116" s="0" t="n">
        <f>IF(P116="DIRECTA",IF(AND(ISNUMBER(G116),COUNTA(H116:J116)=0),1,0),IF(P116="DIMENSIONES",IF(AND(COUNT(G116:J116)&gt;0,COUNTA(G116:J116)=COUNT(G116:J116)),1,0),0))</f>
        <v>0</v>
      </c>
      <c r="V116" s="0" t="n">
        <f>IF(O116=0,0,IF(COUNTIFS($O$13:O116,O116)=1,1,0))</f>
        <v>0</v>
      </c>
      <c r="W116" s="0">
        <f>IF(V116=1,COUNTIFS($V$13:V116,1),"")</f>
      </c>
      <c r="X116" s="0">
        <f>IF(COUNTA(B116:L116)=0,"",IF(OR(NOT(IF(ISNUMBER($E$6),AND($E$6&gt;=0,$E$6&lt;=6,$E$6=INT($E$6)),FALSE)),O116=0,R116=0,T116&gt;0,AND(P116&lt;&gt;"DIMENSIONES",P116&lt;&gt;"DIRECTA",P116&lt;&gt;"SIN LÍNEAS",P116&lt;&gt;"CABECERA"),AND(OR(P116="DIRECTA",P116="DIMENSIONES"),U116=0),AND(OR(P116="SIN LÍNEAS",P116="CABECERA"),COUNTA(G116:J116)&gt;0)),2,IF(OR(P116="SIN LÍNEAS",Y116&gt;0,Z116&gt;0,AA116&gt;0,SUMPRODUCT(--('LÉEME'!$B$65:$B$86=AC116))&lt;&gt;1),1,0)))</f>
      </c>
      <c r="Y116" s="0" t="n">
        <f>IF(AND(P116="DIMENSIONES",S116="m²",COUNT(H116:J116)=3),1,0)</f>
        <v>0</v>
      </c>
      <c r="Z116" s="0" t="n">
        <f>IF(IF(ISNUMBER($E$6),AND($E$6&gt;=0,$E$6&lt;=6,$E$6=INT($E$6)),FALSE),IF(SUM(IF(ISNUMBER(F116),IF(ABS(F116-ROUND(F116,$E$6))&gt;0.00000001,1,0),0),IF(ISNUMBER(G116),IF(ABS(G116-ROUND(G116,$E$6))&gt;0.00000001,1,0),0),IF(ISNUMBER(H116),IF(ABS(H116-ROUND(H116,$E$6))&gt;0.00000001,1,0),0),IF(ISNUMBER(I116),IF(ABS(I116-ROUND(I116,$E$6))&gt;0.00000001,1,0),0),IF(ISNUMBER(J116),IF(ABS(J116-ROUND(J116,$E$6))&gt;0.00000001,1,0),0),IF(ISNUMBER(M116),IF(ABS(M116-ROUND(M116,$E$6))&gt;0.00000001,1,0),0))&gt;0,1,0),0)</f>
        <v>0</v>
      </c>
      <c r="AA116" s="0" t="n">
        <f>IF(COUNTA(B116:L116)=0,0,IF(OR(AND(ISNUMBER(F116),F116&lt;0),AND(U116=1,OR(SUM(IF(ISNUMBER(G116),IF(G116=0,1,0),0),IF(ISNUMBER(H116),IF(H116=0,1,0),0),IF(ISNUMBER(I116),IF(I116=0,1,0),0),IF(ISNUMBER(J116),IF(J116=0,1,0),0))&gt;0,COUNTIFS(G116:J116,"&lt;0")&gt;0)),AND(P116="DIMENSIONES",U116=1,OR(AND(S116="m",COUNT(H116:J116)&lt;&gt;1),AND(S116="m²",COUNT(H116:J116)&lt;&gt;2,Y116=0),AND(S116="m³",COUNT(H116:J116)&lt;&gt;3),AND(S116="ud",COUNT(H116:J116)&gt;0))),AND(P116="DIRECTA",OR(S116="m",S116="m²",S116="m³"))),1,0))</f>
        <v>0</v>
      </c>
      <c r="AB116" s="0">
        <f>IF(LEN(TRIM(E116&amp;""))&gt;0,E116,IF(R116&gt;0,INDEX($E$13:$E$512,R116),""))</f>
      </c>
      <c r="AC116" s="0">
        <f>UPPER(SUBSTITUTE(SUBSTITUTE(SUBSTITUTE(SUBSTITUTE(SUBSTITUTE(TRIM(AB116),"²","2"),"³","3"),"^",""),".","")," ",""))</f>
      </c>
    </row>
    <row r="117" ht="35" customHeight="1">
      <c r="B117" s="35"/>
      <c r="C117" s="35"/>
      <c r="D117" s="37"/>
      <c r="E117" s="35"/>
      <c r="F117" s="38"/>
      <c r="G117" s="38"/>
      <c r="H117" s="38"/>
      <c r="I117" s="38"/>
      <c r="J117" s="38"/>
      <c r="K117" s="35"/>
      <c r="L117" s="35"/>
      <c r="M117" s="39">
        <f>IF(U117&lt;&gt;1,"",IF(P117="DIRECTA",G117,IF(ISNUMBER(G117),G117,1)*IF(ISNUMBER(H117),H117,1)*IF(ISNUMBER(I117),I117,1)*IF(ISNUMBER(J117),J117,1)))</f>
      </c>
      <c r="N117" s="30">
        <f>IF(COUNTA(B117:L117)=0,"",IF(X117=0,IF(P117="CABECERA","VERDE · Fila descriptiva; la suma usa las líneas del ID","VERDE · Datos numéricos interpretables"),IF(X117=2,"ROJO · ","ÁMBAR · ")&amp;IF(NOT(IF(ISNUMBER($E$6),AND($E$6&gt;=0,$E$6&lt;=6,$E$6=INT($E$6)),FALSE)),"Indicamos entre 0 y 6 decimales en E6. ","")&amp;IF(O117=0,"Falta un ID numérico. ","")&amp;IF(R117=0,"Faltan capítulo, código, unidad o total numérico del ID. ","")&amp;IF(T117&gt;0,"Los datos o el total del ID se contradicen. ","")&amp;IF(AND(P117&lt;&gt;"DIMENSIONES",P117&lt;&gt;"DIRECTA",P117&lt;&gt;"SIN LÍNEAS",P117&lt;&gt;"CABECERA"),"Tipo de fila no reconocido. ","")&amp;IF(AND(OR(P117="SIN LÍNEAS",P117="CABECERA"),COUNTA(G117:J117)&gt;0),"La fila dice que no mide, pero contiene medidas. ","")&amp;IF(AND(OR(P117="DIRECTA",P117="DIMENSIONES"),U117=0),"Línea incompleta o con medidas no numéricas. ","")&amp;IF(P117="SIN LÍNEAS","No constan medidas de esta fila. ","")&amp;IF(Y117&gt;0,"Parece m³: tres dimensiones bajo m². ","")&amp;IF(AND(AB117&lt;&gt;"",SUMPRODUCT(--('LÉEME'!$B$65:$B$86=AC117))&lt;&gt;1),"Revisamos el significado de la unidad. ","")&amp;IF(Z117&gt;0,"Más precisión que los decimales indicados: cotejamos el original. ","")&amp;IF(AA117&gt;0,"Revisamos dimensiones, cantidad directa, ceros o deducción. ","")))</f>
      </c>
      <c r="O117" s="0" t="n">
        <f>IF(ISNUMBER(K117),IF(AND(K117&gt;0,K117=INT(K117),K117&lt;=999999),K117,0),0)</f>
        <v>0</v>
      </c>
      <c r="P117" s="0">
        <f>IF(COUNTA(B117:L117)=0,"",IF(L117="",IF(COUNTA(G117:J117)&gt;0,"DIMENSIONES","SIN LÍNEAS"),UPPER(TRIM(L117))))</f>
      </c>
      <c r="Q117" s="0">
        <f>IF(AND(O117&gt;0,LEN(TRIM(B117&amp;""))&gt;0,LEN(TRIM(C117&amp;""))&gt;0,LEN(TRIM(E117&amp;""))&gt;0,ISNUMBER(F117)),O117,"")</f>
      </c>
      <c r="R117" s="0" t="n">
        <f>IF(O117=0,0,IF(COUNTIFS($Q$13:$Q$512,O117)&gt;0,MATCH(O117,$Q$13:$Q$512,0),0))</f>
        <v>0</v>
      </c>
      <c r="S117" s="0">
        <f>IF(AB117="","",IF(SUMPRODUCT(--('LÉEME'!$B$65:$B$86=AC117))=1,INDEX('LÉEME'!$C$65:$C$86,MATCH(AC117,'LÉEME'!$B$65:$B$86,0)),UPPER(TRIM(AB117))))</f>
      </c>
      <c r="T117" s="0" t="n">
        <f>IF(R117=0,0,IF(OR(AND(LEN(TRIM(B117&amp;""))&gt;0,UPPER(TRIM(B117&amp;""))&lt;&gt;UPPER(TRIM(INDEX($B$13:$B$512,R117)&amp;""))),AND(LEN(TRIM(C117&amp;""))&gt;0,UPPER(TRIM(C117&amp;""))&lt;&gt;UPPER(TRIM(INDEX($C$13:$C$512,R117)&amp;""))),AND(LEN(TRIM(E117&amp;""))&gt;0,S117&lt;&gt;INDEX($S$13:$S$512,R117)),AND(F117&lt;&gt;"",NOT(ISNUMBER(F117)))),1,IF(ISNUMBER(F117),IF(ABS(F117-INDEX($F$13:$F$512,R117))&gt;0.00000001,1,0),0)))</f>
        <v>0</v>
      </c>
      <c r="U117" s="0" t="n">
        <f>IF(P117="DIRECTA",IF(AND(ISNUMBER(G117),COUNTA(H117:J117)=0),1,0),IF(P117="DIMENSIONES",IF(AND(COUNT(G117:J117)&gt;0,COUNTA(G117:J117)=COUNT(G117:J117)),1,0),0))</f>
        <v>0</v>
      </c>
      <c r="V117" s="0" t="n">
        <f>IF(O117=0,0,IF(COUNTIFS($O$13:O117,O117)=1,1,0))</f>
        <v>0</v>
      </c>
      <c r="W117" s="0">
        <f>IF(V117=1,COUNTIFS($V$13:V117,1),"")</f>
      </c>
      <c r="X117" s="0">
        <f>IF(COUNTA(B117:L117)=0,"",IF(OR(NOT(IF(ISNUMBER($E$6),AND($E$6&gt;=0,$E$6&lt;=6,$E$6=INT($E$6)),FALSE)),O117=0,R117=0,T117&gt;0,AND(P117&lt;&gt;"DIMENSIONES",P117&lt;&gt;"DIRECTA",P117&lt;&gt;"SIN LÍNEAS",P117&lt;&gt;"CABECERA"),AND(OR(P117="DIRECTA",P117="DIMENSIONES"),U117=0),AND(OR(P117="SIN LÍNEAS",P117="CABECERA"),COUNTA(G117:J117)&gt;0)),2,IF(OR(P117="SIN LÍNEAS",Y117&gt;0,Z117&gt;0,AA117&gt;0,SUMPRODUCT(--('LÉEME'!$B$65:$B$86=AC117))&lt;&gt;1),1,0)))</f>
      </c>
      <c r="Y117" s="0" t="n">
        <f>IF(AND(P117="DIMENSIONES",S117="m²",COUNT(H117:J117)=3),1,0)</f>
        <v>0</v>
      </c>
      <c r="Z117" s="0" t="n">
        <f>IF(IF(ISNUMBER($E$6),AND($E$6&gt;=0,$E$6&lt;=6,$E$6=INT($E$6)),FALSE),IF(SUM(IF(ISNUMBER(F117),IF(ABS(F117-ROUND(F117,$E$6))&gt;0.00000001,1,0),0),IF(ISNUMBER(G117),IF(ABS(G117-ROUND(G117,$E$6))&gt;0.00000001,1,0),0),IF(ISNUMBER(H117),IF(ABS(H117-ROUND(H117,$E$6))&gt;0.00000001,1,0),0),IF(ISNUMBER(I117),IF(ABS(I117-ROUND(I117,$E$6))&gt;0.00000001,1,0),0),IF(ISNUMBER(J117),IF(ABS(J117-ROUND(J117,$E$6))&gt;0.00000001,1,0),0),IF(ISNUMBER(M117),IF(ABS(M117-ROUND(M117,$E$6))&gt;0.00000001,1,0),0))&gt;0,1,0),0)</f>
        <v>0</v>
      </c>
      <c r="AA117" s="0" t="n">
        <f>IF(COUNTA(B117:L117)=0,0,IF(OR(AND(ISNUMBER(F117),F117&lt;0),AND(U117=1,OR(SUM(IF(ISNUMBER(G117),IF(G117=0,1,0),0),IF(ISNUMBER(H117),IF(H117=0,1,0),0),IF(ISNUMBER(I117),IF(I117=0,1,0),0),IF(ISNUMBER(J117),IF(J117=0,1,0),0))&gt;0,COUNTIFS(G117:J117,"&lt;0")&gt;0)),AND(P117="DIMENSIONES",U117=1,OR(AND(S117="m",COUNT(H117:J117)&lt;&gt;1),AND(S117="m²",COUNT(H117:J117)&lt;&gt;2,Y117=0),AND(S117="m³",COUNT(H117:J117)&lt;&gt;3),AND(S117="ud",COUNT(H117:J117)&gt;0))),AND(P117="DIRECTA",OR(S117="m",S117="m²",S117="m³"))),1,0))</f>
        <v>0</v>
      </c>
      <c r="AB117" s="0">
        <f>IF(LEN(TRIM(E117&amp;""))&gt;0,E117,IF(R117&gt;0,INDEX($E$13:$E$512,R117),""))</f>
      </c>
      <c r="AC117" s="0">
        <f>UPPER(SUBSTITUTE(SUBSTITUTE(SUBSTITUTE(SUBSTITUTE(SUBSTITUTE(TRIM(AB117),"²","2"),"³","3"),"^",""),".","")," ",""))</f>
      </c>
    </row>
    <row r="118" ht="35" customHeight="1">
      <c r="B118" s="35"/>
      <c r="C118" s="35"/>
      <c r="D118" s="37"/>
      <c r="E118" s="35"/>
      <c r="F118" s="38"/>
      <c r="G118" s="38"/>
      <c r="H118" s="38"/>
      <c r="I118" s="38"/>
      <c r="J118" s="38"/>
      <c r="K118" s="35"/>
      <c r="L118" s="35"/>
      <c r="M118" s="39">
        <f>IF(U118&lt;&gt;1,"",IF(P118="DIRECTA",G118,IF(ISNUMBER(G118),G118,1)*IF(ISNUMBER(H118),H118,1)*IF(ISNUMBER(I118),I118,1)*IF(ISNUMBER(J118),J118,1)))</f>
      </c>
      <c r="N118" s="30">
        <f>IF(COUNTA(B118:L118)=0,"",IF(X118=0,IF(P118="CABECERA","VERDE · Fila descriptiva; la suma usa las líneas del ID","VERDE · Datos numéricos interpretables"),IF(X118=2,"ROJO · ","ÁMBAR · ")&amp;IF(NOT(IF(ISNUMBER($E$6),AND($E$6&gt;=0,$E$6&lt;=6,$E$6=INT($E$6)),FALSE)),"Indicamos entre 0 y 6 decimales en E6. ","")&amp;IF(O118=0,"Falta un ID numérico. ","")&amp;IF(R118=0,"Faltan capítulo, código, unidad o total numérico del ID. ","")&amp;IF(T118&gt;0,"Los datos o el total del ID se contradicen. ","")&amp;IF(AND(P118&lt;&gt;"DIMENSIONES",P118&lt;&gt;"DIRECTA",P118&lt;&gt;"SIN LÍNEAS",P118&lt;&gt;"CABECERA"),"Tipo de fila no reconocido. ","")&amp;IF(AND(OR(P118="SIN LÍNEAS",P118="CABECERA"),COUNTA(G118:J118)&gt;0),"La fila dice que no mide, pero contiene medidas. ","")&amp;IF(AND(OR(P118="DIRECTA",P118="DIMENSIONES"),U118=0),"Línea incompleta o con medidas no numéricas. ","")&amp;IF(P118="SIN LÍNEAS","No constan medidas de esta fila. ","")&amp;IF(Y118&gt;0,"Parece m³: tres dimensiones bajo m². ","")&amp;IF(AND(AB118&lt;&gt;"",SUMPRODUCT(--('LÉEME'!$B$65:$B$86=AC118))&lt;&gt;1),"Revisamos el significado de la unidad. ","")&amp;IF(Z118&gt;0,"Más precisión que los decimales indicados: cotejamos el original. ","")&amp;IF(AA118&gt;0,"Revisamos dimensiones, cantidad directa, ceros o deducción. ","")))</f>
      </c>
      <c r="O118" s="0" t="n">
        <f>IF(ISNUMBER(K118),IF(AND(K118&gt;0,K118=INT(K118),K118&lt;=999999),K118,0),0)</f>
        <v>0</v>
      </c>
      <c r="P118" s="0">
        <f>IF(COUNTA(B118:L118)=0,"",IF(L118="",IF(COUNTA(G118:J118)&gt;0,"DIMENSIONES","SIN LÍNEAS"),UPPER(TRIM(L118))))</f>
      </c>
      <c r="Q118" s="0">
        <f>IF(AND(O118&gt;0,LEN(TRIM(B118&amp;""))&gt;0,LEN(TRIM(C118&amp;""))&gt;0,LEN(TRIM(E118&amp;""))&gt;0,ISNUMBER(F118)),O118,"")</f>
      </c>
      <c r="R118" s="0" t="n">
        <f>IF(O118=0,0,IF(COUNTIFS($Q$13:$Q$512,O118)&gt;0,MATCH(O118,$Q$13:$Q$512,0),0))</f>
        <v>0</v>
      </c>
      <c r="S118" s="0">
        <f>IF(AB118="","",IF(SUMPRODUCT(--('LÉEME'!$B$65:$B$86=AC118))=1,INDEX('LÉEME'!$C$65:$C$86,MATCH(AC118,'LÉEME'!$B$65:$B$86,0)),UPPER(TRIM(AB118))))</f>
      </c>
      <c r="T118" s="0" t="n">
        <f>IF(R118=0,0,IF(OR(AND(LEN(TRIM(B118&amp;""))&gt;0,UPPER(TRIM(B118&amp;""))&lt;&gt;UPPER(TRIM(INDEX($B$13:$B$512,R118)&amp;""))),AND(LEN(TRIM(C118&amp;""))&gt;0,UPPER(TRIM(C118&amp;""))&lt;&gt;UPPER(TRIM(INDEX($C$13:$C$512,R118)&amp;""))),AND(LEN(TRIM(E118&amp;""))&gt;0,S118&lt;&gt;INDEX($S$13:$S$512,R118)),AND(F118&lt;&gt;"",NOT(ISNUMBER(F118)))),1,IF(ISNUMBER(F118),IF(ABS(F118-INDEX($F$13:$F$512,R118))&gt;0.00000001,1,0),0)))</f>
        <v>0</v>
      </c>
      <c r="U118" s="0" t="n">
        <f>IF(P118="DIRECTA",IF(AND(ISNUMBER(G118),COUNTA(H118:J118)=0),1,0),IF(P118="DIMENSIONES",IF(AND(COUNT(G118:J118)&gt;0,COUNTA(G118:J118)=COUNT(G118:J118)),1,0),0))</f>
        <v>0</v>
      </c>
      <c r="V118" s="0" t="n">
        <f>IF(O118=0,0,IF(COUNTIFS($O$13:O118,O118)=1,1,0))</f>
        <v>0</v>
      </c>
      <c r="W118" s="0">
        <f>IF(V118=1,COUNTIFS($V$13:V118,1),"")</f>
      </c>
      <c r="X118" s="0">
        <f>IF(COUNTA(B118:L118)=0,"",IF(OR(NOT(IF(ISNUMBER($E$6),AND($E$6&gt;=0,$E$6&lt;=6,$E$6=INT($E$6)),FALSE)),O118=0,R118=0,T118&gt;0,AND(P118&lt;&gt;"DIMENSIONES",P118&lt;&gt;"DIRECTA",P118&lt;&gt;"SIN LÍNEAS",P118&lt;&gt;"CABECERA"),AND(OR(P118="DIRECTA",P118="DIMENSIONES"),U118=0),AND(OR(P118="SIN LÍNEAS",P118="CABECERA"),COUNTA(G118:J118)&gt;0)),2,IF(OR(P118="SIN LÍNEAS",Y118&gt;0,Z118&gt;0,AA118&gt;0,SUMPRODUCT(--('LÉEME'!$B$65:$B$86=AC118))&lt;&gt;1),1,0)))</f>
      </c>
      <c r="Y118" s="0" t="n">
        <f>IF(AND(P118="DIMENSIONES",S118="m²",COUNT(H118:J118)=3),1,0)</f>
        <v>0</v>
      </c>
      <c r="Z118" s="0" t="n">
        <f>IF(IF(ISNUMBER($E$6),AND($E$6&gt;=0,$E$6&lt;=6,$E$6=INT($E$6)),FALSE),IF(SUM(IF(ISNUMBER(F118),IF(ABS(F118-ROUND(F118,$E$6))&gt;0.00000001,1,0),0),IF(ISNUMBER(G118),IF(ABS(G118-ROUND(G118,$E$6))&gt;0.00000001,1,0),0),IF(ISNUMBER(H118),IF(ABS(H118-ROUND(H118,$E$6))&gt;0.00000001,1,0),0),IF(ISNUMBER(I118),IF(ABS(I118-ROUND(I118,$E$6))&gt;0.00000001,1,0),0),IF(ISNUMBER(J118),IF(ABS(J118-ROUND(J118,$E$6))&gt;0.00000001,1,0),0),IF(ISNUMBER(M118),IF(ABS(M118-ROUND(M118,$E$6))&gt;0.00000001,1,0),0))&gt;0,1,0),0)</f>
        <v>0</v>
      </c>
      <c r="AA118" s="0" t="n">
        <f>IF(COUNTA(B118:L118)=0,0,IF(OR(AND(ISNUMBER(F118),F118&lt;0),AND(U118=1,OR(SUM(IF(ISNUMBER(G118),IF(G118=0,1,0),0),IF(ISNUMBER(H118),IF(H118=0,1,0),0),IF(ISNUMBER(I118),IF(I118=0,1,0),0),IF(ISNUMBER(J118),IF(J118=0,1,0),0))&gt;0,COUNTIFS(G118:J118,"&lt;0")&gt;0)),AND(P118="DIMENSIONES",U118=1,OR(AND(S118="m",COUNT(H118:J118)&lt;&gt;1),AND(S118="m²",COUNT(H118:J118)&lt;&gt;2,Y118=0),AND(S118="m³",COUNT(H118:J118)&lt;&gt;3),AND(S118="ud",COUNT(H118:J118)&gt;0))),AND(P118="DIRECTA",OR(S118="m",S118="m²",S118="m³"))),1,0))</f>
        <v>0</v>
      </c>
      <c r="AB118" s="0">
        <f>IF(LEN(TRIM(E118&amp;""))&gt;0,E118,IF(R118&gt;0,INDEX($E$13:$E$512,R118),""))</f>
      </c>
      <c r="AC118" s="0">
        <f>UPPER(SUBSTITUTE(SUBSTITUTE(SUBSTITUTE(SUBSTITUTE(SUBSTITUTE(TRIM(AB118),"²","2"),"³","3"),"^",""),".","")," ",""))</f>
      </c>
    </row>
    <row r="119" ht="35" customHeight="1">
      <c r="B119" s="35"/>
      <c r="C119" s="35"/>
      <c r="D119" s="37"/>
      <c r="E119" s="35"/>
      <c r="F119" s="38"/>
      <c r="G119" s="38"/>
      <c r="H119" s="38"/>
      <c r="I119" s="38"/>
      <c r="J119" s="38"/>
      <c r="K119" s="35"/>
      <c r="L119" s="35"/>
      <c r="M119" s="39">
        <f>IF(U119&lt;&gt;1,"",IF(P119="DIRECTA",G119,IF(ISNUMBER(G119),G119,1)*IF(ISNUMBER(H119),H119,1)*IF(ISNUMBER(I119),I119,1)*IF(ISNUMBER(J119),J119,1)))</f>
      </c>
      <c r="N119" s="30">
        <f>IF(COUNTA(B119:L119)=0,"",IF(X119=0,IF(P119="CABECERA","VERDE · Fila descriptiva; la suma usa las líneas del ID","VERDE · Datos numéricos interpretables"),IF(X119=2,"ROJO · ","ÁMBAR · ")&amp;IF(NOT(IF(ISNUMBER($E$6),AND($E$6&gt;=0,$E$6&lt;=6,$E$6=INT($E$6)),FALSE)),"Indicamos entre 0 y 6 decimales en E6. ","")&amp;IF(O119=0,"Falta un ID numérico. ","")&amp;IF(R119=0,"Faltan capítulo, código, unidad o total numérico del ID. ","")&amp;IF(T119&gt;0,"Los datos o el total del ID se contradicen. ","")&amp;IF(AND(P119&lt;&gt;"DIMENSIONES",P119&lt;&gt;"DIRECTA",P119&lt;&gt;"SIN LÍNEAS",P119&lt;&gt;"CABECERA"),"Tipo de fila no reconocido. ","")&amp;IF(AND(OR(P119="SIN LÍNEAS",P119="CABECERA"),COUNTA(G119:J119)&gt;0),"La fila dice que no mide, pero contiene medidas. ","")&amp;IF(AND(OR(P119="DIRECTA",P119="DIMENSIONES"),U119=0),"Línea incompleta o con medidas no numéricas. ","")&amp;IF(P119="SIN LÍNEAS","No constan medidas de esta fila. ","")&amp;IF(Y119&gt;0,"Parece m³: tres dimensiones bajo m². ","")&amp;IF(AND(AB119&lt;&gt;"",SUMPRODUCT(--('LÉEME'!$B$65:$B$86=AC119))&lt;&gt;1),"Revisamos el significado de la unidad. ","")&amp;IF(Z119&gt;0,"Más precisión que los decimales indicados: cotejamos el original. ","")&amp;IF(AA119&gt;0,"Revisamos dimensiones, cantidad directa, ceros o deducción. ","")))</f>
      </c>
      <c r="O119" s="0" t="n">
        <f>IF(ISNUMBER(K119),IF(AND(K119&gt;0,K119=INT(K119),K119&lt;=999999),K119,0),0)</f>
        <v>0</v>
      </c>
      <c r="P119" s="0">
        <f>IF(COUNTA(B119:L119)=0,"",IF(L119="",IF(COUNTA(G119:J119)&gt;0,"DIMENSIONES","SIN LÍNEAS"),UPPER(TRIM(L119))))</f>
      </c>
      <c r="Q119" s="0">
        <f>IF(AND(O119&gt;0,LEN(TRIM(B119&amp;""))&gt;0,LEN(TRIM(C119&amp;""))&gt;0,LEN(TRIM(E119&amp;""))&gt;0,ISNUMBER(F119)),O119,"")</f>
      </c>
      <c r="R119" s="0" t="n">
        <f>IF(O119=0,0,IF(COUNTIFS($Q$13:$Q$512,O119)&gt;0,MATCH(O119,$Q$13:$Q$512,0),0))</f>
        <v>0</v>
      </c>
      <c r="S119" s="0">
        <f>IF(AB119="","",IF(SUMPRODUCT(--('LÉEME'!$B$65:$B$86=AC119))=1,INDEX('LÉEME'!$C$65:$C$86,MATCH(AC119,'LÉEME'!$B$65:$B$86,0)),UPPER(TRIM(AB119))))</f>
      </c>
      <c r="T119" s="0" t="n">
        <f>IF(R119=0,0,IF(OR(AND(LEN(TRIM(B119&amp;""))&gt;0,UPPER(TRIM(B119&amp;""))&lt;&gt;UPPER(TRIM(INDEX($B$13:$B$512,R119)&amp;""))),AND(LEN(TRIM(C119&amp;""))&gt;0,UPPER(TRIM(C119&amp;""))&lt;&gt;UPPER(TRIM(INDEX($C$13:$C$512,R119)&amp;""))),AND(LEN(TRIM(E119&amp;""))&gt;0,S119&lt;&gt;INDEX($S$13:$S$512,R119)),AND(F119&lt;&gt;"",NOT(ISNUMBER(F119)))),1,IF(ISNUMBER(F119),IF(ABS(F119-INDEX($F$13:$F$512,R119))&gt;0.00000001,1,0),0)))</f>
        <v>0</v>
      </c>
      <c r="U119" s="0" t="n">
        <f>IF(P119="DIRECTA",IF(AND(ISNUMBER(G119),COUNTA(H119:J119)=0),1,0),IF(P119="DIMENSIONES",IF(AND(COUNT(G119:J119)&gt;0,COUNTA(G119:J119)=COUNT(G119:J119)),1,0),0))</f>
        <v>0</v>
      </c>
      <c r="V119" s="0" t="n">
        <f>IF(O119=0,0,IF(COUNTIFS($O$13:O119,O119)=1,1,0))</f>
        <v>0</v>
      </c>
      <c r="W119" s="0">
        <f>IF(V119=1,COUNTIFS($V$13:V119,1),"")</f>
      </c>
      <c r="X119" s="0">
        <f>IF(COUNTA(B119:L119)=0,"",IF(OR(NOT(IF(ISNUMBER($E$6),AND($E$6&gt;=0,$E$6&lt;=6,$E$6=INT($E$6)),FALSE)),O119=0,R119=0,T119&gt;0,AND(P119&lt;&gt;"DIMENSIONES",P119&lt;&gt;"DIRECTA",P119&lt;&gt;"SIN LÍNEAS",P119&lt;&gt;"CABECERA"),AND(OR(P119="DIRECTA",P119="DIMENSIONES"),U119=0),AND(OR(P119="SIN LÍNEAS",P119="CABECERA"),COUNTA(G119:J119)&gt;0)),2,IF(OR(P119="SIN LÍNEAS",Y119&gt;0,Z119&gt;0,AA119&gt;0,SUMPRODUCT(--('LÉEME'!$B$65:$B$86=AC119))&lt;&gt;1),1,0)))</f>
      </c>
      <c r="Y119" s="0" t="n">
        <f>IF(AND(P119="DIMENSIONES",S119="m²",COUNT(H119:J119)=3),1,0)</f>
        <v>0</v>
      </c>
      <c r="Z119" s="0" t="n">
        <f>IF(IF(ISNUMBER($E$6),AND($E$6&gt;=0,$E$6&lt;=6,$E$6=INT($E$6)),FALSE),IF(SUM(IF(ISNUMBER(F119),IF(ABS(F119-ROUND(F119,$E$6))&gt;0.00000001,1,0),0),IF(ISNUMBER(G119),IF(ABS(G119-ROUND(G119,$E$6))&gt;0.00000001,1,0),0),IF(ISNUMBER(H119),IF(ABS(H119-ROUND(H119,$E$6))&gt;0.00000001,1,0),0),IF(ISNUMBER(I119),IF(ABS(I119-ROUND(I119,$E$6))&gt;0.00000001,1,0),0),IF(ISNUMBER(J119),IF(ABS(J119-ROUND(J119,$E$6))&gt;0.00000001,1,0),0),IF(ISNUMBER(M119),IF(ABS(M119-ROUND(M119,$E$6))&gt;0.00000001,1,0),0))&gt;0,1,0),0)</f>
        <v>0</v>
      </c>
      <c r="AA119" s="0" t="n">
        <f>IF(COUNTA(B119:L119)=0,0,IF(OR(AND(ISNUMBER(F119),F119&lt;0),AND(U119=1,OR(SUM(IF(ISNUMBER(G119),IF(G119=0,1,0),0),IF(ISNUMBER(H119),IF(H119=0,1,0),0),IF(ISNUMBER(I119),IF(I119=0,1,0),0),IF(ISNUMBER(J119),IF(J119=0,1,0),0))&gt;0,COUNTIFS(G119:J119,"&lt;0")&gt;0)),AND(P119="DIMENSIONES",U119=1,OR(AND(S119="m",COUNT(H119:J119)&lt;&gt;1),AND(S119="m²",COUNT(H119:J119)&lt;&gt;2,Y119=0),AND(S119="m³",COUNT(H119:J119)&lt;&gt;3),AND(S119="ud",COUNT(H119:J119)&gt;0))),AND(P119="DIRECTA",OR(S119="m",S119="m²",S119="m³"))),1,0))</f>
        <v>0</v>
      </c>
      <c r="AB119" s="0">
        <f>IF(LEN(TRIM(E119&amp;""))&gt;0,E119,IF(R119&gt;0,INDEX($E$13:$E$512,R119),""))</f>
      </c>
      <c r="AC119" s="0">
        <f>UPPER(SUBSTITUTE(SUBSTITUTE(SUBSTITUTE(SUBSTITUTE(SUBSTITUTE(TRIM(AB119),"²","2"),"³","3"),"^",""),".","")," ",""))</f>
      </c>
    </row>
    <row r="120" ht="35" customHeight="1">
      <c r="B120" s="35"/>
      <c r="C120" s="35"/>
      <c r="D120" s="37"/>
      <c r="E120" s="35"/>
      <c r="F120" s="38"/>
      <c r="G120" s="38"/>
      <c r="H120" s="38"/>
      <c r="I120" s="38"/>
      <c r="J120" s="38"/>
      <c r="K120" s="35"/>
      <c r="L120" s="35"/>
      <c r="M120" s="39">
        <f>IF(U120&lt;&gt;1,"",IF(P120="DIRECTA",G120,IF(ISNUMBER(G120),G120,1)*IF(ISNUMBER(H120),H120,1)*IF(ISNUMBER(I120),I120,1)*IF(ISNUMBER(J120),J120,1)))</f>
      </c>
      <c r="N120" s="30">
        <f>IF(COUNTA(B120:L120)=0,"",IF(X120=0,IF(P120="CABECERA","VERDE · Fila descriptiva; la suma usa las líneas del ID","VERDE · Datos numéricos interpretables"),IF(X120=2,"ROJO · ","ÁMBAR · ")&amp;IF(NOT(IF(ISNUMBER($E$6),AND($E$6&gt;=0,$E$6&lt;=6,$E$6=INT($E$6)),FALSE)),"Indicamos entre 0 y 6 decimales en E6. ","")&amp;IF(O120=0,"Falta un ID numérico. ","")&amp;IF(R120=0,"Faltan capítulo, código, unidad o total numérico del ID. ","")&amp;IF(T120&gt;0,"Los datos o el total del ID se contradicen. ","")&amp;IF(AND(P120&lt;&gt;"DIMENSIONES",P120&lt;&gt;"DIRECTA",P120&lt;&gt;"SIN LÍNEAS",P120&lt;&gt;"CABECERA"),"Tipo de fila no reconocido. ","")&amp;IF(AND(OR(P120="SIN LÍNEAS",P120="CABECERA"),COUNTA(G120:J120)&gt;0),"La fila dice que no mide, pero contiene medidas. ","")&amp;IF(AND(OR(P120="DIRECTA",P120="DIMENSIONES"),U120=0),"Línea incompleta o con medidas no numéricas. ","")&amp;IF(P120="SIN LÍNEAS","No constan medidas de esta fila. ","")&amp;IF(Y120&gt;0,"Parece m³: tres dimensiones bajo m². ","")&amp;IF(AND(AB120&lt;&gt;"",SUMPRODUCT(--('LÉEME'!$B$65:$B$86=AC120))&lt;&gt;1),"Revisamos el significado de la unidad. ","")&amp;IF(Z120&gt;0,"Más precisión que los decimales indicados: cotejamos el original. ","")&amp;IF(AA120&gt;0,"Revisamos dimensiones, cantidad directa, ceros o deducción. ","")))</f>
      </c>
      <c r="O120" s="0" t="n">
        <f>IF(ISNUMBER(K120),IF(AND(K120&gt;0,K120=INT(K120),K120&lt;=999999),K120,0),0)</f>
        <v>0</v>
      </c>
      <c r="P120" s="0">
        <f>IF(COUNTA(B120:L120)=0,"",IF(L120="",IF(COUNTA(G120:J120)&gt;0,"DIMENSIONES","SIN LÍNEAS"),UPPER(TRIM(L120))))</f>
      </c>
      <c r="Q120" s="0">
        <f>IF(AND(O120&gt;0,LEN(TRIM(B120&amp;""))&gt;0,LEN(TRIM(C120&amp;""))&gt;0,LEN(TRIM(E120&amp;""))&gt;0,ISNUMBER(F120)),O120,"")</f>
      </c>
      <c r="R120" s="0" t="n">
        <f>IF(O120=0,0,IF(COUNTIFS($Q$13:$Q$512,O120)&gt;0,MATCH(O120,$Q$13:$Q$512,0),0))</f>
        <v>0</v>
      </c>
      <c r="S120" s="0">
        <f>IF(AB120="","",IF(SUMPRODUCT(--('LÉEME'!$B$65:$B$86=AC120))=1,INDEX('LÉEME'!$C$65:$C$86,MATCH(AC120,'LÉEME'!$B$65:$B$86,0)),UPPER(TRIM(AB120))))</f>
      </c>
      <c r="T120" s="0" t="n">
        <f>IF(R120=0,0,IF(OR(AND(LEN(TRIM(B120&amp;""))&gt;0,UPPER(TRIM(B120&amp;""))&lt;&gt;UPPER(TRIM(INDEX($B$13:$B$512,R120)&amp;""))),AND(LEN(TRIM(C120&amp;""))&gt;0,UPPER(TRIM(C120&amp;""))&lt;&gt;UPPER(TRIM(INDEX($C$13:$C$512,R120)&amp;""))),AND(LEN(TRIM(E120&amp;""))&gt;0,S120&lt;&gt;INDEX($S$13:$S$512,R120)),AND(F120&lt;&gt;"",NOT(ISNUMBER(F120)))),1,IF(ISNUMBER(F120),IF(ABS(F120-INDEX($F$13:$F$512,R120))&gt;0.00000001,1,0),0)))</f>
        <v>0</v>
      </c>
      <c r="U120" s="0" t="n">
        <f>IF(P120="DIRECTA",IF(AND(ISNUMBER(G120),COUNTA(H120:J120)=0),1,0),IF(P120="DIMENSIONES",IF(AND(COUNT(G120:J120)&gt;0,COUNTA(G120:J120)=COUNT(G120:J120)),1,0),0))</f>
        <v>0</v>
      </c>
      <c r="V120" s="0" t="n">
        <f>IF(O120=0,0,IF(COUNTIFS($O$13:O120,O120)=1,1,0))</f>
        <v>0</v>
      </c>
      <c r="W120" s="0">
        <f>IF(V120=1,COUNTIFS($V$13:V120,1),"")</f>
      </c>
      <c r="X120" s="0">
        <f>IF(COUNTA(B120:L120)=0,"",IF(OR(NOT(IF(ISNUMBER($E$6),AND($E$6&gt;=0,$E$6&lt;=6,$E$6=INT($E$6)),FALSE)),O120=0,R120=0,T120&gt;0,AND(P120&lt;&gt;"DIMENSIONES",P120&lt;&gt;"DIRECTA",P120&lt;&gt;"SIN LÍNEAS",P120&lt;&gt;"CABECERA"),AND(OR(P120="DIRECTA",P120="DIMENSIONES"),U120=0),AND(OR(P120="SIN LÍNEAS",P120="CABECERA"),COUNTA(G120:J120)&gt;0)),2,IF(OR(P120="SIN LÍNEAS",Y120&gt;0,Z120&gt;0,AA120&gt;0,SUMPRODUCT(--('LÉEME'!$B$65:$B$86=AC120))&lt;&gt;1),1,0)))</f>
      </c>
      <c r="Y120" s="0" t="n">
        <f>IF(AND(P120="DIMENSIONES",S120="m²",COUNT(H120:J120)=3),1,0)</f>
        <v>0</v>
      </c>
      <c r="Z120" s="0" t="n">
        <f>IF(IF(ISNUMBER($E$6),AND($E$6&gt;=0,$E$6&lt;=6,$E$6=INT($E$6)),FALSE),IF(SUM(IF(ISNUMBER(F120),IF(ABS(F120-ROUND(F120,$E$6))&gt;0.00000001,1,0),0),IF(ISNUMBER(G120),IF(ABS(G120-ROUND(G120,$E$6))&gt;0.00000001,1,0),0),IF(ISNUMBER(H120),IF(ABS(H120-ROUND(H120,$E$6))&gt;0.00000001,1,0),0),IF(ISNUMBER(I120),IF(ABS(I120-ROUND(I120,$E$6))&gt;0.00000001,1,0),0),IF(ISNUMBER(J120),IF(ABS(J120-ROUND(J120,$E$6))&gt;0.00000001,1,0),0),IF(ISNUMBER(M120),IF(ABS(M120-ROUND(M120,$E$6))&gt;0.00000001,1,0),0))&gt;0,1,0),0)</f>
        <v>0</v>
      </c>
      <c r="AA120" s="0" t="n">
        <f>IF(COUNTA(B120:L120)=0,0,IF(OR(AND(ISNUMBER(F120),F120&lt;0),AND(U120=1,OR(SUM(IF(ISNUMBER(G120),IF(G120=0,1,0),0),IF(ISNUMBER(H120),IF(H120=0,1,0),0),IF(ISNUMBER(I120),IF(I120=0,1,0),0),IF(ISNUMBER(J120),IF(J120=0,1,0),0))&gt;0,COUNTIFS(G120:J120,"&lt;0")&gt;0)),AND(P120="DIMENSIONES",U120=1,OR(AND(S120="m",COUNT(H120:J120)&lt;&gt;1),AND(S120="m²",COUNT(H120:J120)&lt;&gt;2,Y120=0),AND(S120="m³",COUNT(H120:J120)&lt;&gt;3),AND(S120="ud",COUNT(H120:J120)&gt;0))),AND(P120="DIRECTA",OR(S120="m",S120="m²",S120="m³"))),1,0))</f>
        <v>0</v>
      </c>
      <c r="AB120" s="0">
        <f>IF(LEN(TRIM(E120&amp;""))&gt;0,E120,IF(R120&gt;0,INDEX($E$13:$E$512,R120),""))</f>
      </c>
      <c r="AC120" s="0">
        <f>UPPER(SUBSTITUTE(SUBSTITUTE(SUBSTITUTE(SUBSTITUTE(SUBSTITUTE(TRIM(AB120),"²","2"),"³","3"),"^",""),".","")," ",""))</f>
      </c>
    </row>
    <row r="121" ht="35" customHeight="1">
      <c r="B121" s="35"/>
      <c r="C121" s="35"/>
      <c r="D121" s="37"/>
      <c r="E121" s="35"/>
      <c r="F121" s="38"/>
      <c r="G121" s="38"/>
      <c r="H121" s="38"/>
      <c r="I121" s="38"/>
      <c r="J121" s="38"/>
      <c r="K121" s="35"/>
      <c r="L121" s="35"/>
      <c r="M121" s="39">
        <f>IF(U121&lt;&gt;1,"",IF(P121="DIRECTA",G121,IF(ISNUMBER(G121),G121,1)*IF(ISNUMBER(H121),H121,1)*IF(ISNUMBER(I121),I121,1)*IF(ISNUMBER(J121),J121,1)))</f>
      </c>
      <c r="N121" s="30">
        <f>IF(COUNTA(B121:L121)=0,"",IF(X121=0,IF(P121="CABECERA","VERDE · Fila descriptiva; la suma usa las líneas del ID","VERDE · Datos numéricos interpretables"),IF(X121=2,"ROJO · ","ÁMBAR · ")&amp;IF(NOT(IF(ISNUMBER($E$6),AND($E$6&gt;=0,$E$6&lt;=6,$E$6=INT($E$6)),FALSE)),"Indicamos entre 0 y 6 decimales en E6. ","")&amp;IF(O121=0,"Falta un ID numérico. ","")&amp;IF(R121=0,"Faltan capítulo, código, unidad o total numérico del ID. ","")&amp;IF(T121&gt;0,"Los datos o el total del ID se contradicen. ","")&amp;IF(AND(P121&lt;&gt;"DIMENSIONES",P121&lt;&gt;"DIRECTA",P121&lt;&gt;"SIN LÍNEAS",P121&lt;&gt;"CABECERA"),"Tipo de fila no reconocido. ","")&amp;IF(AND(OR(P121="SIN LÍNEAS",P121="CABECERA"),COUNTA(G121:J121)&gt;0),"La fila dice que no mide, pero contiene medidas. ","")&amp;IF(AND(OR(P121="DIRECTA",P121="DIMENSIONES"),U121=0),"Línea incompleta o con medidas no numéricas. ","")&amp;IF(P121="SIN LÍNEAS","No constan medidas de esta fila. ","")&amp;IF(Y121&gt;0,"Parece m³: tres dimensiones bajo m². ","")&amp;IF(AND(AB121&lt;&gt;"",SUMPRODUCT(--('LÉEME'!$B$65:$B$86=AC121))&lt;&gt;1),"Revisamos el significado de la unidad. ","")&amp;IF(Z121&gt;0,"Más precisión que los decimales indicados: cotejamos el original. ","")&amp;IF(AA121&gt;0,"Revisamos dimensiones, cantidad directa, ceros o deducción. ","")))</f>
      </c>
      <c r="O121" s="0" t="n">
        <f>IF(ISNUMBER(K121),IF(AND(K121&gt;0,K121=INT(K121),K121&lt;=999999),K121,0),0)</f>
        <v>0</v>
      </c>
      <c r="P121" s="0">
        <f>IF(COUNTA(B121:L121)=0,"",IF(L121="",IF(COUNTA(G121:J121)&gt;0,"DIMENSIONES","SIN LÍNEAS"),UPPER(TRIM(L121))))</f>
      </c>
      <c r="Q121" s="0">
        <f>IF(AND(O121&gt;0,LEN(TRIM(B121&amp;""))&gt;0,LEN(TRIM(C121&amp;""))&gt;0,LEN(TRIM(E121&amp;""))&gt;0,ISNUMBER(F121)),O121,"")</f>
      </c>
      <c r="R121" s="0" t="n">
        <f>IF(O121=0,0,IF(COUNTIFS($Q$13:$Q$512,O121)&gt;0,MATCH(O121,$Q$13:$Q$512,0),0))</f>
        <v>0</v>
      </c>
      <c r="S121" s="0">
        <f>IF(AB121="","",IF(SUMPRODUCT(--('LÉEME'!$B$65:$B$86=AC121))=1,INDEX('LÉEME'!$C$65:$C$86,MATCH(AC121,'LÉEME'!$B$65:$B$86,0)),UPPER(TRIM(AB121))))</f>
      </c>
      <c r="T121" s="0" t="n">
        <f>IF(R121=0,0,IF(OR(AND(LEN(TRIM(B121&amp;""))&gt;0,UPPER(TRIM(B121&amp;""))&lt;&gt;UPPER(TRIM(INDEX($B$13:$B$512,R121)&amp;""))),AND(LEN(TRIM(C121&amp;""))&gt;0,UPPER(TRIM(C121&amp;""))&lt;&gt;UPPER(TRIM(INDEX($C$13:$C$512,R121)&amp;""))),AND(LEN(TRIM(E121&amp;""))&gt;0,S121&lt;&gt;INDEX($S$13:$S$512,R121)),AND(F121&lt;&gt;"",NOT(ISNUMBER(F121)))),1,IF(ISNUMBER(F121),IF(ABS(F121-INDEX($F$13:$F$512,R121))&gt;0.00000001,1,0),0)))</f>
        <v>0</v>
      </c>
      <c r="U121" s="0" t="n">
        <f>IF(P121="DIRECTA",IF(AND(ISNUMBER(G121),COUNTA(H121:J121)=0),1,0),IF(P121="DIMENSIONES",IF(AND(COUNT(G121:J121)&gt;0,COUNTA(G121:J121)=COUNT(G121:J121)),1,0),0))</f>
        <v>0</v>
      </c>
      <c r="V121" s="0" t="n">
        <f>IF(O121=0,0,IF(COUNTIFS($O$13:O121,O121)=1,1,0))</f>
        <v>0</v>
      </c>
      <c r="W121" s="0">
        <f>IF(V121=1,COUNTIFS($V$13:V121,1),"")</f>
      </c>
      <c r="X121" s="0">
        <f>IF(COUNTA(B121:L121)=0,"",IF(OR(NOT(IF(ISNUMBER($E$6),AND($E$6&gt;=0,$E$6&lt;=6,$E$6=INT($E$6)),FALSE)),O121=0,R121=0,T121&gt;0,AND(P121&lt;&gt;"DIMENSIONES",P121&lt;&gt;"DIRECTA",P121&lt;&gt;"SIN LÍNEAS",P121&lt;&gt;"CABECERA"),AND(OR(P121="DIRECTA",P121="DIMENSIONES"),U121=0),AND(OR(P121="SIN LÍNEAS",P121="CABECERA"),COUNTA(G121:J121)&gt;0)),2,IF(OR(P121="SIN LÍNEAS",Y121&gt;0,Z121&gt;0,AA121&gt;0,SUMPRODUCT(--('LÉEME'!$B$65:$B$86=AC121))&lt;&gt;1),1,0)))</f>
      </c>
      <c r="Y121" s="0" t="n">
        <f>IF(AND(P121="DIMENSIONES",S121="m²",COUNT(H121:J121)=3),1,0)</f>
        <v>0</v>
      </c>
      <c r="Z121" s="0" t="n">
        <f>IF(IF(ISNUMBER($E$6),AND($E$6&gt;=0,$E$6&lt;=6,$E$6=INT($E$6)),FALSE),IF(SUM(IF(ISNUMBER(F121),IF(ABS(F121-ROUND(F121,$E$6))&gt;0.00000001,1,0),0),IF(ISNUMBER(G121),IF(ABS(G121-ROUND(G121,$E$6))&gt;0.00000001,1,0),0),IF(ISNUMBER(H121),IF(ABS(H121-ROUND(H121,$E$6))&gt;0.00000001,1,0),0),IF(ISNUMBER(I121),IF(ABS(I121-ROUND(I121,$E$6))&gt;0.00000001,1,0),0),IF(ISNUMBER(J121),IF(ABS(J121-ROUND(J121,$E$6))&gt;0.00000001,1,0),0),IF(ISNUMBER(M121),IF(ABS(M121-ROUND(M121,$E$6))&gt;0.00000001,1,0),0))&gt;0,1,0),0)</f>
        <v>0</v>
      </c>
      <c r="AA121" s="0" t="n">
        <f>IF(COUNTA(B121:L121)=0,0,IF(OR(AND(ISNUMBER(F121),F121&lt;0),AND(U121=1,OR(SUM(IF(ISNUMBER(G121),IF(G121=0,1,0),0),IF(ISNUMBER(H121),IF(H121=0,1,0),0),IF(ISNUMBER(I121),IF(I121=0,1,0),0),IF(ISNUMBER(J121),IF(J121=0,1,0),0))&gt;0,COUNTIFS(G121:J121,"&lt;0")&gt;0)),AND(P121="DIMENSIONES",U121=1,OR(AND(S121="m",COUNT(H121:J121)&lt;&gt;1),AND(S121="m²",COUNT(H121:J121)&lt;&gt;2,Y121=0),AND(S121="m³",COUNT(H121:J121)&lt;&gt;3),AND(S121="ud",COUNT(H121:J121)&gt;0))),AND(P121="DIRECTA",OR(S121="m",S121="m²",S121="m³"))),1,0))</f>
        <v>0</v>
      </c>
      <c r="AB121" s="0">
        <f>IF(LEN(TRIM(E121&amp;""))&gt;0,E121,IF(R121&gt;0,INDEX($E$13:$E$512,R121),""))</f>
      </c>
      <c r="AC121" s="0">
        <f>UPPER(SUBSTITUTE(SUBSTITUTE(SUBSTITUTE(SUBSTITUTE(SUBSTITUTE(TRIM(AB121),"²","2"),"³","3"),"^",""),".","")," ",""))</f>
      </c>
    </row>
    <row r="122" ht="35" customHeight="1">
      <c r="B122" s="35"/>
      <c r="C122" s="35"/>
      <c r="D122" s="37"/>
      <c r="E122" s="35"/>
      <c r="F122" s="38"/>
      <c r="G122" s="38"/>
      <c r="H122" s="38"/>
      <c r="I122" s="38"/>
      <c r="J122" s="38"/>
      <c r="K122" s="35"/>
      <c r="L122" s="35"/>
      <c r="M122" s="39">
        <f>IF(U122&lt;&gt;1,"",IF(P122="DIRECTA",G122,IF(ISNUMBER(G122),G122,1)*IF(ISNUMBER(H122),H122,1)*IF(ISNUMBER(I122),I122,1)*IF(ISNUMBER(J122),J122,1)))</f>
      </c>
      <c r="N122" s="30">
        <f>IF(COUNTA(B122:L122)=0,"",IF(X122=0,IF(P122="CABECERA","VERDE · Fila descriptiva; la suma usa las líneas del ID","VERDE · Datos numéricos interpretables"),IF(X122=2,"ROJO · ","ÁMBAR · ")&amp;IF(NOT(IF(ISNUMBER($E$6),AND($E$6&gt;=0,$E$6&lt;=6,$E$6=INT($E$6)),FALSE)),"Indicamos entre 0 y 6 decimales en E6. ","")&amp;IF(O122=0,"Falta un ID numérico. ","")&amp;IF(R122=0,"Faltan capítulo, código, unidad o total numérico del ID. ","")&amp;IF(T122&gt;0,"Los datos o el total del ID se contradicen. ","")&amp;IF(AND(P122&lt;&gt;"DIMENSIONES",P122&lt;&gt;"DIRECTA",P122&lt;&gt;"SIN LÍNEAS",P122&lt;&gt;"CABECERA"),"Tipo de fila no reconocido. ","")&amp;IF(AND(OR(P122="SIN LÍNEAS",P122="CABECERA"),COUNTA(G122:J122)&gt;0),"La fila dice que no mide, pero contiene medidas. ","")&amp;IF(AND(OR(P122="DIRECTA",P122="DIMENSIONES"),U122=0),"Línea incompleta o con medidas no numéricas. ","")&amp;IF(P122="SIN LÍNEAS","No constan medidas de esta fila. ","")&amp;IF(Y122&gt;0,"Parece m³: tres dimensiones bajo m². ","")&amp;IF(AND(AB122&lt;&gt;"",SUMPRODUCT(--('LÉEME'!$B$65:$B$86=AC122))&lt;&gt;1),"Revisamos el significado de la unidad. ","")&amp;IF(Z122&gt;0,"Más precisión que los decimales indicados: cotejamos el original. ","")&amp;IF(AA122&gt;0,"Revisamos dimensiones, cantidad directa, ceros o deducción. ","")))</f>
      </c>
      <c r="O122" s="0" t="n">
        <f>IF(ISNUMBER(K122),IF(AND(K122&gt;0,K122=INT(K122),K122&lt;=999999),K122,0),0)</f>
        <v>0</v>
      </c>
      <c r="P122" s="0">
        <f>IF(COUNTA(B122:L122)=0,"",IF(L122="",IF(COUNTA(G122:J122)&gt;0,"DIMENSIONES","SIN LÍNEAS"),UPPER(TRIM(L122))))</f>
      </c>
      <c r="Q122" s="0">
        <f>IF(AND(O122&gt;0,LEN(TRIM(B122&amp;""))&gt;0,LEN(TRIM(C122&amp;""))&gt;0,LEN(TRIM(E122&amp;""))&gt;0,ISNUMBER(F122)),O122,"")</f>
      </c>
      <c r="R122" s="0" t="n">
        <f>IF(O122=0,0,IF(COUNTIFS($Q$13:$Q$512,O122)&gt;0,MATCH(O122,$Q$13:$Q$512,0),0))</f>
        <v>0</v>
      </c>
      <c r="S122" s="0">
        <f>IF(AB122="","",IF(SUMPRODUCT(--('LÉEME'!$B$65:$B$86=AC122))=1,INDEX('LÉEME'!$C$65:$C$86,MATCH(AC122,'LÉEME'!$B$65:$B$86,0)),UPPER(TRIM(AB122))))</f>
      </c>
      <c r="T122" s="0" t="n">
        <f>IF(R122=0,0,IF(OR(AND(LEN(TRIM(B122&amp;""))&gt;0,UPPER(TRIM(B122&amp;""))&lt;&gt;UPPER(TRIM(INDEX($B$13:$B$512,R122)&amp;""))),AND(LEN(TRIM(C122&amp;""))&gt;0,UPPER(TRIM(C122&amp;""))&lt;&gt;UPPER(TRIM(INDEX($C$13:$C$512,R122)&amp;""))),AND(LEN(TRIM(E122&amp;""))&gt;0,S122&lt;&gt;INDEX($S$13:$S$512,R122)),AND(F122&lt;&gt;"",NOT(ISNUMBER(F122)))),1,IF(ISNUMBER(F122),IF(ABS(F122-INDEX($F$13:$F$512,R122))&gt;0.00000001,1,0),0)))</f>
        <v>0</v>
      </c>
      <c r="U122" s="0" t="n">
        <f>IF(P122="DIRECTA",IF(AND(ISNUMBER(G122),COUNTA(H122:J122)=0),1,0),IF(P122="DIMENSIONES",IF(AND(COUNT(G122:J122)&gt;0,COUNTA(G122:J122)=COUNT(G122:J122)),1,0),0))</f>
        <v>0</v>
      </c>
      <c r="V122" s="0" t="n">
        <f>IF(O122=0,0,IF(COUNTIFS($O$13:O122,O122)=1,1,0))</f>
        <v>0</v>
      </c>
      <c r="W122" s="0">
        <f>IF(V122=1,COUNTIFS($V$13:V122,1),"")</f>
      </c>
      <c r="X122" s="0">
        <f>IF(COUNTA(B122:L122)=0,"",IF(OR(NOT(IF(ISNUMBER($E$6),AND($E$6&gt;=0,$E$6&lt;=6,$E$6=INT($E$6)),FALSE)),O122=0,R122=0,T122&gt;0,AND(P122&lt;&gt;"DIMENSIONES",P122&lt;&gt;"DIRECTA",P122&lt;&gt;"SIN LÍNEAS",P122&lt;&gt;"CABECERA"),AND(OR(P122="DIRECTA",P122="DIMENSIONES"),U122=0),AND(OR(P122="SIN LÍNEAS",P122="CABECERA"),COUNTA(G122:J122)&gt;0)),2,IF(OR(P122="SIN LÍNEAS",Y122&gt;0,Z122&gt;0,AA122&gt;0,SUMPRODUCT(--('LÉEME'!$B$65:$B$86=AC122))&lt;&gt;1),1,0)))</f>
      </c>
      <c r="Y122" s="0" t="n">
        <f>IF(AND(P122="DIMENSIONES",S122="m²",COUNT(H122:J122)=3),1,0)</f>
        <v>0</v>
      </c>
      <c r="Z122" s="0" t="n">
        <f>IF(IF(ISNUMBER($E$6),AND($E$6&gt;=0,$E$6&lt;=6,$E$6=INT($E$6)),FALSE),IF(SUM(IF(ISNUMBER(F122),IF(ABS(F122-ROUND(F122,$E$6))&gt;0.00000001,1,0),0),IF(ISNUMBER(G122),IF(ABS(G122-ROUND(G122,$E$6))&gt;0.00000001,1,0),0),IF(ISNUMBER(H122),IF(ABS(H122-ROUND(H122,$E$6))&gt;0.00000001,1,0),0),IF(ISNUMBER(I122),IF(ABS(I122-ROUND(I122,$E$6))&gt;0.00000001,1,0),0),IF(ISNUMBER(J122),IF(ABS(J122-ROUND(J122,$E$6))&gt;0.00000001,1,0),0),IF(ISNUMBER(M122),IF(ABS(M122-ROUND(M122,$E$6))&gt;0.00000001,1,0),0))&gt;0,1,0),0)</f>
        <v>0</v>
      </c>
      <c r="AA122" s="0" t="n">
        <f>IF(COUNTA(B122:L122)=0,0,IF(OR(AND(ISNUMBER(F122),F122&lt;0),AND(U122=1,OR(SUM(IF(ISNUMBER(G122),IF(G122=0,1,0),0),IF(ISNUMBER(H122),IF(H122=0,1,0),0),IF(ISNUMBER(I122),IF(I122=0,1,0),0),IF(ISNUMBER(J122),IF(J122=0,1,0),0))&gt;0,COUNTIFS(G122:J122,"&lt;0")&gt;0)),AND(P122="DIMENSIONES",U122=1,OR(AND(S122="m",COUNT(H122:J122)&lt;&gt;1),AND(S122="m²",COUNT(H122:J122)&lt;&gt;2,Y122=0),AND(S122="m³",COUNT(H122:J122)&lt;&gt;3),AND(S122="ud",COUNT(H122:J122)&gt;0))),AND(P122="DIRECTA",OR(S122="m",S122="m²",S122="m³"))),1,0))</f>
        <v>0</v>
      </c>
      <c r="AB122" s="0">
        <f>IF(LEN(TRIM(E122&amp;""))&gt;0,E122,IF(R122&gt;0,INDEX($E$13:$E$512,R122),""))</f>
      </c>
      <c r="AC122" s="0">
        <f>UPPER(SUBSTITUTE(SUBSTITUTE(SUBSTITUTE(SUBSTITUTE(SUBSTITUTE(TRIM(AB122),"²","2"),"³","3"),"^",""),".","")," ",""))</f>
      </c>
    </row>
    <row r="123" ht="35" customHeight="1">
      <c r="B123" s="35"/>
      <c r="C123" s="35"/>
      <c r="D123" s="37"/>
      <c r="E123" s="35"/>
      <c r="F123" s="38"/>
      <c r="G123" s="38"/>
      <c r="H123" s="38"/>
      <c r="I123" s="38"/>
      <c r="J123" s="38"/>
      <c r="K123" s="35"/>
      <c r="L123" s="35"/>
      <c r="M123" s="39">
        <f>IF(U123&lt;&gt;1,"",IF(P123="DIRECTA",G123,IF(ISNUMBER(G123),G123,1)*IF(ISNUMBER(H123),H123,1)*IF(ISNUMBER(I123),I123,1)*IF(ISNUMBER(J123),J123,1)))</f>
      </c>
      <c r="N123" s="30">
        <f>IF(COUNTA(B123:L123)=0,"",IF(X123=0,IF(P123="CABECERA","VERDE · Fila descriptiva; la suma usa las líneas del ID","VERDE · Datos numéricos interpretables"),IF(X123=2,"ROJO · ","ÁMBAR · ")&amp;IF(NOT(IF(ISNUMBER($E$6),AND($E$6&gt;=0,$E$6&lt;=6,$E$6=INT($E$6)),FALSE)),"Indicamos entre 0 y 6 decimales en E6. ","")&amp;IF(O123=0,"Falta un ID numérico. ","")&amp;IF(R123=0,"Faltan capítulo, código, unidad o total numérico del ID. ","")&amp;IF(T123&gt;0,"Los datos o el total del ID se contradicen. ","")&amp;IF(AND(P123&lt;&gt;"DIMENSIONES",P123&lt;&gt;"DIRECTA",P123&lt;&gt;"SIN LÍNEAS",P123&lt;&gt;"CABECERA"),"Tipo de fila no reconocido. ","")&amp;IF(AND(OR(P123="SIN LÍNEAS",P123="CABECERA"),COUNTA(G123:J123)&gt;0),"La fila dice que no mide, pero contiene medidas. ","")&amp;IF(AND(OR(P123="DIRECTA",P123="DIMENSIONES"),U123=0),"Línea incompleta o con medidas no numéricas. ","")&amp;IF(P123="SIN LÍNEAS","No constan medidas de esta fila. ","")&amp;IF(Y123&gt;0,"Parece m³: tres dimensiones bajo m². ","")&amp;IF(AND(AB123&lt;&gt;"",SUMPRODUCT(--('LÉEME'!$B$65:$B$86=AC123))&lt;&gt;1),"Revisamos el significado de la unidad. ","")&amp;IF(Z123&gt;0,"Más precisión que los decimales indicados: cotejamos el original. ","")&amp;IF(AA123&gt;0,"Revisamos dimensiones, cantidad directa, ceros o deducción. ","")))</f>
      </c>
      <c r="O123" s="0" t="n">
        <f>IF(ISNUMBER(K123),IF(AND(K123&gt;0,K123=INT(K123),K123&lt;=999999),K123,0),0)</f>
        <v>0</v>
      </c>
      <c r="P123" s="0">
        <f>IF(COUNTA(B123:L123)=0,"",IF(L123="",IF(COUNTA(G123:J123)&gt;0,"DIMENSIONES","SIN LÍNEAS"),UPPER(TRIM(L123))))</f>
      </c>
      <c r="Q123" s="0">
        <f>IF(AND(O123&gt;0,LEN(TRIM(B123&amp;""))&gt;0,LEN(TRIM(C123&amp;""))&gt;0,LEN(TRIM(E123&amp;""))&gt;0,ISNUMBER(F123)),O123,"")</f>
      </c>
      <c r="R123" s="0" t="n">
        <f>IF(O123=0,0,IF(COUNTIFS($Q$13:$Q$512,O123)&gt;0,MATCH(O123,$Q$13:$Q$512,0),0))</f>
        <v>0</v>
      </c>
      <c r="S123" s="0">
        <f>IF(AB123="","",IF(SUMPRODUCT(--('LÉEME'!$B$65:$B$86=AC123))=1,INDEX('LÉEME'!$C$65:$C$86,MATCH(AC123,'LÉEME'!$B$65:$B$86,0)),UPPER(TRIM(AB123))))</f>
      </c>
      <c r="T123" s="0" t="n">
        <f>IF(R123=0,0,IF(OR(AND(LEN(TRIM(B123&amp;""))&gt;0,UPPER(TRIM(B123&amp;""))&lt;&gt;UPPER(TRIM(INDEX($B$13:$B$512,R123)&amp;""))),AND(LEN(TRIM(C123&amp;""))&gt;0,UPPER(TRIM(C123&amp;""))&lt;&gt;UPPER(TRIM(INDEX($C$13:$C$512,R123)&amp;""))),AND(LEN(TRIM(E123&amp;""))&gt;0,S123&lt;&gt;INDEX($S$13:$S$512,R123)),AND(F123&lt;&gt;"",NOT(ISNUMBER(F123)))),1,IF(ISNUMBER(F123),IF(ABS(F123-INDEX($F$13:$F$512,R123))&gt;0.00000001,1,0),0)))</f>
        <v>0</v>
      </c>
      <c r="U123" s="0" t="n">
        <f>IF(P123="DIRECTA",IF(AND(ISNUMBER(G123),COUNTA(H123:J123)=0),1,0),IF(P123="DIMENSIONES",IF(AND(COUNT(G123:J123)&gt;0,COUNTA(G123:J123)=COUNT(G123:J123)),1,0),0))</f>
        <v>0</v>
      </c>
      <c r="V123" s="0" t="n">
        <f>IF(O123=0,0,IF(COUNTIFS($O$13:O123,O123)=1,1,0))</f>
        <v>0</v>
      </c>
      <c r="W123" s="0">
        <f>IF(V123=1,COUNTIFS($V$13:V123,1),"")</f>
      </c>
      <c r="X123" s="0">
        <f>IF(COUNTA(B123:L123)=0,"",IF(OR(NOT(IF(ISNUMBER($E$6),AND($E$6&gt;=0,$E$6&lt;=6,$E$6=INT($E$6)),FALSE)),O123=0,R123=0,T123&gt;0,AND(P123&lt;&gt;"DIMENSIONES",P123&lt;&gt;"DIRECTA",P123&lt;&gt;"SIN LÍNEAS",P123&lt;&gt;"CABECERA"),AND(OR(P123="DIRECTA",P123="DIMENSIONES"),U123=0),AND(OR(P123="SIN LÍNEAS",P123="CABECERA"),COUNTA(G123:J123)&gt;0)),2,IF(OR(P123="SIN LÍNEAS",Y123&gt;0,Z123&gt;0,AA123&gt;0,SUMPRODUCT(--('LÉEME'!$B$65:$B$86=AC123))&lt;&gt;1),1,0)))</f>
      </c>
      <c r="Y123" s="0" t="n">
        <f>IF(AND(P123="DIMENSIONES",S123="m²",COUNT(H123:J123)=3),1,0)</f>
        <v>0</v>
      </c>
      <c r="Z123" s="0" t="n">
        <f>IF(IF(ISNUMBER($E$6),AND($E$6&gt;=0,$E$6&lt;=6,$E$6=INT($E$6)),FALSE),IF(SUM(IF(ISNUMBER(F123),IF(ABS(F123-ROUND(F123,$E$6))&gt;0.00000001,1,0),0),IF(ISNUMBER(G123),IF(ABS(G123-ROUND(G123,$E$6))&gt;0.00000001,1,0),0),IF(ISNUMBER(H123),IF(ABS(H123-ROUND(H123,$E$6))&gt;0.00000001,1,0),0),IF(ISNUMBER(I123),IF(ABS(I123-ROUND(I123,$E$6))&gt;0.00000001,1,0),0),IF(ISNUMBER(J123),IF(ABS(J123-ROUND(J123,$E$6))&gt;0.00000001,1,0),0),IF(ISNUMBER(M123),IF(ABS(M123-ROUND(M123,$E$6))&gt;0.00000001,1,0),0))&gt;0,1,0),0)</f>
        <v>0</v>
      </c>
      <c r="AA123" s="0" t="n">
        <f>IF(COUNTA(B123:L123)=0,0,IF(OR(AND(ISNUMBER(F123),F123&lt;0),AND(U123=1,OR(SUM(IF(ISNUMBER(G123),IF(G123=0,1,0),0),IF(ISNUMBER(H123),IF(H123=0,1,0),0),IF(ISNUMBER(I123),IF(I123=0,1,0),0),IF(ISNUMBER(J123),IF(J123=0,1,0),0))&gt;0,COUNTIFS(G123:J123,"&lt;0")&gt;0)),AND(P123="DIMENSIONES",U123=1,OR(AND(S123="m",COUNT(H123:J123)&lt;&gt;1),AND(S123="m²",COUNT(H123:J123)&lt;&gt;2,Y123=0),AND(S123="m³",COUNT(H123:J123)&lt;&gt;3),AND(S123="ud",COUNT(H123:J123)&gt;0))),AND(P123="DIRECTA",OR(S123="m",S123="m²",S123="m³"))),1,0))</f>
        <v>0</v>
      </c>
      <c r="AB123" s="0">
        <f>IF(LEN(TRIM(E123&amp;""))&gt;0,E123,IF(R123&gt;0,INDEX($E$13:$E$512,R123),""))</f>
      </c>
      <c r="AC123" s="0">
        <f>UPPER(SUBSTITUTE(SUBSTITUTE(SUBSTITUTE(SUBSTITUTE(SUBSTITUTE(TRIM(AB123),"²","2"),"³","3"),"^",""),".","")," ",""))</f>
      </c>
    </row>
    <row r="124" ht="35" customHeight="1">
      <c r="B124" s="35"/>
      <c r="C124" s="35"/>
      <c r="D124" s="37"/>
      <c r="E124" s="35"/>
      <c r="F124" s="38"/>
      <c r="G124" s="38"/>
      <c r="H124" s="38"/>
      <c r="I124" s="38"/>
      <c r="J124" s="38"/>
      <c r="K124" s="35"/>
      <c r="L124" s="35"/>
      <c r="M124" s="39">
        <f>IF(U124&lt;&gt;1,"",IF(P124="DIRECTA",G124,IF(ISNUMBER(G124),G124,1)*IF(ISNUMBER(H124),H124,1)*IF(ISNUMBER(I124),I124,1)*IF(ISNUMBER(J124),J124,1)))</f>
      </c>
      <c r="N124" s="30">
        <f>IF(COUNTA(B124:L124)=0,"",IF(X124=0,IF(P124="CABECERA","VERDE · Fila descriptiva; la suma usa las líneas del ID","VERDE · Datos numéricos interpretables"),IF(X124=2,"ROJO · ","ÁMBAR · ")&amp;IF(NOT(IF(ISNUMBER($E$6),AND($E$6&gt;=0,$E$6&lt;=6,$E$6=INT($E$6)),FALSE)),"Indicamos entre 0 y 6 decimales en E6. ","")&amp;IF(O124=0,"Falta un ID numérico. ","")&amp;IF(R124=0,"Faltan capítulo, código, unidad o total numérico del ID. ","")&amp;IF(T124&gt;0,"Los datos o el total del ID se contradicen. ","")&amp;IF(AND(P124&lt;&gt;"DIMENSIONES",P124&lt;&gt;"DIRECTA",P124&lt;&gt;"SIN LÍNEAS",P124&lt;&gt;"CABECERA"),"Tipo de fila no reconocido. ","")&amp;IF(AND(OR(P124="SIN LÍNEAS",P124="CABECERA"),COUNTA(G124:J124)&gt;0),"La fila dice que no mide, pero contiene medidas. ","")&amp;IF(AND(OR(P124="DIRECTA",P124="DIMENSIONES"),U124=0),"Línea incompleta o con medidas no numéricas. ","")&amp;IF(P124="SIN LÍNEAS","No constan medidas de esta fila. ","")&amp;IF(Y124&gt;0,"Parece m³: tres dimensiones bajo m². ","")&amp;IF(AND(AB124&lt;&gt;"",SUMPRODUCT(--('LÉEME'!$B$65:$B$86=AC124))&lt;&gt;1),"Revisamos el significado de la unidad. ","")&amp;IF(Z124&gt;0,"Más precisión que los decimales indicados: cotejamos el original. ","")&amp;IF(AA124&gt;0,"Revisamos dimensiones, cantidad directa, ceros o deducción. ","")))</f>
      </c>
      <c r="O124" s="0" t="n">
        <f>IF(ISNUMBER(K124),IF(AND(K124&gt;0,K124=INT(K124),K124&lt;=999999),K124,0),0)</f>
        <v>0</v>
      </c>
      <c r="P124" s="0">
        <f>IF(COUNTA(B124:L124)=0,"",IF(L124="",IF(COUNTA(G124:J124)&gt;0,"DIMENSIONES","SIN LÍNEAS"),UPPER(TRIM(L124))))</f>
      </c>
      <c r="Q124" s="0">
        <f>IF(AND(O124&gt;0,LEN(TRIM(B124&amp;""))&gt;0,LEN(TRIM(C124&amp;""))&gt;0,LEN(TRIM(E124&amp;""))&gt;0,ISNUMBER(F124)),O124,"")</f>
      </c>
      <c r="R124" s="0" t="n">
        <f>IF(O124=0,0,IF(COUNTIFS($Q$13:$Q$512,O124)&gt;0,MATCH(O124,$Q$13:$Q$512,0),0))</f>
        <v>0</v>
      </c>
      <c r="S124" s="0">
        <f>IF(AB124="","",IF(SUMPRODUCT(--('LÉEME'!$B$65:$B$86=AC124))=1,INDEX('LÉEME'!$C$65:$C$86,MATCH(AC124,'LÉEME'!$B$65:$B$86,0)),UPPER(TRIM(AB124))))</f>
      </c>
      <c r="T124" s="0" t="n">
        <f>IF(R124=0,0,IF(OR(AND(LEN(TRIM(B124&amp;""))&gt;0,UPPER(TRIM(B124&amp;""))&lt;&gt;UPPER(TRIM(INDEX($B$13:$B$512,R124)&amp;""))),AND(LEN(TRIM(C124&amp;""))&gt;0,UPPER(TRIM(C124&amp;""))&lt;&gt;UPPER(TRIM(INDEX($C$13:$C$512,R124)&amp;""))),AND(LEN(TRIM(E124&amp;""))&gt;0,S124&lt;&gt;INDEX($S$13:$S$512,R124)),AND(F124&lt;&gt;"",NOT(ISNUMBER(F124)))),1,IF(ISNUMBER(F124),IF(ABS(F124-INDEX($F$13:$F$512,R124))&gt;0.00000001,1,0),0)))</f>
        <v>0</v>
      </c>
      <c r="U124" s="0" t="n">
        <f>IF(P124="DIRECTA",IF(AND(ISNUMBER(G124),COUNTA(H124:J124)=0),1,0),IF(P124="DIMENSIONES",IF(AND(COUNT(G124:J124)&gt;0,COUNTA(G124:J124)=COUNT(G124:J124)),1,0),0))</f>
        <v>0</v>
      </c>
      <c r="V124" s="0" t="n">
        <f>IF(O124=0,0,IF(COUNTIFS($O$13:O124,O124)=1,1,0))</f>
        <v>0</v>
      </c>
      <c r="W124" s="0">
        <f>IF(V124=1,COUNTIFS($V$13:V124,1),"")</f>
      </c>
      <c r="X124" s="0">
        <f>IF(COUNTA(B124:L124)=0,"",IF(OR(NOT(IF(ISNUMBER($E$6),AND($E$6&gt;=0,$E$6&lt;=6,$E$6=INT($E$6)),FALSE)),O124=0,R124=0,T124&gt;0,AND(P124&lt;&gt;"DIMENSIONES",P124&lt;&gt;"DIRECTA",P124&lt;&gt;"SIN LÍNEAS",P124&lt;&gt;"CABECERA"),AND(OR(P124="DIRECTA",P124="DIMENSIONES"),U124=0),AND(OR(P124="SIN LÍNEAS",P124="CABECERA"),COUNTA(G124:J124)&gt;0)),2,IF(OR(P124="SIN LÍNEAS",Y124&gt;0,Z124&gt;0,AA124&gt;0,SUMPRODUCT(--('LÉEME'!$B$65:$B$86=AC124))&lt;&gt;1),1,0)))</f>
      </c>
      <c r="Y124" s="0" t="n">
        <f>IF(AND(P124="DIMENSIONES",S124="m²",COUNT(H124:J124)=3),1,0)</f>
        <v>0</v>
      </c>
      <c r="Z124" s="0" t="n">
        <f>IF(IF(ISNUMBER($E$6),AND($E$6&gt;=0,$E$6&lt;=6,$E$6=INT($E$6)),FALSE),IF(SUM(IF(ISNUMBER(F124),IF(ABS(F124-ROUND(F124,$E$6))&gt;0.00000001,1,0),0),IF(ISNUMBER(G124),IF(ABS(G124-ROUND(G124,$E$6))&gt;0.00000001,1,0),0),IF(ISNUMBER(H124),IF(ABS(H124-ROUND(H124,$E$6))&gt;0.00000001,1,0),0),IF(ISNUMBER(I124),IF(ABS(I124-ROUND(I124,$E$6))&gt;0.00000001,1,0),0),IF(ISNUMBER(J124),IF(ABS(J124-ROUND(J124,$E$6))&gt;0.00000001,1,0),0),IF(ISNUMBER(M124),IF(ABS(M124-ROUND(M124,$E$6))&gt;0.00000001,1,0),0))&gt;0,1,0),0)</f>
        <v>0</v>
      </c>
      <c r="AA124" s="0" t="n">
        <f>IF(COUNTA(B124:L124)=0,0,IF(OR(AND(ISNUMBER(F124),F124&lt;0),AND(U124=1,OR(SUM(IF(ISNUMBER(G124),IF(G124=0,1,0),0),IF(ISNUMBER(H124),IF(H124=0,1,0),0),IF(ISNUMBER(I124),IF(I124=0,1,0),0),IF(ISNUMBER(J124),IF(J124=0,1,0),0))&gt;0,COUNTIFS(G124:J124,"&lt;0")&gt;0)),AND(P124="DIMENSIONES",U124=1,OR(AND(S124="m",COUNT(H124:J124)&lt;&gt;1),AND(S124="m²",COUNT(H124:J124)&lt;&gt;2,Y124=0),AND(S124="m³",COUNT(H124:J124)&lt;&gt;3),AND(S124="ud",COUNT(H124:J124)&gt;0))),AND(P124="DIRECTA",OR(S124="m",S124="m²",S124="m³"))),1,0))</f>
        <v>0</v>
      </c>
      <c r="AB124" s="0">
        <f>IF(LEN(TRIM(E124&amp;""))&gt;0,E124,IF(R124&gt;0,INDEX($E$13:$E$512,R124),""))</f>
      </c>
      <c r="AC124" s="0">
        <f>UPPER(SUBSTITUTE(SUBSTITUTE(SUBSTITUTE(SUBSTITUTE(SUBSTITUTE(TRIM(AB124),"²","2"),"³","3"),"^",""),".","")," ",""))</f>
      </c>
    </row>
    <row r="125" ht="35" customHeight="1">
      <c r="B125" s="35"/>
      <c r="C125" s="35"/>
      <c r="D125" s="37"/>
      <c r="E125" s="35"/>
      <c r="F125" s="38"/>
      <c r="G125" s="38"/>
      <c r="H125" s="38"/>
      <c r="I125" s="38"/>
      <c r="J125" s="38"/>
      <c r="K125" s="35"/>
      <c r="L125" s="35"/>
      <c r="M125" s="39">
        <f>IF(U125&lt;&gt;1,"",IF(P125="DIRECTA",G125,IF(ISNUMBER(G125),G125,1)*IF(ISNUMBER(H125),H125,1)*IF(ISNUMBER(I125),I125,1)*IF(ISNUMBER(J125),J125,1)))</f>
      </c>
      <c r="N125" s="30">
        <f>IF(COUNTA(B125:L125)=0,"",IF(X125=0,IF(P125="CABECERA","VERDE · Fila descriptiva; la suma usa las líneas del ID","VERDE · Datos numéricos interpretables"),IF(X125=2,"ROJO · ","ÁMBAR · ")&amp;IF(NOT(IF(ISNUMBER($E$6),AND($E$6&gt;=0,$E$6&lt;=6,$E$6=INT($E$6)),FALSE)),"Indicamos entre 0 y 6 decimales en E6. ","")&amp;IF(O125=0,"Falta un ID numérico. ","")&amp;IF(R125=0,"Faltan capítulo, código, unidad o total numérico del ID. ","")&amp;IF(T125&gt;0,"Los datos o el total del ID se contradicen. ","")&amp;IF(AND(P125&lt;&gt;"DIMENSIONES",P125&lt;&gt;"DIRECTA",P125&lt;&gt;"SIN LÍNEAS",P125&lt;&gt;"CABECERA"),"Tipo de fila no reconocido. ","")&amp;IF(AND(OR(P125="SIN LÍNEAS",P125="CABECERA"),COUNTA(G125:J125)&gt;0),"La fila dice que no mide, pero contiene medidas. ","")&amp;IF(AND(OR(P125="DIRECTA",P125="DIMENSIONES"),U125=0),"Línea incompleta o con medidas no numéricas. ","")&amp;IF(P125="SIN LÍNEAS","No constan medidas de esta fila. ","")&amp;IF(Y125&gt;0,"Parece m³: tres dimensiones bajo m². ","")&amp;IF(AND(AB125&lt;&gt;"",SUMPRODUCT(--('LÉEME'!$B$65:$B$86=AC125))&lt;&gt;1),"Revisamos el significado de la unidad. ","")&amp;IF(Z125&gt;0,"Más precisión que los decimales indicados: cotejamos el original. ","")&amp;IF(AA125&gt;0,"Revisamos dimensiones, cantidad directa, ceros o deducción. ","")))</f>
      </c>
      <c r="O125" s="0" t="n">
        <f>IF(ISNUMBER(K125),IF(AND(K125&gt;0,K125=INT(K125),K125&lt;=999999),K125,0),0)</f>
        <v>0</v>
      </c>
      <c r="P125" s="0">
        <f>IF(COUNTA(B125:L125)=0,"",IF(L125="",IF(COUNTA(G125:J125)&gt;0,"DIMENSIONES","SIN LÍNEAS"),UPPER(TRIM(L125))))</f>
      </c>
      <c r="Q125" s="0">
        <f>IF(AND(O125&gt;0,LEN(TRIM(B125&amp;""))&gt;0,LEN(TRIM(C125&amp;""))&gt;0,LEN(TRIM(E125&amp;""))&gt;0,ISNUMBER(F125)),O125,"")</f>
      </c>
      <c r="R125" s="0" t="n">
        <f>IF(O125=0,0,IF(COUNTIFS($Q$13:$Q$512,O125)&gt;0,MATCH(O125,$Q$13:$Q$512,0),0))</f>
        <v>0</v>
      </c>
      <c r="S125" s="0">
        <f>IF(AB125="","",IF(SUMPRODUCT(--('LÉEME'!$B$65:$B$86=AC125))=1,INDEX('LÉEME'!$C$65:$C$86,MATCH(AC125,'LÉEME'!$B$65:$B$86,0)),UPPER(TRIM(AB125))))</f>
      </c>
      <c r="T125" s="0" t="n">
        <f>IF(R125=0,0,IF(OR(AND(LEN(TRIM(B125&amp;""))&gt;0,UPPER(TRIM(B125&amp;""))&lt;&gt;UPPER(TRIM(INDEX($B$13:$B$512,R125)&amp;""))),AND(LEN(TRIM(C125&amp;""))&gt;0,UPPER(TRIM(C125&amp;""))&lt;&gt;UPPER(TRIM(INDEX($C$13:$C$512,R125)&amp;""))),AND(LEN(TRIM(E125&amp;""))&gt;0,S125&lt;&gt;INDEX($S$13:$S$512,R125)),AND(F125&lt;&gt;"",NOT(ISNUMBER(F125)))),1,IF(ISNUMBER(F125),IF(ABS(F125-INDEX($F$13:$F$512,R125))&gt;0.00000001,1,0),0)))</f>
        <v>0</v>
      </c>
      <c r="U125" s="0" t="n">
        <f>IF(P125="DIRECTA",IF(AND(ISNUMBER(G125),COUNTA(H125:J125)=0),1,0),IF(P125="DIMENSIONES",IF(AND(COUNT(G125:J125)&gt;0,COUNTA(G125:J125)=COUNT(G125:J125)),1,0),0))</f>
        <v>0</v>
      </c>
      <c r="V125" s="0" t="n">
        <f>IF(O125=0,0,IF(COUNTIFS($O$13:O125,O125)=1,1,0))</f>
        <v>0</v>
      </c>
      <c r="W125" s="0">
        <f>IF(V125=1,COUNTIFS($V$13:V125,1),"")</f>
      </c>
      <c r="X125" s="0">
        <f>IF(COUNTA(B125:L125)=0,"",IF(OR(NOT(IF(ISNUMBER($E$6),AND($E$6&gt;=0,$E$6&lt;=6,$E$6=INT($E$6)),FALSE)),O125=0,R125=0,T125&gt;0,AND(P125&lt;&gt;"DIMENSIONES",P125&lt;&gt;"DIRECTA",P125&lt;&gt;"SIN LÍNEAS",P125&lt;&gt;"CABECERA"),AND(OR(P125="DIRECTA",P125="DIMENSIONES"),U125=0),AND(OR(P125="SIN LÍNEAS",P125="CABECERA"),COUNTA(G125:J125)&gt;0)),2,IF(OR(P125="SIN LÍNEAS",Y125&gt;0,Z125&gt;0,AA125&gt;0,SUMPRODUCT(--('LÉEME'!$B$65:$B$86=AC125))&lt;&gt;1),1,0)))</f>
      </c>
      <c r="Y125" s="0" t="n">
        <f>IF(AND(P125="DIMENSIONES",S125="m²",COUNT(H125:J125)=3),1,0)</f>
        <v>0</v>
      </c>
      <c r="Z125" s="0" t="n">
        <f>IF(IF(ISNUMBER($E$6),AND($E$6&gt;=0,$E$6&lt;=6,$E$6=INT($E$6)),FALSE),IF(SUM(IF(ISNUMBER(F125),IF(ABS(F125-ROUND(F125,$E$6))&gt;0.00000001,1,0),0),IF(ISNUMBER(G125),IF(ABS(G125-ROUND(G125,$E$6))&gt;0.00000001,1,0),0),IF(ISNUMBER(H125),IF(ABS(H125-ROUND(H125,$E$6))&gt;0.00000001,1,0),0),IF(ISNUMBER(I125),IF(ABS(I125-ROUND(I125,$E$6))&gt;0.00000001,1,0),0),IF(ISNUMBER(J125),IF(ABS(J125-ROUND(J125,$E$6))&gt;0.00000001,1,0),0),IF(ISNUMBER(M125),IF(ABS(M125-ROUND(M125,$E$6))&gt;0.00000001,1,0),0))&gt;0,1,0),0)</f>
        <v>0</v>
      </c>
      <c r="AA125" s="0" t="n">
        <f>IF(COUNTA(B125:L125)=0,0,IF(OR(AND(ISNUMBER(F125),F125&lt;0),AND(U125=1,OR(SUM(IF(ISNUMBER(G125),IF(G125=0,1,0),0),IF(ISNUMBER(H125),IF(H125=0,1,0),0),IF(ISNUMBER(I125),IF(I125=0,1,0),0),IF(ISNUMBER(J125),IF(J125=0,1,0),0))&gt;0,COUNTIFS(G125:J125,"&lt;0")&gt;0)),AND(P125="DIMENSIONES",U125=1,OR(AND(S125="m",COUNT(H125:J125)&lt;&gt;1),AND(S125="m²",COUNT(H125:J125)&lt;&gt;2,Y125=0),AND(S125="m³",COUNT(H125:J125)&lt;&gt;3),AND(S125="ud",COUNT(H125:J125)&gt;0))),AND(P125="DIRECTA",OR(S125="m",S125="m²",S125="m³"))),1,0))</f>
        <v>0</v>
      </c>
      <c r="AB125" s="0">
        <f>IF(LEN(TRIM(E125&amp;""))&gt;0,E125,IF(R125&gt;0,INDEX($E$13:$E$512,R125),""))</f>
      </c>
      <c r="AC125" s="0">
        <f>UPPER(SUBSTITUTE(SUBSTITUTE(SUBSTITUTE(SUBSTITUTE(SUBSTITUTE(TRIM(AB125),"²","2"),"³","3"),"^",""),".","")," ",""))</f>
      </c>
    </row>
    <row r="126" ht="35" customHeight="1">
      <c r="B126" s="35"/>
      <c r="C126" s="35"/>
      <c r="D126" s="37"/>
      <c r="E126" s="35"/>
      <c r="F126" s="38"/>
      <c r="G126" s="38"/>
      <c r="H126" s="38"/>
      <c r="I126" s="38"/>
      <c r="J126" s="38"/>
      <c r="K126" s="35"/>
      <c r="L126" s="35"/>
      <c r="M126" s="39">
        <f>IF(U126&lt;&gt;1,"",IF(P126="DIRECTA",G126,IF(ISNUMBER(G126),G126,1)*IF(ISNUMBER(H126),H126,1)*IF(ISNUMBER(I126),I126,1)*IF(ISNUMBER(J126),J126,1)))</f>
      </c>
      <c r="N126" s="30">
        <f>IF(COUNTA(B126:L126)=0,"",IF(X126=0,IF(P126="CABECERA","VERDE · Fila descriptiva; la suma usa las líneas del ID","VERDE · Datos numéricos interpretables"),IF(X126=2,"ROJO · ","ÁMBAR · ")&amp;IF(NOT(IF(ISNUMBER($E$6),AND($E$6&gt;=0,$E$6&lt;=6,$E$6=INT($E$6)),FALSE)),"Indicamos entre 0 y 6 decimales en E6. ","")&amp;IF(O126=0,"Falta un ID numérico. ","")&amp;IF(R126=0,"Faltan capítulo, código, unidad o total numérico del ID. ","")&amp;IF(T126&gt;0,"Los datos o el total del ID se contradicen. ","")&amp;IF(AND(P126&lt;&gt;"DIMENSIONES",P126&lt;&gt;"DIRECTA",P126&lt;&gt;"SIN LÍNEAS",P126&lt;&gt;"CABECERA"),"Tipo de fila no reconocido. ","")&amp;IF(AND(OR(P126="SIN LÍNEAS",P126="CABECERA"),COUNTA(G126:J126)&gt;0),"La fila dice que no mide, pero contiene medidas. ","")&amp;IF(AND(OR(P126="DIRECTA",P126="DIMENSIONES"),U126=0),"Línea incompleta o con medidas no numéricas. ","")&amp;IF(P126="SIN LÍNEAS","No constan medidas de esta fila. ","")&amp;IF(Y126&gt;0,"Parece m³: tres dimensiones bajo m². ","")&amp;IF(AND(AB126&lt;&gt;"",SUMPRODUCT(--('LÉEME'!$B$65:$B$86=AC126))&lt;&gt;1),"Revisamos el significado de la unidad. ","")&amp;IF(Z126&gt;0,"Más precisión que los decimales indicados: cotejamos el original. ","")&amp;IF(AA126&gt;0,"Revisamos dimensiones, cantidad directa, ceros o deducción. ","")))</f>
      </c>
      <c r="O126" s="0" t="n">
        <f>IF(ISNUMBER(K126),IF(AND(K126&gt;0,K126=INT(K126),K126&lt;=999999),K126,0),0)</f>
        <v>0</v>
      </c>
      <c r="P126" s="0">
        <f>IF(COUNTA(B126:L126)=0,"",IF(L126="",IF(COUNTA(G126:J126)&gt;0,"DIMENSIONES","SIN LÍNEAS"),UPPER(TRIM(L126))))</f>
      </c>
      <c r="Q126" s="0">
        <f>IF(AND(O126&gt;0,LEN(TRIM(B126&amp;""))&gt;0,LEN(TRIM(C126&amp;""))&gt;0,LEN(TRIM(E126&amp;""))&gt;0,ISNUMBER(F126)),O126,"")</f>
      </c>
      <c r="R126" s="0" t="n">
        <f>IF(O126=0,0,IF(COUNTIFS($Q$13:$Q$512,O126)&gt;0,MATCH(O126,$Q$13:$Q$512,0),0))</f>
        <v>0</v>
      </c>
      <c r="S126" s="0">
        <f>IF(AB126="","",IF(SUMPRODUCT(--('LÉEME'!$B$65:$B$86=AC126))=1,INDEX('LÉEME'!$C$65:$C$86,MATCH(AC126,'LÉEME'!$B$65:$B$86,0)),UPPER(TRIM(AB126))))</f>
      </c>
      <c r="T126" s="0" t="n">
        <f>IF(R126=0,0,IF(OR(AND(LEN(TRIM(B126&amp;""))&gt;0,UPPER(TRIM(B126&amp;""))&lt;&gt;UPPER(TRIM(INDEX($B$13:$B$512,R126)&amp;""))),AND(LEN(TRIM(C126&amp;""))&gt;0,UPPER(TRIM(C126&amp;""))&lt;&gt;UPPER(TRIM(INDEX($C$13:$C$512,R126)&amp;""))),AND(LEN(TRIM(E126&amp;""))&gt;0,S126&lt;&gt;INDEX($S$13:$S$512,R126)),AND(F126&lt;&gt;"",NOT(ISNUMBER(F126)))),1,IF(ISNUMBER(F126),IF(ABS(F126-INDEX($F$13:$F$512,R126))&gt;0.00000001,1,0),0)))</f>
        <v>0</v>
      </c>
      <c r="U126" s="0" t="n">
        <f>IF(P126="DIRECTA",IF(AND(ISNUMBER(G126),COUNTA(H126:J126)=0),1,0),IF(P126="DIMENSIONES",IF(AND(COUNT(G126:J126)&gt;0,COUNTA(G126:J126)=COUNT(G126:J126)),1,0),0))</f>
        <v>0</v>
      </c>
      <c r="V126" s="0" t="n">
        <f>IF(O126=0,0,IF(COUNTIFS($O$13:O126,O126)=1,1,0))</f>
        <v>0</v>
      </c>
      <c r="W126" s="0">
        <f>IF(V126=1,COUNTIFS($V$13:V126,1),"")</f>
      </c>
      <c r="X126" s="0">
        <f>IF(COUNTA(B126:L126)=0,"",IF(OR(NOT(IF(ISNUMBER($E$6),AND($E$6&gt;=0,$E$6&lt;=6,$E$6=INT($E$6)),FALSE)),O126=0,R126=0,T126&gt;0,AND(P126&lt;&gt;"DIMENSIONES",P126&lt;&gt;"DIRECTA",P126&lt;&gt;"SIN LÍNEAS",P126&lt;&gt;"CABECERA"),AND(OR(P126="DIRECTA",P126="DIMENSIONES"),U126=0),AND(OR(P126="SIN LÍNEAS",P126="CABECERA"),COUNTA(G126:J126)&gt;0)),2,IF(OR(P126="SIN LÍNEAS",Y126&gt;0,Z126&gt;0,AA126&gt;0,SUMPRODUCT(--('LÉEME'!$B$65:$B$86=AC126))&lt;&gt;1),1,0)))</f>
      </c>
      <c r="Y126" s="0" t="n">
        <f>IF(AND(P126="DIMENSIONES",S126="m²",COUNT(H126:J126)=3),1,0)</f>
        <v>0</v>
      </c>
      <c r="Z126" s="0" t="n">
        <f>IF(IF(ISNUMBER($E$6),AND($E$6&gt;=0,$E$6&lt;=6,$E$6=INT($E$6)),FALSE),IF(SUM(IF(ISNUMBER(F126),IF(ABS(F126-ROUND(F126,$E$6))&gt;0.00000001,1,0),0),IF(ISNUMBER(G126),IF(ABS(G126-ROUND(G126,$E$6))&gt;0.00000001,1,0),0),IF(ISNUMBER(H126),IF(ABS(H126-ROUND(H126,$E$6))&gt;0.00000001,1,0),0),IF(ISNUMBER(I126),IF(ABS(I126-ROUND(I126,$E$6))&gt;0.00000001,1,0),0),IF(ISNUMBER(J126),IF(ABS(J126-ROUND(J126,$E$6))&gt;0.00000001,1,0),0),IF(ISNUMBER(M126),IF(ABS(M126-ROUND(M126,$E$6))&gt;0.00000001,1,0),0))&gt;0,1,0),0)</f>
        <v>0</v>
      </c>
      <c r="AA126" s="0" t="n">
        <f>IF(COUNTA(B126:L126)=0,0,IF(OR(AND(ISNUMBER(F126),F126&lt;0),AND(U126=1,OR(SUM(IF(ISNUMBER(G126),IF(G126=0,1,0),0),IF(ISNUMBER(H126),IF(H126=0,1,0),0),IF(ISNUMBER(I126),IF(I126=0,1,0),0),IF(ISNUMBER(J126),IF(J126=0,1,0),0))&gt;0,COUNTIFS(G126:J126,"&lt;0")&gt;0)),AND(P126="DIMENSIONES",U126=1,OR(AND(S126="m",COUNT(H126:J126)&lt;&gt;1),AND(S126="m²",COUNT(H126:J126)&lt;&gt;2,Y126=0),AND(S126="m³",COUNT(H126:J126)&lt;&gt;3),AND(S126="ud",COUNT(H126:J126)&gt;0))),AND(P126="DIRECTA",OR(S126="m",S126="m²",S126="m³"))),1,0))</f>
        <v>0</v>
      </c>
      <c r="AB126" s="0">
        <f>IF(LEN(TRIM(E126&amp;""))&gt;0,E126,IF(R126&gt;0,INDEX($E$13:$E$512,R126),""))</f>
      </c>
      <c r="AC126" s="0">
        <f>UPPER(SUBSTITUTE(SUBSTITUTE(SUBSTITUTE(SUBSTITUTE(SUBSTITUTE(TRIM(AB126),"²","2"),"³","3"),"^",""),".","")," ",""))</f>
      </c>
    </row>
    <row r="127" ht="35" customHeight="1">
      <c r="B127" s="35"/>
      <c r="C127" s="35"/>
      <c r="D127" s="37"/>
      <c r="E127" s="35"/>
      <c r="F127" s="38"/>
      <c r="G127" s="38"/>
      <c r="H127" s="38"/>
      <c r="I127" s="38"/>
      <c r="J127" s="38"/>
      <c r="K127" s="35"/>
      <c r="L127" s="35"/>
      <c r="M127" s="39">
        <f>IF(U127&lt;&gt;1,"",IF(P127="DIRECTA",G127,IF(ISNUMBER(G127),G127,1)*IF(ISNUMBER(H127),H127,1)*IF(ISNUMBER(I127),I127,1)*IF(ISNUMBER(J127),J127,1)))</f>
      </c>
      <c r="N127" s="30">
        <f>IF(COUNTA(B127:L127)=0,"",IF(X127=0,IF(P127="CABECERA","VERDE · Fila descriptiva; la suma usa las líneas del ID","VERDE · Datos numéricos interpretables"),IF(X127=2,"ROJO · ","ÁMBAR · ")&amp;IF(NOT(IF(ISNUMBER($E$6),AND($E$6&gt;=0,$E$6&lt;=6,$E$6=INT($E$6)),FALSE)),"Indicamos entre 0 y 6 decimales en E6. ","")&amp;IF(O127=0,"Falta un ID numérico. ","")&amp;IF(R127=0,"Faltan capítulo, código, unidad o total numérico del ID. ","")&amp;IF(T127&gt;0,"Los datos o el total del ID se contradicen. ","")&amp;IF(AND(P127&lt;&gt;"DIMENSIONES",P127&lt;&gt;"DIRECTA",P127&lt;&gt;"SIN LÍNEAS",P127&lt;&gt;"CABECERA"),"Tipo de fila no reconocido. ","")&amp;IF(AND(OR(P127="SIN LÍNEAS",P127="CABECERA"),COUNTA(G127:J127)&gt;0),"La fila dice que no mide, pero contiene medidas. ","")&amp;IF(AND(OR(P127="DIRECTA",P127="DIMENSIONES"),U127=0),"Línea incompleta o con medidas no numéricas. ","")&amp;IF(P127="SIN LÍNEAS","No constan medidas de esta fila. ","")&amp;IF(Y127&gt;0,"Parece m³: tres dimensiones bajo m². ","")&amp;IF(AND(AB127&lt;&gt;"",SUMPRODUCT(--('LÉEME'!$B$65:$B$86=AC127))&lt;&gt;1),"Revisamos el significado de la unidad. ","")&amp;IF(Z127&gt;0,"Más precisión que los decimales indicados: cotejamos el original. ","")&amp;IF(AA127&gt;0,"Revisamos dimensiones, cantidad directa, ceros o deducción. ","")))</f>
      </c>
      <c r="O127" s="0" t="n">
        <f>IF(ISNUMBER(K127),IF(AND(K127&gt;0,K127=INT(K127),K127&lt;=999999),K127,0),0)</f>
        <v>0</v>
      </c>
      <c r="P127" s="0">
        <f>IF(COUNTA(B127:L127)=0,"",IF(L127="",IF(COUNTA(G127:J127)&gt;0,"DIMENSIONES","SIN LÍNEAS"),UPPER(TRIM(L127))))</f>
      </c>
      <c r="Q127" s="0">
        <f>IF(AND(O127&gt;0,LEN(TRIM(B127&amp;""))&gt;0,LEN(TRIM(C127&amp;""))&gt;0,LEN(TRIM(E127&amp;""))&gt;0,ISNUMBER(F127)),O127,"")</f>
      </c>
      <c r="R127" s="0" t="n">
        <f>IF(O127=0,0,IF(COUNTIFS($Q$13:$Q$512,O127)&gt;0,MATCH(O127,$Q$13:$Q$512,0),0))</f>
        <v>0</v>
      </c>
      <c r="S127" s="0">
        <f>IF(AB127="","",IF(SUMPRODUCT(--('LÉEME'!$B$65:$B$86=AC127))=1,INDEX('LÉEME'!$C$65:$C$86,MATCH(AC127,'LÉEME'!$B$65:$B$86,0)),UPPER(TRIM(AB127))))</f>
      </c>
      <c r="T127" s="0" t="n">
        <f>IF(R127=0,0,IF(OR(AND(LEN(TRIM(B127&amp;""))&gt;0,UPPER(TRIM(B127&amp;""))&lt;&gt;UPPER(TRIM(INDEX($B$13:$B$512,R127)&amp;""))),AND(LEN(TRIM(C127&amp;""))&gt;0,UPPER(TRIM(C127&amp;""))&lt;&gt;UPPER(TRIM(INDEX($C$13:$C$512,R127)&amp;""))),AND(LEN(TRIM(E127&amp;""))&gt;0,S127&lt;&gt;INDEX($S$13:$S$512,R127)),AND(F127&lt;&gt;"",NOT(ISNUMBER(F127)))),1,IF(ISNUMBER(F127),IF(ABS(F127-INDEX($F$13:$F$512,R127))&gt;0.00000001,1,0),0)))</f>
        <v>0</v>
      </c>
      <c r="U127" s="0" t="n">
        <f>IF(P127="DIRECTA",IF(AND(ISNUMBER(G127),COUNTA(H127:J127)=0),1,0),IF(P127="DIMENSIONES",IF(AND(COUNT(G127:J127)&gt;0,COUNTA(G127:J127)=COUNT(G127:J127)),1,0),0))</f>
        <v>0</v>
      </c>
      <c r="V127" s="0" t="n">
        <f>IF(O127=0,0,IF(COUNTIFS($O$13:O127,O127)=1,1,0))</f>
        <v>0</v>
      </c>
      <c r="W127" s="0">
        <f>IF(V127=1,COUNTIFS($V$13:V127,1),"")</f>
      </c>
      <c r="X127" s="0">
        <f>IF(COUNTA(B127:L127)=0,"",IF(OR(NOT(IF(ISNUMBER($E$6),AND($E$6&gt;=0,$E$6&lt;=6,$E$6=INT($E$6)),FALSE)),O127=0,R127=0,T127&gt;0,AND(P127&lt;&gt;"DIMENSIONES",P127&lt;&gt;"DIRECTA",P127&lt;&gt;"SIN LÍNEAS",P127&lt;&gt;"CABECERA"),AND(OR(P127="DIRECTA",P127="DIMENSIONES"),U127=0),AND(OR(P127="SIN LÍNEAS",P127="CABECERA"),COUNTA(G127:J127)&gt;0)),2,IF(OR(P127="SIN LÍNEAS",Y127&gt;0,Z127&gt;0,AA127&gt;0,SUMPRODUCT(--('LÉEME'!$B$65:$B$86=AC127))&lt;&gt;1),1,0)))</f>
      </c>
      <c r="Y127" s="0" t="n">
        <f>IF(AND(P127="DIMENSIONES",S127="m²",COUNT(H127:J127)=3),1,0)</f>
        <v>0</v>
      </c>
      <c r="Z127" s="0" t="n">
        <f>IF(IF(ISNUMBER($E$6),AND($E$6&gt;=0,$E$6&lt;=6,$E$6=INT($E$6)),FALSE),IF(SUM(IF(ISNUMBER(F127),IF(ABS(F127-ROUND(F127,$E$6))&gt;0.00000001,1,0),0),IF(ISNUMBER(G127),IF(ABS(G127-ROUND(G127,$E$6))&gt;0.00000001,1,0),0),IF(ISNUMBER(H127),IF(ABS(H127-ROUND(H127,$E$6))&gt;0.00000001,1,0),0),IF(ISNUMBER(I127),IF(ABS(I127-ROUND(I127,$E$6))&gt;0.00000001,1,0),0),IF(ISNUMBER(J127),IF(ABS(J127-ROUND(J127,$E$6))&gt;0.00000001,1,0),0),IF(ISNUMBER(M127),IF(ABS(M127-ROUND(M127,$E$6))&gt;0.00000001,1,0),0))&gt;0,1,0),0)</f>
        <v>0</v>
      </c>
      <c r="AA127" s="0" t="n">
        <f>IF(COUNTA(B127:L127)=0,0,IF(OR(AND(ISNUMBER(F127),F127&lt;0),AND(U127=1,OR(SUM(IF(ISNUMBER(G127),IF(G127=0,1,0),0),IF(ISNUMBER(H127),IF(H127=0,1,0),0),IF(ISNUMBER(I127),IF(I127=0,1,0),0),IF(ISNUMBER(J127),IF(J127=0,1,0),0))&gt;0,COUNTIFS(G127:J127,"&lt;0")&gt;0)),AND(P127="DIMENSIONES",U127=1,OR(AND(S127="m",COUNT(H127:J127)&lt;&gt;1),AND(S127="m²",COUNT(H127:J127)&lt;&gt;2,Y127=0),AND(S127="m³",COUNT(H127:J127)&lt;&gt;3),AND(S127="ud",COUNT(H127:J127)&gt;0))),AND(P127="DIRECTA",OR(S127="m",S127="m²",S127="m³"))),1,0))</f>
        <v>0</v>
      </c>
      <c r="AB127" s="0">
        <f>IF(LEN(TRIM(E127&amp;""))&gt;0,E127,IF(R127&gt;0,INDEX($E$13:$E$512,R127),""))</f>
      </c>
      <c r="AC127" s="0">
        <f>UPPER(SUBSTITUTE(SUBSTITUTE(SUBSTITUTE(SUBSTITUTE(SUBSTITUTE(TRIM(AB127),"²","2"),"³","3"),"^",""),".","")," ",""))</f>
      </c>
    </row>
    <row r="128" ht="35" customHeight="1">
      <c r="B128" s="35"/>
      <c r="C128" s="35"/>
      <c r="D128" s="37"/>
      <c r="E128" s="35"/>
      <c r="F128" s="38"/>
      <c r="G128" s="38"/>
      <c r="H128" s="38"/>
      <c r="I128" s="38"/>
      <c r="J128" s="38"/>
      <c r="K128" s="35"/>
      <c r="L128" s="35"/>
      <c r="M128" s="39">
        <f>IF(U128&lt;&gt;1,"",IF(P128="DIRECTA",G128,IF(ISNUMBER(G128),G128,1)*IF(ISNUMBER(H128),H128,1)*IF(ISNUMBER(I128),I128,1)*IF(ISNUMBER(J128),J128,1)))</f>
      </c>
      <c r="N128" s="30">
        <f>IF(COUNTA(B128:L128)=0,"",IF(X128=0,IF(P128="CABECERA","VERDE · Fila descriptiva; la suma usa las líneas del ID","VERDE · Datos numéricos interpretables"),IF(X128=2,"ROJO · ","ÁMBAR · ")&amp;IF(NOT(IF(ISNUMBER($E$6),AND($E$6&gt;=0,$E$6&lt;=6,$E$6=INT($E$6)),FALSE)),"Indicamos entre 0 y 6 decimales en E6. ","")&amp;IF(O128=0,"Falta un ID numérico. ","")&amp;IF(R128=0,"Faltan capítulo, código, unidad o total numérico del ID. ","")&amp;IF(T128&gt;0,"Los datos o el total del ID se contradicen. ","")&amp;IF(AND(P128&lt;&gt;"DIMENSIONES",P128&lt;&gt;"DIRECTA",P128&lt;&gt;"SIN LÍNEAS",P128&lt;&gt;"CABECERA"),"Tipo de fila no reconocido. ","")&amp;IF(AND(OR(P128="SIN LÍNEAS",P128="CABECERA"),COUNTA(G128:J128)&gt;0),"La fila dice que no mide, pero contiene medidas. ","")&amp;IF(AND(OR(P128="DIRECTA",P128="DIMENSIONES"),U128=0),"Línea incompleta o con medidas no numéricas. ","")&amp;IF(P128="SIN LÍNEAS","No constan medidas de esta fila. ","")&amp;IF(Y128&gt;0,"Parece m³: tres dimensiones bajo m². ","")&amp;IF(AND(AB128&lt;&gt;"",SUMPRODUCT(--('LÉEME'!$B$65:$B$86=AC128))&lt;&gt;1),"Revisamos el significado de la unidad. ","")&amp;IF(Z128&gt;0,"Más precisión que los decimales indicados: cotejamos el original. ","")&amp;IF(AA128&gt;0,"Revisamos dimensiones, cantidad directa, ceros o deducción. ","")))</f>
      </c>
      <c r="O128" s="0" t="n">
        <f>IF(ISNUMBER(K128),IF(AND(K128&gt;0,K128=INT(K128),K128&lt;=999999),K128,0),0)</f>
        <v>0</v>
      </c>
      <c r="P128" s="0">
        <f>IF(COUNTA(B128:L128)=0,"",IF(L128="",IF(COUNTA(G128:J128)&gt;0,"DIMENSIONES","SIN LÍNEAS"),UPPER(TRIM(L128))))</f>
      </c>
      <c r="Q128" s="0">
        <f>IF(AND(O128&gt;0,LEN(TRIM(B128&amp;""))&gt;0,LEN(TRIM(C128&amp;""))&gt;0,LEN(TRIM(E128&amp;""))&gt;0,ISNUMBER(F128)),O128,"")</f>
      </c>
      <c r="R128" s="0" t="n">
        <f>IF(O128=0,0,IF(COUNTIFS($Q$13:$Q$512,O128)&gt;0,MATCH(O128,$Q$13:$Q$512,0),0))</f>
        <v>0</v>
      </c>
      <c r="S128" s="0">
        <f>IF(AB128="","",IF(SUMPRODUCT(--('LÉEME'!$B$65:$B$86=AC128))=1,INDEX('LÉEME'!$C$65:$C$86,MATCH(AC128,'LÉEME'!$B$65:$B$86,0)),UPPER(TRIM(AB128))))</f>
      </c>
      <c r="T128" s="0" t="n">
        <f>IF(R128=0,0,IF(OR(AND(LEN(TRIM(B128&amp;""))&gt;0,UPPER(TRIM(B128&amp;""))&lt;&gt;UPPER(TRIM(INDEX($B$13:$B$512,R128)&amp;""))),AND(LEN(TRIM(C128&amp;""))&gt;0,UPPER(TRIM(C128&amp;""))&lt;&gt;UPPER(TRIM(INDEX($C$13:$C$512,R128)&amp;""))),AND(LEN(TRIM(E128&amp;""))&gt;0,S128&lt;&gt;INDEX($S$13:$S$512,R128)),AND(F128&lt;&gt;"",NOT(ISNUMBER(F128)))),1,IF(ISNUMBER(F128),IF(ABS(F128-INDEX($F$13:$F$512,R128))&gt;0.00000001,1,0),0)))</f>
        <v>0</v>
      </c>
      <c r="U128" s="0" t="n">
        <f>IF(P128="DIRECTA",IF(AND(ISNUMBER(G128),COUNTA(H128:J128)=0),1,0),IF(P128="DIMENSIONES",IF(AND(COUNT(G128:J128)&gt;0,COUNTA(G128:J128)=COUNT(G128:J128)),1,0),0))</f>
        <v>0</v>
      </c>
      <c r="V128" s="0" t="n">
        <f>IF(O128=0,0,IF(COUNTIFS($O$13:O128,O128)=1,1,0))</f>
        <v>0</v>
      </c>
      <c r="W128" s="0">
        <f>IF(V128=1,COUNTIFS($V$13:V128,1),"")</f>
      </c>
      <c r="X128" s="0">
        <f>IF(COUNTA(B128:L128)=0,"",IF(OR(NOT(IF(ISNUMBER($E$6),AND($E$6&gt;=0,$E$6&lt;=6,$E$6=INT($E$6)),FALSE)),O128=0,R128=0,T128&gt;0,AND(P128&lt;&gt;"DIMENSIONES",P128&lt;&gt;"DIRECTA",P128&lt;&gt;"SIN LÍNEAS",P128&lt;&gt;"CABECERA"),AND(OR(P128="DIRECTA",P128="DIMENSIONES"),U128=0),AND(OR(P128="SIN LÍNEAS",P128="CABECERA"),COUNTA(G128:J128)&gt;0)),2,IF(OR(P128="SIN LÍNEAS",Y128&gt;0,Z128&gt;0,AA128&gt;0,SUMPRODUCT(--('LÉEME'!$B$65:$B$86=AC128))&lt;&gt;1),1,0)))</f>
      </c>
      <c r="Y128" s="0" t="n">
        <f>IF(AND(P128="DIMENSIONES",S128="m²",COUNT(H128:J128)=3),1,0)</f>
        <v>0</v>
      </c>
      <c r="Z128" s="0" t="n">
        <f>IF(IF(ISNUMBER($E$6),AND($E$6&gt;=0,$E$6&lt;=6,$E$6=INT($E$6)),FALSE),IF(SUM(IF(ISNUMBER(F128),IF(ABS(F128-ROUND(F128,$E$6))&gt;0.00000001,1,0),0),IF(ISNUMBER(G128),IF(ABS(G128-ROUND(G128,$E$6))&gt;0.00000001,1,0),0),IF(ISNUMBER(H128),IF(ABS(H128-ROUND(H128,$E$6))&gt;0.00000001,1,0),0),IF(ISNUMBER(I128),IF(ABS(I128-ROUND(I128,$E$6))&gt;0.00000001,1,0),0),IF(ISNUMBER(J128),IF(ABS(J128-ROUND(J128,$E$6))&gt;0.00000001,1,0),0),IF(ISNUMBER(M128),IF(ABS(M128-ROUND(M128,$E$6))&gt;0.00000001,1,0),0))&gt;0,1,0),0)</f>
        <v>0</v>
      </c>
      <c r="AA128" s="0" t="n">
        <f>IF(COUNTA(B128:L128)=0,0,IF(OR(AND(ISNUMBER(F128),F128&lt;0),AND(U128=1,OR(SUM(IF(ISNUMBER(G128),IF(G128=0,1,0),0),IF(ISNUMBER(H128),IF(H128=0,1,0),0),IF(ISNUMBER(I128),IF(I128=0,1,0),0),IF(ISNUMBER(J128),IF(J128=0,1,0),0))&gt;0,COUNTIFS(G128:J128,"&lt;0")&gt;0)),AND(P128="DIMENSIONES",U128=1,OR(AND(S128="m",COUNT(H128:J128)&lt;&gt;1),AND(S128="m²",COUNT(H128:J128)&lt;&gt;2,Y128=0),AND(S128="m³",COUNT(H128:J128)&lt;&gt;3),AND(S128="ud",COUNT(H128:J128)&gt;0))),AND(P128="DIRECTA",OR(S128="m",S128="m²",S128="m³"))),1,0))</f>
        <v>0</v>
      </c>
      <c r="AB128" s="0">
        <f>IF(LEN(TRIM(E128&amp;""))&gt;0,E128,IF(R128&gt;0,INDEX($E$13:$E$512,R128),""))</f>
      </c>
      <c r="AC128" s="0">
        <f>UPPER(SUBSTITUTE(SUBSTITUTE(SUBSTITUTE(SUBSTITUTE(SUBSTITUTE(TRIM(AB128),"²","2"),"³","3"),"^",""),".","")," ",""))</f>
      </c>
    </row>
    <row r="129" ht="35" customHeight="1">
      <c r="B129" s="35"/>
      <c r="C129" s="35"/>
      <c r="D129" s="37"/>
      <c r="E129" s="35"/>
      <c r="F129" s="38"/>
      <c r="G129" s="38"/>
      <c r="H129" s="38"/>
      <c r="I129" s="38"/>
      <c r="J129" s="38"/>
      <c r="K129" s="35"/>
      <c r="L129" s="35"/>
      <c r="M129" s="39">
        <f>IF(U129&lt;&gt;1,"",IF(P129="DIRECTA",G129,IF(ISNUMBER(G129),G129,1)*IF(ISNUMBER(H129),H129,1)*IF(ISNUMBER(I129),I129,1)*IF(ISNUMBER(J129),J129,1)))</f>
      </c>
      <c r="N129" s="30">
        <f>IF(COUNTA(B129:L129)=0,"",IF(X129=0,IF(P129="CABECERA","VERDE · Fila descriptiva; la suma usa las líneas del ID","VERDE · Datos numéricos interpretables"),IF(X129=2,"ROJO · ","ÁMBAR · ")&amp;IF(NOT(IF(ISNUMBER($E$6),AND($E$6&gt;=0,$E$6&lt;=6,$E$6=INT($E$6)),FALSE)),"Indicamos entre 0 y 6 decimales en E6. ","")&amp;IF(O129=0,"Falta un ID numérico. ","")&amp;IF(R129=0,"Faltan capítulo, código, unidad o total numérico del ID. ","")&amp;IF(T129&gt;0,"Los datos o el total del ID se contradicen. ","")&amp;IF(AND(P129&lt;&gt;"DIMENSIONES",P129&lt;&gt;"DIRECTA",P129&lt;&gt;"SIN LÍNEAS",P129&lt;&gt;"CABECERA"),"Tipo de fila no reconocido. ","")&amp;IF(AND(OR(P129="SIN LÍNEAS",P129="CABECERA"),COUNTA(G129:J129)&gt;0),"La fila dice que no mide, pero contiene medidas. ","")&amp;IF(AND(OR(P129="DIRECTA",P129="DIMENSIONES"),U129=0),"Línea incompleta o con medidas no numéricas. ","")&amp;IF(P129="SIN LÍNEAS","No constan medidas de esta fila. ","")&amp;IF(Y129&gt;0,"Parece m³: tres dimensiones bajo m². ","")&amp;IF(AND(AB129&lt;&gt;"",SUMPRODUCT(--('LÉEME'!$B$65:$B$86=AC129))&lt;&gt;1),"Revisamos el significado de la unidad. ","")&amp;IF(Z129&gt;0,"Más precisión que los decimales indicados: cotejamos el original. ","")&amp;IF(AA129&gt;0,"Revisamos dimensiones, cantidad directa, ceros o deducción. ","")))</f>
      </c>
      <c r="O129" s="0" t="n">
        <f>IF(ISNUMBER(K129),IF(AND(K129&gt;0,K129=INT(K129),K129&lt;=999999),K129,0),0)</f>
        <v>0</v>
      </c>
      <c r="P129" s="0">
        <f>IF(COUNTA(B129:L129)=0,"",IF(L129="",IF(COUNTA(G129:J129)&gt;0,"DIMENSIONES","SIN LÍNEAS"),UPPER(TRIM(L129))))</f>
      </c>
      <c r="Q129" s="0">
        <f>IF(AND(O129&gt;0,LEN(TRIM(B129&amp;""))&gt;0,LEN(TRIM(C129&amp;""))&gt;0,LEN(TRIM(E129&amp;""))&gt;0,ISNUMBER(F129)),O129,"")</f>
      </c>
      <c r="R129" s="0" t="n">
        <f>IF(O129=0,0,IF(COUNTIFS($Q$13:$Q$512,O129)&gt;0,MATCH(O129,$Q$13:$Q$512,0),0))</f>
        <v>0</v>
      </c>
      <c r="S129" s="0">
        <f>IF(AB129="","",IF(SUMPRODUCT(--('LÉEME'!$B$65:$B$86=AC129))=1,INDEX('LÉEME'!$C$65:$C$86,MATCH(AC129,'LÉEME'!$B$65:$B$86,0)),UPPER(TRIM(AB129))))</f>
      </c>
      <c r="T129" s="0" t="n">
        <f>IF(R129=0,0,IF(OR(AND(LEN(TRIM(B129&amp;""))&gt;0,UPPER(TRIM(B129&amp;""))&lt;&gt;UPPER(TRIM(INDEX($B$13:$B$512,R129)&amp;""))),AND(LEN(TRIM(C129&amp;""))&gt;0,UPPER(TRIM(C129&amp;""))&lt;&gt;UPPER(TRIM(INDEX($C$13:$C$512,R129)&amp;""))),AND(LEN(TRIM(E129&amp;""))&gt;0,S129&lt;&gt;INDEX($S$13:$S$512,R129)),AND(F129&lt;&gt;"",NOT(ISNUMBER(F129)))),1,IF(ISNUMBER(F129),IF(ABS(F129-INDEX($F$13:$F$512,R129))&gt;0.00000001,1,0),0)))</f>
        <v>0</v>
      </c>
      <c r="U129" s="0" t="n">
        <f>IF(P129="DIRECTA",IF(AND(ISNUMBER(G129),COUNTA(H129:J129)=0),1,0),IF(P129="DIMENSIONES",IF(AND(COUNT(G129:J129)&gt;0,COUNTA(G129:J129)=COUNT(G129:J129)),1,0),0))</f>
        <v>0</v>
      </c>
      <c r="V129" s="0" t="n">
        <f>IF(O129=0,0,IF(COUNTIFS($O$13:O129,O129)=1,1,0))</f>
        <v>0</v>
      </c>
      <c r="W129" s="0">
        <f>IF(V129=1,COUNTIFS($V$13:V129,1),"")</f>
      </c>
      <c r="X129" s="0">
        <f>IF(COUNTA(B129:L129)=0,"",IF(OR(NOT(IF(ISNUMBER($E$6),AND($E$6&gt;=0,$E$6&lt;=6,$E$6=INT($E$6)),FALSE)),O129=0,R129=0,T129&gt;0,AND(P129&lt;&gt;"DIMENSIONES",P129&lt;&gt;"DIRECTA",P129&lt;&gt;"SIN LÍNEAS",P129&lt;&gt;"CABECERA"),AND(OR(P129="DIRECTA",P129="DIMENSIONES"),U129=0),AND(OR(P129="SIN LÍNEAS",P129="CABECERA"),COUNTA(G129:J129)&gt;0)),2,IF(OR(P129="SIN LÍNEAS",Y129&gt;0,Z129&gt;0,AA129&gt;0,SUMPRODUCT(--('LÉEME'!$B$65:$B$86=AC129))&lt;&gt;1),1,0)))</f>
      </c>
      <c r="Y129" s="0" t="n">
        <f>IF(AND(P129="DIMENSIONES",S129="m²",COUNT(H129:J129)=3),1,0)</f>
        <v>0</v>
      </c>
      <c r="Z129" s="0" t="n">
        <f>IF(IF(ISNUMBER($E$6),AND($E$6&gt;=0,$E$6&lt;=6,$E$6=INT($E$6)),FALSE),IF(SUM(IF(ISNUMBER(F129),IF(ABS(F129-ROUND(F129,$E$6))&gt;0.00000001,1,0),0),IF(ISNUMBER(G129),IF(ABS(G129-ROUND(G129,$E$6))&gt;0.00000001,1,0),0),IF(ISNUMBER(H129),IF(ABS(H129-ROUND(H129,$E$6))&gt;0.00000001,1,0),0),IF(ISNUMBER(I129),IF(ABS(I129-ROUND(I129,$E$6))&gt;0.00000001,1,0),0),IF(ISNUMBER(J129),IF(ABS(J129-ROUND(J129,$E$6))&gt;0.00000001,1,0),0),IF(ISNUMBER(M129),IF(ABS(M129-ROUND(M129,$E$6))&gt;0.00000001,1,0),0))&gt;0,1,0),0)</f>
        <v>0</v>
      </c>
      <c r="AA129" s="0" t="n">
        <f>IF(COUNTA(B129:L129)=0,0,IF(OR(AND(ISNUMBER(F129),F129&lt;0),AND(U129=1,OR(SUM(IF(ISNUMBER(G129),IF(G129=0,1,0),0),IF(ISNUMBER(H129),IF(H129=0,1,0),0),IF(ISNUMBER(I129),IF(I129=0,1,0),0),IF(ISNUMBER(J129),IF(J129=0,1,0),0))&gt;0,COUNTIFS(G129:J129,"&lt;0")&gt;0)),AND(P129="DIMENSIONES",U129=1,OR(AND(S129="m",COUNT(H129:J129)&lt;&gt;1),AND(S129="m²",COUNT(H129:J129)&lt;&gt;2,Y129=0),AND(S129="m³",COUNT(H129:J129)&lt;&gt;3),AND(S129="ud",COUNT(H129:J129)&gt;0))),AND(P129="DIRECTA",OR(S129="m",S129="m²",S129="m³"))),1,0))</f>
        <v>0</v>
      </c>
      <c r="AB129" s="0">
        <f>IF(LEN(TRIM(E129&amp;""))&gt;0,E129,IF(R129&gt;0,INDEX($E$13:$E$512,R129),""))</f>
      </c>
      <c r="AC129" s="0">
        <f>UPPER(SUBSTITUTE(SUBSTITUTE(SUBSTITUTE(SUBSTITUTE(SUBSTITUTE(TRIM(AB129),"²","2"),"³","3"),"^",""),".","")," ",""))</f>
      </c>
    </row>
    <row r="130" ht="35" customHeight="1">
      <c r="B130" s="35"/>
      <c r="C130" s="35"/>
      <c r="D130" s="37"/>
      <c r="E130" s="35"/>
      <c r="F130" s="38"/>
      <c r="G130" s="38"/>
      <c r="H130" s="38"/>
      <c r="I130" s="38"/>
      <c r="J130" s="38"/>
      <c r="K130" s="35"/>
      <c r="L130" s="35"/>
      <c r="M130" s="39">
        <f>IF(U130&lt;&gt;1,"",IF(P130="DIRECTA",G130,IF(ISNUMBER(G130),G130,1)*IF(ISNUMBER(H130),H130,1)*IF(ISNUMBER(I130),I130,1)*IF(ISNUMBER(J130),J130,1)))</f>
      </c>
      <c r="N130" s="30">
        <f>IF(COUNTA(B130:L130)=0,"",IF(X130=0,IF(P130="CABECERA","VERDE · Fila descriptiva; la suma usa las líneas del ID","VERDE · Datos numéricos interpretables"),IF(X130=2,"ROJO · ","ÁMBAR · ")&amp;IF(NOT(IF(ISNUMBER($E$6),AND($E$6&gt;=0,$E$6&lt;=6,$E$6=INT($E$6)),FALSE)),"Indicamos entre 0 y 6 decimales en E6. ","")&amp;IF(O130=0,"Falta un ID numérico. ","")&amp;IF(R130=0,"Faltan capítulo, código, unidad o total numérico del ID. ","")&amp;IF(T130&gt;0,"Los datos o el total del ID se contradicen. ","")&amp;IF(AND(P130&lt;&gt;"DIMENSIONES",P130&lt;&gt;"DIRECTA",P130&lt;&gt;"SIN LÍNEAS",P130&lt;&gt;"CABECERA"),"Tipo de fila no reconocido. ","")&amp;IF(AND(OR(P130="SIN LÍNEAS",P130="CABECERA"),COUNTA(G130:J130)&gt;0),"La fila dice que no mide, pero contiene medidas. ","")&amp;IF(AND(OR(P130="DIRECTA",P130="DIMENSIONES"),U130=0),"Línea incompleta o con medidas no numéricas. ","")&amp;IF(P130="SIN LÍNEAS","No constan medidas de esta fila. ","")&amp;IF(Y130&gt;0,"Parece m³: tres dimensiones bajo m². ","")&amp;IF(AND(AB130&lt;&gt;"",SUMPRODUCT(--('LÉEME'!$B$65:$B$86=AC130))&lt;&gt;1),"Revisamos el significado de la unidad. ","")&amp;IF(Z130&gt;0,"Más precisión que los decimales indicados: cotejamos el original. ","")&amp;IF(AA130&gt;0,"Revisamos dimensiones, cantidad directa, ceros o deducción. ","")))</f>
      </c>
      <c r="O130" s="0" t="n">
        <f>IF(ISNUMBER(K130),IF(AND(K130&gt;0,K130=INT(K130),K130&lt;=999999),K130,0),0)</f>
        <v>0</v>
      </c>
      <c r="P130" s="0">
        <f>IF(COUNTA(B130:L130)=0,"",IF(L130="",IF(COUNTA(G130:J130)&gt;0,"DIMENSIONES","SIN LÍNEAS"),UPPER(TRIM(L130))))</f>
      </c>
      <c r="Q130" s="0">
        <f>IF(AND(O130&gt;0,LEN(TRIM(B130&amp;""))&gt;0,LEN(TRIM(C130&amp;""))&gt;0,LEN(TRIM(E130&amp;""))&gt;0,ISNUMBER(F130)),O130,"")</f>
      </c>
      <c r="R130" s="0" t="n">
        <f>IF(O130=0,0,IF(COUNTIFS($Q$13:$Q$512,O130)&gt;0,MATCH(O130,$Q$13:$Q$512,0),0))</f>
        <v>0</v>
      </c>
      <c r="S130" s="0">
        <f>IF(AB130="","",IF(SUMPRODUCT(--('LÉEME'!$B$65:$B$86=AC130))=1,INDEX('LÉEME'!$C$65:$C$86,MATCH(AC130,'LÉEME'!$B$65:$B$86,0)),UPPER(TRIM(AB130))))</f>
      </c>
      <c r="T130" s="0" t="n">
        <f>IF(R130=0,0,IF(OR(AND(LEN(TRIM(B130&amp;""))&gt;0,UPPER(TRIM(B130&amp;""))&lt;&gt;UPPER(TRIM(INDEX($B$13:$B$512,R130)&amp;""))),AND(LEN(TRIM(C130&amp;""))&gt;0,UPPER(TRIM(C130&amp;""))&lt;&gt;UPPER(TRIM(INDEX($C$13:$C$512,R130)&amp;""))),AND(LEN(TRIM(E130&amp;""))&gt;0,S130&lt;&gt;INDEX($S$13:$S$512,R130)),AND(F130&lt;&gt;"",NOT(ISNUMBER(F130)))),1,IF(ISNUMBER(F130),IF(ABS(F130-INDEX($F$13:$F$512,R130))&gt;0.00000001,1,0),0)))</f>
        <v>0</v>
      </c>
      <c r="U130" s="0" t="n">
        <f>IF(P130="DIRECTA",IF(AND(ISNUMBER(G130),COUNTA(H130:J130)=0),1,0),IF(P130="DIMENSIONES",IF(AND(COUNT(G130:J130)&gt;0,COUNTA(G130:J130)=COUNT(G130:J130)),1,0),0))</f>
        <v>0</v>
      </c>
      <c r="V130" s="0" t="n">
        <f>IF(O130=0,0,IF(COUNTIFS($O$13:O130,O130)=1,1,0))</f>
        <v>0</v>
      </c>
      <c r="W130" s="0">
        <f>IF(V130=1,COUNTIFS($V$13:V130,1),"")</f>
      </c>
      <c r="X130" s="0">
        <f>IF(COUNTA(B130:L130)=0,"",IF(OR(NOT(IF(ISNUMBER($E$6),AND($E$6&gt;=0,$E$6&lt;=6,$E$6=INT($E$6)),FALSE)),O130=0,R130=0,T130&gt;0,AND(P130&lt;&gt;"DIMENSIONES",P130&lt;&gt;"DIRECTA",P130&lt;&gt;"SIN LÍNEAS",P130&lt;&gt;"CABECERA"),AND(OR(P130="DIRECTA",P130="DIMENSIONES"),U130=0),AND(OR(P130="SIN LÍNEAS",P130="CABECERA"),COUNTA(G130:J130)&gt;0)),2,IF(OR(P130="SIN LÍNEAS",Y130&gt;0,Z130&gt;0,AA130&gt;0,SUMPRODUCT(--('LÉEME'!$B$65:$B$86=AC130))&lt;&gt;1),1,0)))</f>
      </c>
      <c r="Y130" s="0" t="n">
        <f>IF(AND(P130="DIMENSIONES",S130="m²",COUNT(H130:J130)=3),1,0)</f>
        <v>0</v>
      </c>
      <c r="Z130" s="0" t="n">
        <f>IF(IF(ISNUMBER($E$6),AND($E$6&gt;=0,$E$6&lt;=6,$E$6=INT($E$6)),FALSE),IF(SUM(IF(ISNUMBER(F130),IF(ABS(F130-ROUND(F130,$E$6))&gt;0.00000001,1,0),0),IF(ISNUMBER(G130),IF(ABS(G130-ROUND(G130,$E$6))&gt;0.00000001,1,0),0),IF(ISNUMBER(H130),IF(ABS(H130-ROUND(H130,$E$6))&gt;0.00000001,1,0),0),IF(ISNUMBER(I130),IF(ABS(I130-ROUND(I130,$E$6))&gt;0.00000001,1,0),0),IF(ISNUMBER(J130),IF(ABS(J130-ROUND(J130,$E$6))&gt;0.00000001,1,0),0),IF(ISNUMBER(M130),IF(ABS(M130-ROUND(M130,$E$6))&gt;0.00000001,1,0),0))&gt;0,1,0),0)</f>
        <v>0</v>
      </c>
      <c r="AA130" s="0" t="n">
        <f>IF(COUNTA(B130:L130)=0,0,IF(OR(AND(ISNUMBER(F130),F130&lt;0),AND(U130=1,OR(SUM(IF(ISNUMBER(G130),IF(G130=0,1,0),0),IF(ISNUMBER(H130),IF(H130=0,1,0),0),IF(ISNUMBER(I130),IF(I130=0,1,0),0),IF(ISNUMBER(J130),IF(J130=0,1,0),0))&gt;0,COUNTIFS(G130:J130,"&lt;0")&gt;0)),AND(P130="DIMENSIONES",U130=1,OR(AND(S130="m",COUNT(H130:J130)&lt;&gt;1),AND(S130="m²",COUNT(H130:J130)&lt;&gt;2,Y130=0),AND(S130="m³",COUNT(H130:J130)&lt;&gt;3),AND(S130="ud",COUNT(H130:J130)&gt;0))),AND(P130="DIRECTA",OR(S130="m",S130="m²",S130="m³"))),1,0))</f>
        <v>0</v>
      </c>
      <c r="AB130" s="0">
        <f>IF(LEN(TRIM(E130&amp;""))&gt;0,E130,IF(R130&gt;0,INDEX($E$13:$E$512,R130),""))</f>
      </c>
      <c r="AC130" s="0">
        <f>UPPER(SUBSTITUTE(SUBSTITUTE(SUBSTITUTE(SUBSTITUTE(SUBSTITUTE(TRIM(AB130),"²","2"),"³","3"),"^",""),".","")," ",""))</f>
      </c>
    </row>
    <row r="131" ht="35" customHeight="1">
      <c r="B131" s="35"/>
      <c r="C131" s="35"/>
      <c r="D131" s="37"/>
      <c r="E131" s="35"/>
      <c r="F131" s="38"/>
      <c r="G131" s="38"/>
      <c r="H131" s="38"/>
      <c r="I131" s="38"/>
      <c r="J131" s="38"/>
      <c r="K131" s="35"/>
      <c r="L131" s="35"/>
      <c r="M131" s="39">
        <f>IF(U131&lt;&gt;1,"",IF(P131="DIRECTA",G131,IF(ISNUMBER(G131),G131,1)*IF(ISNUMBER(H131),H131,1)*IF(ISNUMBER(I131),I131,1)*IF(ISNUMBER(J131),J131,1)))</f>
      </c>
      <c r="N131" s="30">
        <f>IF(COUNTA(B131:L131)=0,"",IF(X131=0,IF(P131="CABECERA","VERDE · Fila descriptiva; la suma usa las líneas del ID","VERDE · Datos numéricos interpretables"),IF(X131=2,"ROJO · ","ÁMBAR · ")&amp;IF(NOT(IF(ISNUMBER($E$6),AND($E$6&gt;=0,$E$6&lt;=6,$E$6=INT($E$6)),FALSE)),"Indicamos entre 0 y 6 decimales en E6. ","")&amp;IF(O131=0,"Falta un ID numérico. ","")&amp;IF(R131=0,"Faltan capítulo, código, unidad o total numérico del ID. ","")&amp;IF(T131&gt;0,"Los datos o el total del ID se contradicen. ","")&amp;IF(AND(P131&lt;&gt;"DIMENSIONES",P131&lt;&gt;"DIRECTA",P131&lt;&gt;"SIN LÍNEAS",P131&lt;&gt;"CABECERA"),"Tipo de fila no reconocido. ","")&amp;IF(AND(OR(P131="SIN LÍNEAS",P131="CABECERA"),COUNTA(G131:J131)&gt;0),"La fila dice que no mide, pero contiene medidas. ","")&amp;IF(AND(OR(P131="DIRECTA",P131="DIMENSIONES"),U131=0),"Línea incompleta o con medidas no numéricas. ","")&amp;IF(P131="SIN LÍNEAS","No constan medidas de esta fila. ","")&amp;IF(Y131&gt;0,"Parece m³: tres dimensiones bajo m². ","")&amp;IF(AND(AB131&lt;&gt;"",SUMPRODUCT(--('LÉEME'!$B$65:$B$86=AC131))&lt;&gt;1),"Revisamos el significado de la unidad. ","")&amp;IF(Z131&gt;0,"Más precisión que los decimales indicados: cotejamos el original. ","")&amp;IF(AA131&gt;0,"Revisamos dimensiones, cantidad directa, ceros o deducción. ","")))</f>
      </c>
      <c r="O131" s="0" t="n">
        <f>IF(ISNUMBER(K131),IF(AND(K131&gt;0,K131=INT(K131),K131&lt;=999999),K131,0),0)</f>
        <v>0</v>
      </c>
      <c r="P131" s="0">
        <f>IF(COUNTA(B131:L131)=0,"",IF(L131="",IF(COUNTA(G131:J131)&gt;0,"DIMENSIONES","SIN LÍNEAS"),UPPER(TRIM(L131))))</f>
      </c>
      <c r="Q131" s="0">
        <f>IF(AND(O131&gt;0,LEN(TRIM(B131&amp;""))&gt;0,LEN(TRIM(C131&amp;""))&gt;0,LEN(TRIM(E131&amp;""))&gt;0,ISNUMBER(F131)),O131,"")</f>
      </c>
      <c r="R131" s="0" t="n">
        <f>IF(O131=0,0,IF(COUNTIFS($Q$13:$Q$512,O131)&gt;0,MATCH(O131,$Q$13:$Q$512,0),0))</f>
        <v>0</v>
      </c>
      <c r="S131" s="0">
        <f>IF(AB131="","",IF(SUMPRODUCT(--('LÉEME'!$B$65:$B$86=AC131))=1,INDEX('LÉEME'!$C$65:$C$86,MATCH(AC131,'LÉEME'!$B$65:$B$86,0)),UPPER(TRIM(AB131))))</f>
      </c>
      <c r="T131" s="0" t="n">
        <f>IF(R131=0,0,IF(OR(AND(LEN(TRIM(B131&amp;""))&gt;0,UPPER(TRIM(B131&amp;""))&lt;&gt;UPPER(TRIM(INDEX($B$13:$B$512,R131)&amp;""))),AND(LEN(TRIM(C131&amp;""))&gt;0,UPPER(TRIM(C131&amp;""))&lt;&gt;UPPER(TRIM(INDEX($C$13:$C$512,R131)&amp;""))),AND(LEN(TRIM(E131&amp;""))&gt;0,S131&lt;&gt;INDEX($S$13:$S$512,R131)),AND(F131&lt;&gt;"",NOT(ISNUMBER(F131)))),1,IF(ISNUMBER(F131),IF(ABS(F131-INDEX($F$13:$F$512,R131))&gt;0.00000001,1,0),0)))</f>
        <v>0</v>
      </c>
      <c r="U131" s="0" t="n">
        <f>IF(P131="DIRECTA",IF(AND(ISNUMBER(G131),COUNTA(H131:J131)=0),1,0),IF(P131="DIMENSIONES",IF(AND(COUNT(G131:J131)&gt;0,COUNTA(G131:J131)=COUNT(G131:J131)),1,0),0))</f>
        <v>0</v>
      </c>
      <c r="V131" s="0" t="n">
        <f>IF(O131=0,0,IF(COUNTIFS($O$13:O131,O131)=1,1,0))</f>
        <v>0</v>
      </c>
      <c r="W131" s="0">
        <f>IF(V131=1,COUNTIFS($V$13:V131,1),"")</f>
      </c>
      <c r="X131" s="0">
        <f>IF(COUNTA(B131:L131)=0,"",IF(OR(NOT(IF(ISNUMBER($E$6),AND($E$6&gt;=0,$E$6&lt;=6,$E$6=INT($E$6)),FALSE)),O131=0,R131=0,T131&gt;0,AND(P131&lt;&gt;"DIMENSIONES",P131&lt;&gt;"DIRECTA",P131&lt;&gt;"SIN LÍNEAS",P131&lt;&gt;"CABECERA"),AND(OR(P131="DIRECTA",P131="DIMENSIONES"),U131=0),AND(OR(P131="SIN LÍNEAS",P131="CABECERA"),COUNTA(G131:J131)&gt;0)),2,IF(OR(P131="SIN LÍNEAS",Y131&gt;0,Z131&gt;0,AA131&gt;0,SUMPRODUCT(--('LÉEME'!$B$65:$B$86=AC131))&lt;&gt;1),1,0)))</f>
      </c>
      <c r="Y131" s="0" t="n">
        <f>IF(AND(P131="DIMENSIONES",S131="m²",COUNT(H131:J131)=3),1,0)</f>
        <v>0</v>
      </c>
      <c r="Z131" s="0" t="n">
        <f>IF(IF(ISNUMBER($E$6),AND($E$6&gt;=0,$E$6&lt;=6,$E$6=INT($E$6)),FALSE),IF(SUM(IF(ISNUMBER(F131),IF(ABS(F131-ROUND(F131,$E$6))&gt;0.00000001,1,0),0),IF(ISNUMBER(G131),IF(ABS(G131-ROUND(G131,$E$6))&gt;0.00000001,1,0),0),IF(ISNUMBER(H131),IF(ABS(H131-ROUND(H131,$E$6))&gt;0.00000001,1,0),0),IF(ISNUMBER(I131),IF(ABS(I131-ROUND(I131,$E$6))&gt;0.00000001,1,0),0),IF(ISNUMBER(J131),IF(ABS(J131-ROUND(J131,$E$6))&gt;0.00000001,1,0),0),IF(ISNUMBER(M131),IF(ABS(M131-ROUND(M131,$E$6))&gt;0.00000001,1,0),0))&gt;0,1,0),0)</f>
        <v>0</v>
      </c>
      <c r="AA131" s="0" t="n">
        <f>IF(COUNTA(B131:L131)=0,0,IF(OR(AND(ISNUMBER(F131),F131&lt;0),AND(U131=1,OR(SUM(IF(ISNUMBER(G131),IF(G131=0,1,0),0),IF(ISNUMBER(H131),IF(H131=0,1,0),0),IF(ISNUMBER(I131),IF(I131=0,1,0),0),IF(ISNUMBER(J131),IF(J131=0,1,0),0))&gt;0,COUNTIFS(G131:J131,"&lt;0")&gt;0)),AND(P131="DIMENSIONES",U131=1,OR(AND(S131="m",COUNT(H131:J131)&lt;&gt;1),AND(S131="m²",COUNT(H131:J131)&lt;&gt;2,Y131=0),AND(S131="m³",COUNT(H131:J131)&lt;&gt;3),AND(S131="ud",COUNT(H131:J131)&gt;0))),AND(P131="DIRECTA",OR(S131="m",S131="m²",S131="m³"))),1,0))</f>
        <v>0</v>
      </c>
      <c r="AB131" s="0">
        <f>IF(LEN(TRIM(E131&amp;""))&gt;0,E131,IF(R131&gt;0,INDEX($E$13:$E$512,R131),""))</f>
      </c>
      <c r="AC131" s="0">
        <f>UPPER(SUBSTITUTE(SUBSTITUTE(SUBSTITUTE(SUBSTITUTE(SUBSTITUTE(TRIM(AB131),"²","2"),"³","3"),"^",""),".","")," ",""))</f>
      </c>
    </row>
    <row r="132" ht="35" customHeight="1">
      <c r="B132" s="35"/>
      <c r="C132" s="35"/>
      <c r="D132" s="37"/>
      <c r="E132" s="35"/>
      <c r="F132" s="38"/>
      <c r="G132" s="38"/>
      <c r="H132" s="38"/>
      <c r="I132" s="38"/>
      <c r="J132" s="38"/>
      <c r="K132" s="35"/>
      <c r="L132" s="35"/>
      <c r="M132" s="39">
        <f>IF(U132&lt;&gt;1,"",IF(P132="DIRECTA",G132,IF(ISNUMBER(G132),G132,1)*IF(ISNUMBER(H132),H132,1)*IF(ISNUMBER(I132),I132,1)*IF(ISNUMBER(J132),J132,1)))</f>
      </c>
      <c r="N132" s="30">
        <f>IF(COUNTA(B132:L132)=0,"",IF(X132=0,IF(P132="CABECERA","VERDE · Fila descriptiva; la suma usa las líneas del ID","VERDE · Datos numéricos interpretables"),IF(X132=2,"ROJO · ","ÁMBAR · ")&amp;IF(NOT(IF(ISNUMBER($E$6),AND($E$6&gt;=0,$E$6&lt;=6,$E$6=INT($E$6)),FALSE)),"Indicamos entre 0 y 6 decimales en E6. ","")&amp;IF(O132=0,"Falta un ID numérico. ","")&amp;IF(R132=0,"Faltan capítulo, código, unidad o total numérico del ID. ","")&amp;IF(T132&gt;0,"Los datos o el total del ID se contradicen. ","")&amp;IF(AND(P132&lt;&gt;"DIMENSIONES",P132&lt;&gt;"DIRECTA",P132&lt;&gt;"SIN LÍNEAS",P132&lt;&gt;"CABECERA"),"Tipo de fila no reconocido. ","")&amp;IF(AND(OR(P132="SIN LÍNEAS",P132="CABECERA"),COUNTA(G132:J132)&gt;0),"La fila dice que no mide, pero contiene medidas. ","")&amp;IF(AND(OR(P132="DIRECTA",P132="DIMENSIONES"),U132=0),"Línea incompleta o con medidas no numéricas. ","")&amp;IF(P132="SIN LÍNEAS","No constan medidas de esta fila. ","")&amp;IF(Y132&gt;0,"Parece m³: tres dimensiones bajo m². ","")&amp;IF(AND(AB132&lt;&gt;"",SUMPRODUCT(--('LÉEME'!$B$65:$B$86=AC132))&lt;&gt;1),"Revisamos el significado de la unidad. ","")&amp;IF(Z132&gt;0,"Más precisión que los decimales indicados: cotejamos el original. ","")&amp;IF(AA132&gt;0,"Revisamos dimensiones, cantidad directa, ceros o deducción. ","")))</f>
      </c>
      <c r="O132" s="0" t="n">
        <f>IF(ISNUMBER(K132),IF(AND(K132&gt;0,K132=INT(K132),K132&lt;=999999),K132,0),0)</f>
        <v>0</v>
      </c>
      <c r="P132" s="0">
        <f>IF(COUNTA(B132:L132)=0,"",IF(L132="",IF(COUNTA(G132:J132)&gt;0,"DIMENSIONES","SIN LÍNEAS"),UPPER(TRIM(L132))))</f>
      </c>
      <c r="Q132" s="0">
        <f>IF(AND(O132&gt;0,LEN(TRIM(B132&amp;""))&gt;0,LEN(TRIM(C132&amp;""))&gt;0,LEN(TRIM(E132&amp;""))&gt;0,ISNUMBER(F132)),O132,"")</f>
      </c>
      <c r="R132" s="0" t="n">
        <f>IF(O132=0,0,IF(COUNTIFS($Q$13:$Q$512,O132)&gt;0,MATCH(O132,$Q$13:$Q$512,0),0))</f>
        <v>0</v>
      </c>
      <c r="S132" s="0">
        <f>IF(AB132="","",IF(SUMPRODUCT(--('LÉEME'!$B$65:$B$86=AC132))=1,INDEX('LÉEME'!$C$65:$C$86,MATCH(AC132,'LÉEME'!$B$65:$B$86,0)),UPPER(TRIM(AB132))))</f>
      </c>
      <c r="T132" s="0" t="n">
        <f>IF(R132=0,0,IF(OR(AND(LEN(TRIM(B132&amp;""))&gt;0,UPPER(TRIM(B132&amp;""))&lt;&gt;UPPER(TRIM(INDEX($B$13:$B$512,R132)&amp;""))),AND(LEN(TRIM(C132&amp;""))&gt;0,UPPER(TRIM(C132&amp;""))&lt;&gt;UPPER(TRIM(INDEX($C$13:$C$512,R132)&amp;""))),AND(LEN(TRIM(E132&amp;""))&gt;0,S132&lt;&gt;INDEX($S$13:$S$512,R132)),AND(F132&lt;&gt;"",NOT(ISNUMBER(F132)))),1,IF(ISNUMBER(F132),IF(ABS(F132-INDEX($F$13:$F$512,R132))&gt;0.00000001,1,0),0)))</f>
        <v>0</v>
      </c>
      <c r="U132" s="0" t="n">
        <f>IF(P132="DIRECTA",IF(AND(ISNUMBER(G132),COUNTA(H132:J132)=0),1,0),IF(P132="DIMENSIONES",IF(AND(COUNT(G132:J132)&gt;0,COUNTA(G132:J132)=COUNT(G132:J132)),1,0),0))</f>
        <v>0</v>
      </c>
      <c r="V132" s="0" t="n">
        <f>IF(O132=0,0,IF(COUNTIFS($O$13:O132,O132)=1,1,0))</f>
        <v>0</v>
      </c>
      <c r="W132" s="0">
        <f>IF(V132=1,COUNTIFS($V$13:V132,1),"")</f>
      </c>
      <c r="X132" s="0">
        <f>IF(COUNTA(B132:L132)=0,"",IF(OR(NOT(IF(ISNUMBER($E$6),AND($E$6&gt;=0,$E$6&lt;=6,$E$6=INT($E$6)),FALSE)),O132=0,R132=0,T132&gt;0,AND(P132&lt;&gt;"DIMENSIONES",P132&lt;&gt;"DIRECTA",P132&lt;&gt;"SIN LÍNEAS",P132&lt;&gt;"CABECERA"),AND(OR(P132="DIRECTA",P132="DIMENSIONES"),U132=0),AND(OR(P132="SIN LÍNEAS",P132="CABECERA"),COUNTA(G132:J132)&gt;0)),2,IF(OR(P132="SIN LÍNEAS",Y132&gt;0,Z132&gt;0,AA132&gt;0,SUMPRODUCT(--('LÉEME'!$B$65:$B$86=AC132))&lt;&gt;1),1,0)))</f>
      </c>
      <c r="Y132" s="0" t="n">
        <f>IF(AND(P132="DIMENSIONES",S132="m²",COUNT(H132:J132)=3),1,0)</f>
        <v>0</v>
      </c>
      <c r="Z132" s="0" t="n">
        <f>IF(IF(ISNUMBER($E$6),AND($E$6&gt;=0,$E$6&lt;=6,$E$6=INT($E$6)),FALSE),IF(SUM(IF(ISNUMBER(F132),IF(ABS(F132-ROUND(F132,$E$6))&gt;0.00000001,1,0),0),IF(ISNUMBER(G132),IF(ABS(G132-ROUND(G132,$E$6))&gt;0.00000001,1,0),0),IF(ISNUMBER(H132),IF(ABS(H132-ROUND(H132,$E$6))&gt;0.00000001,1,0),0),IF(ISNUMBER(I132),IF(ABS(I132-ROUND(I132,$E$6))&gt;0.00000001,1,0),0),IF(ISNUMBER(J132),IF(ABS(J132-ROUND(J132,$E$6))&gt;0.00000001,1,0),0),IF(ISNUMBER(M132),IF(ABS(M132-ROUND(M132,$E$6))&gt;0.00000001,1,0),0))&gt;0,1,0),0)</f>
        <v>0</v>
      </c>
      <c r="AA132" s="0" t="n">
        <f>IF(COUNTA(B132:L132)=0,0,IF(OR(AND(ISNUMBER(F132),F132&lt;0),AND(U132=1,OR(SUM(IF(ISNUMBER(G132),IF(G132=0,1,0),0),IF(ISNUMBER(H132),IF(H132=0,1,0),0),IF(ISNUMBER(I132),IF(I132=0,1,0),0),IF(ISNUMBER(J132),IF(J132=0,1,0),0))&gt;0,COUNTIFS(G132:J132,"&lt;0")&gt;0)),AND(P132="DIMENSIONES",U132=1,OR(AND(S132="m",COUNT(H132:J132)&lt;&gt;1),AND(S132="m²",COUNT(H132:J132)&lt;&gt;2,Y132=0),AND(S132="m³",COUNT(H132:J132)&lt;&gt;3),AND(S132="ud",COUNT(H132:J132)&gt;0))),AND(P132="DIRECTA",OR(S132="m",S132="m²",S132="m³"))),1,0))</f>
        <v>0</v>
      </c>
      <c r="AB132" s="0">
        <f>IF(LEN(TRIM(E132&amp;""))&gt;0,E132,IF(R132&gt;0,INDEX($E$13:$E$512,R132),""))</f>
      </c>
      <c r="AC132" s="0">
        <f>UPPER(SUBSTITUTE(SUBSTITUTE(SUBSTITUTE(SUBSTITUTE(SUBSTITUTE(TRIM(AB132),"²","2"),"³","3"),"^",""),".","")," ",""))</f>
      </c>
    </row>
    <row r="133" ht="35" customHeight="1">
      <c r="B133" s="35"/>
      <c r="C133" s="35"/>
      <c r="D133" s="37"/>
      <c r="E133" s="35"/>
      <c r="F133" s="38"/>
      <c r="G133" s="38"/>
      <c r="H133" s="38"/>
      <c r="I133" s="38"/>
      <c r="J133" s="38"/>
      <c r="K133" s="35"/>
      <c r="L133" s="35"/>
      <c r="M133" s="39">
        <f>IF(U133&lt;&gt;1,"",IF(P133="DIRECTA",G133,IF(ISNUMBER(G133),G133,1)*IF(ISNUMBER(H133),H133,1)*IF(ISNUMBER(I133),I133,1)*IF(ISNUMBER(J133),J133,1)))</f>
      </c>
      <c r="N133" s="30">
        <f>IF(COUNTA(B133:L133)=0,"",IF(X133=0,IF(P133="CABECERA","VERDE · Fila descriptiva; la suma usa las líneas del ID","VERDE · Datos numéricos interpretables"),IF(X133=2,"ROJO · ","ÁMBAR · ")&amp;IF(NOT(IF(ISNUMBER($E$6),AND($E$6&gt;=0,$E$6&lt;=6,$E$6=INT($E$6)),FALSE)),"Indicamos entre 0 y 6 decimales en E6. ","")&amp;IF(O133=0,"Falta un ID numérico. ","")&amp;IF(R133=0,"Faltan capítulo, código, unidad o total numérico del ID. ","")&amp;IF(T133&gt;0,"Los datos o el total del ID se contradicen. ","")&amp;IF(AND(P133&lt;&gt;"DIMENSIONES",P133&lt;&gt;"DIRECTA",P133&lt;&gt;"SIN LÍNEAS",P133&lt;&gt;"CABECERA"),"Tipo de fila no reconocido. ","")&amp;IF(AND(OR(P133="SIN LÍNEAS",P133="CABECERA"),COUNTA(G133:J133)&gt;0),"La fila dice que no mide, pero contiene medidas. ","")&amp;IF(AND(OR(P133="DIRECTA",P133="DIMENSIONES"),U133=0),"Línea incompleta o con medidas no numéricas. ","")&amp;IF(P133="SIN LÍNEAS","No constan medidas de esta fila. ","")&amp;IF(Y133&gt;0,"Parece m³: tres dimensiones bajo m². ","")&amp;IF(AND(AB133&lt;&gt;"",SUMPRODUCT(--('LÉEME'!$B$65:$B$86=AC133))&lt;&gt;1),"Revisamos el significado de la unidad. ","")&amp;IF(Z133&gt;0,"Más precisión que los decimales indicados: cotejamos el original. ","")&amp;IF(AA133&gt;0,"Revisamos dimensiones, cantidad directa, ceros o deducción. ","")))</f>
      </c>
      <c r="O133" s="0" t="n">
        <f>IF(ISNUMBER(K133),IF(AND(K133&gt;0,K133=INT(K133),K133&lt;=999999),K133,0),0)</f>
        <v>0</v>
      </c>
      <c r="P133" s="0">
        <f>IF(COUNTA(B133:L133)=0,"",IF(L133="",IF(COUNTA(G133:J133)&gt;0,"DIMENSIONES","SIN LÍNEAS"),UPPER(TRIM(L133))))</f>
      </c>
      <c r="Q133" s="0">
        <f>IF(AND(O133&gt;0,LEN(TRIM(B133&amp;""))&gt;0,LEN(TRIM(C133&amp;""))&gt;0,LEN(TRIM(E133&amp;""))&gt;0,ISNUMBER(F133)),O133,"")</f>
      </c>
      <c r="R133" s="0" t="n">
        <f>IF(O133=0,0,IF(COUNTIFS($Q$13:$Q$512,O133)&gt;0,MATCH(O133,$Q$13:$Q$512,0),0))</f>
        <v>0</v>
      </c>
      <c r="S133" s="0">
        <f>IF(AB133="","",IF(SUMPRODUCT(--('LÉEME'!$B$65:$B$86=AC133))=1,INDEX('LÉEME'!$C$65:$C$86,MATCH(AC133,'LÉEME'!$B$65:$B$86,0)),UPPER(TRIM(AB133))))</f>
      </c>
      <c r="T133" s="0" t="n">
        <f>IF(R133=0,0,IF(OR(AND(LEN(TRIM(B133&amp;""))&gt;0,UPPER(TRIM(B133&amp;""))&lt;&gt;UPPER(TRIM(INDEX($B$13:$B$512,R133)&amp;""))),AND(LEN(TRIM(C133&amp;""))&gt;0,UPPER(TRIM(C133&amp;""))&lt;&gt;UPPER(TRIM(INDEX($C$13:$C$512,R133)&amp;""))),AND(LEN(TRIM(E133&amp;""))&gt;0,S133&lt;&gt;INDEX($S$13:$S$512,R133)),AND(F133&lt;&gt;"",NOT(ISNUMBER(F133)))),1,IF(ISNUMBER(F133),IF(ABS(F133-INDEX($F$13:$F$512,R133))&gt;0.00000001,1,0),0)))</f>
        <v>0</v>
      </c>
      <c r="U133" s="0" t="n">
        <f>IF(P133="DIRECTA",IF(AND(ISNUMBER(G133),COUNTA(H133:J133)=0),1,0),IF(P133="DIMENSIONES",IF(AND(COUNT(G133:J133)&gt;0,COUNTA(G133:J133)=COUNT(G133:J133)),1,0),0))</f>
        <v>0</v>
      </c>
      <c r="V133" s="0" t="n">
        <f>IF(O133=0,0,IF(COUNTIFS($O$13:O133,O133)=1,1,0))</f>
        <v>0</v>
      </c>
      <c r="W133" s="0">
        <f>IF(V133=1,COUNTIFS($V$13:V133,1),"")</f>
      </c>
      <c r="X133" s="0">
        <f>IF(COUNTA(B133:L133)=0,"",IF(OR(NOT(IF(ISNUMBER($E$6),AND($E$6&gt;=0,$E$6&lt;=6,$E$6=INT($E$6)),FALSE)),O133=0,R133=0,T133&gt;0,AND(P133&lt;&gt;"DIMENSIONES",P133&lt;&gt;"DIRECTA",P133&lt;&gt;"SIN LÍNEAS",P133&lt;&gt;"CABECERA"),AND(OR(P133="DIRECTA",P133="DIMENSIONES"),U133=0),AND(OR(P133="SIN LÍNEAS",P133="CABECERA"),COUNTA(G133:J133)&gt;0)),2,IF(OR(P133="SIN LÍNEAS",Y133&gt;0,Z133&gt;0,AA133&gt;0,SUMPRODUCT(--('LÉEME'!$B$65:$B$86=AC133))&lt;&gt;1),1,0)))</f>
      </c>
      <c r="Y133" s="0" t="n">
        <f>IF(AND(P133="DIMENSIONES",S133="m²",COUNT(H133:J133)=3),1,0)</f>
        <v>0</v>
      </c>
      <c r="Z133" s="0" t="n">
        <f>IF(IF(ISNUMBER($E$6),AND($E$6&gt;=0,$E$6&lt;=6,$E$6=INT($E$6)),FALSE),IF(SUM(IF(ISNUMBER(F133),IF(ABS(F133-ROUND(F133,$E$6))&gt;0.00000001,1,0),0),IF(ISNUMBER(G133),IF(ABS(G133-ROUND(G133,$E$6))&gt;0.00000001,1,0),0),IF(ISNUMBER(H133),IF(ABS(H133-ROUND(H133,$E$6))&gt;0.00000001,1,0),0),IF(ISNUMBER(I133),IF(ABS(I133-ROUND(I133,$E$6))&gt;0.00000001,1,0),0),IF(ISNUMBER(J133),IF(ABS(J133-ROUND(J133,$E$6))&gt;0.00000001,1,0),0),IF(ISNUMBER(M133),IF(ABS(M133-ROUND(M133,$E$6))&gt;0.00000001,1,0),0))&gt;0,1,0),0)</f>
        <v>0</v>
      </c>
      <c r="AA133" s="0" t="n">
        <f>IF(COUNTA(B133:L133)=0,0,IF(OR(AND(ISNUMBER(F133),F133&lt;0),AND(U133=1,OR(SUM(IF(ISNUMBER(G133),IF(G133=0,1,0),0),IF(ISNUMBER(H133),IF(H133=0,1,0),0),IF(ISNUMBER(I133),IF(I133=0,1,0),0),IF(ISNUMBER(J133),IF(J133=0,1,0),0))&gt;0,COUNTIFS(G133:J133,"&lt;0")&gt;0)),AND(P133="DIMENSIONES",U133=1,OR(AND(S133="m",COUNT(H133:J133)&lt;&gt;1),AND(S133="m²",COUNT(H133:J133)&lt;&gt;2,Y133=0),AND(S133="m³",COUNT(H133:J133)&lt;&gt;3),AND(S133="ud",COUNT(H133:J133)&gt;0))),AND(P133="DIRECTA",OR(S133="m",S133="m²",S133="m³"))),1,0))</f>
        <v>0</v>
      </c>
      <c r="AB133" s="0">
        <f>IF(LEN(TRIM(E133&amp;""))&gt;0,E133,IF(R133&gt;0,INDEX($E$13:$E$512,R133),""))</f>
      </c>
      <c r="AC133" s="0">
        <f>UPPER(SUBSTITUTE(SUBSTITUTE(SUBSTITUTE(SUBSTITUTE(SUBSTITUTE(TRIM(AB133),"²","2"),"³","3"),"^",""),".","")," ",""))</f>
      </c>
    </row>
    <row r="134" ht="35" customHeight="1">
      <c r="B134" s="35"/>
      <c r="C134" s="35"/>
      <c r="D134" s="37"/>
      <c r="E134" s="35"/>
      <c r="F134" s="38"/>
      <c r="G134" s="38"/>
      <c r="H134" s="38"/>
      <c r="I134" s="38"/>
      <c r="J134" s="38"/>
      <c r="K134" s="35"/>
      <c r="L134" s="35"/>
      <c r="M134" s="39">
        <f>IF(U134&lt;&gt;1,"",IF(P134="DIRECTA",G134,IF(ISNUMBER(G134),G134,1)*IF(ISNUMBER(H134),H134,1)*IF(ISNUMBER(I134),I134,1)*IF(ISNUMBER(J134),J134,1)))</f>
      </c>
      <c r="N134" s="30">
        <f>IF(COUNTA(B134:L134)=0,"",IF(X134=0,IF(P134="CABECERA","VERDE · Fila descriptiva; la suma usa las líneas del ID","VERDE · Datos numéricos interpretables"),IF(X134=2,"ROJO · ","ÁMBAR · ")&amp;IF(NOT(IF(ISNUMBER($E$6),AND($E$6&gt;=0,$E$6&lt;=6,$E$6=INT($E$6)),FALSE)),"Indicamos entre 0 y 6 decimales en E6. ","")&amp;IF(O134=0,"Falta un ID numérico. ","")&amp;IF(R134=0,"Faltan capítulo, código, unidad o total numérico del ID. ","")&amp;IF(T134&gt;0,"Los datos o el total del ID se contradicen. ","")&amp;IF(AND(P134&lt;&gt;"DIMENSIONES",P134&lt;&gt;"DIRECTA",P134&lt;&gt;"SIN LÍNEAS",P134&lt;&gt;"CABECERA"),"Tipo de fila no reconocido. ","")&amp;IF(AND(OR(P134="SIN LÍNEAS",P134="CABECERA"),COUNTA(G134:J134)&gt;0),"La fila dice que no mide, pero contiene medidas. ","")&amp;IF(AND(OR(P134="DIRECTA",P134="DIMENSIONES"),U134=0),"Línea incompleta o con medidas no numéricas. ","")&amp;IF(P134="SIN LÍNEAS","No constan medidas de esta fila. ","")&amp;IF(Y134&gt;0,"Parece m³: tres dimensiones bajo m². ","")&amp;IF(AND(AB134&lt;&gt;"",SUMPRODUCT(--('LÉEME'!$B$65:$B$86=AC134))&lt;&gt;1),"Revisamos el significado de la unidad. ","")&amp;IF(Z134&gt;0,"Más precisión que los decimales indicados: cotejamos el original. ","")&amp;IF(AA134&gt;0,"Revisamos dimensiones, cantidad directa, ceros o deducción. ","")))</f>
      </c>
      <c r="O134" s="0" t="n">
        <f>IF(ISNUMBER(K134),IF(AND(K134&gt;0,K134=INT(K134),K134&lt;=999999),K134,0),0)</f>
        <v>0</v>
      </c>
      <c r="P134" s="0">
        <f>IF(COUNTA(B134:L134)=0,"",IF(L134="",IF(COUNTA(G134:J134)&gt;0,"DIMENSIONES","SIN LÍNEAS"),UPPER(TRIM(L134))))</f>
      </c>
      <c r="Q134" s="0">
        <f>IF(AND(O134&gt;0,LEN(TRIM(B134&amp;""))&gt;0,LEN(TRIM(C134&amp;""))&gt;0,LEN(TRIM(E134&amp;""))&gt;0,ISNUMBER(F134)),O134,"")</f>
      </c>
      <c r="R134" s="0" t="n">
        <f>IF(O134=0,0,IF(COUNTIFS($Q$13:$Q$512,O134)&gt;0,MATCH(O134,$Q$13:$Q$512,0),0))</f>
        <v>0</v>
      </c>
      <c r="S134" s="0">
        <f>IF(AB134="","",IF(SUMPRODUCT(--('LÉEME'!$B$65:$B$86=AC134))=1,INDEX('LÉEME'!$C$65:$C$86,MATCH(AC134,'LÉEME'!$B$65:$B$86,0)),UPPER(TRIM(AB134))))</f>
      </c>
      <c r="T134" s="0" t="n">
        <f>IF(R134=0,0,IF(OR(AND(LEN(TRIM(B134&amp;""))&gt;0,UPPER(TRIM(B134&amp;""))&lt;&gt;UPPER(TRIM(INDEX($B$13:$B$512,R134)&amp;""))),AND(LEN(TRIM(C134&amp;""))&gt;0,UPPER(TRIM(C134&amp;""))&lt;&gt;UPPER(TRIM(INDEX($C$13:$C$512,R134)&amp;""))),AND(LEN(TRIM(E134&amp;""))&gt;0,S134&lt;&gt;INDEX($S$13:$S$512,R134)),AND(F134&lt;&gt;"",NOT(ISNUMBER(F134)))),1,IF(ISNUMBER(F134),IF(ABS(F134-INDEX($F$13:$F$512,R134))&gt;0.00000001,1,0),0)))</f>
        <v>0</v>
      </c>
      <c r="U134" s="0" t="n">
        <f>IF(P134="DIRECTA",IF(AND(ISNUMBER(G134),COUNTA(H134:J134)=0),1,0),IF(P134="DIMENSIONES",IF(AND(COUNT(G134:J134)&gt;0,COUNTA(G134:J134)=COUNT(G134:J134)),1,0),0))</f>
        <v>0</v>
      </c>
      <c r="V134" s="0" t="n">
        <f>IF(O134=0,0,IF(COUNTIFS($O$13:O134,O134)=1,1,0))</f>
        <v>0</v>
      </c>
      <c r="W134" s="0">
        <f>IF(V134=1,COUNTIFS($V$13:V134,1),"")</f>
      </c>
      <c r="X134" s="0">
        <f>IF(COUNTA(B134:L134)=0,"",IF(OR(NOT(IF(ISNUMBER($E$6),AND($E$6&gt;=0,$E$6&lt;=6,$E$6=INT($E$6)),FALSE)),O134=0,R134=0,T134&gt;0,AND(P134&lt;&gt;"DIMENSIONES",P134&lt;&gt;"DIRECTA",P134&lt;&gt;"SIN LÍNEAS",P134&lt;&gt;"CABECERA"),AND(OR(P134="DIRECTA",P134="DIMENSIONES"),U134=0),AND(OR(P134="SIN LÍNEAS",P134="CABECERA"),COUNTA(G134:J134)&gt;0)),2,IF(OR(P134="SIN LÍNEAS",Y134&gt;0,Z134&gt;0,AA134&gt;0,SUMPRODUCT(--('LÉEME'!$B$65:$B$86=AC134))&lt;&gt;1),1,0)))</f>
      </c>
      <c r="Y134" s="0" t="n">
        <f>IF(AND(P134="DIMENSIONES",S134="m²",COUNT(H134:J134)=3),1,0)</f>
        <v>0</v>
      </c>
      <c r="Z134" s="0" t="n">
        <f>IF(IF(ISNUMBER($E$6),AND($E$6&gt;=0,$E$6&lt;=6,$E$6=INT($E$6)),FALSE),IF(SUM(IF(ISNUMBER(F134),IF(ABS(F134-ROUND(F134,$E$6))&gt;0.00000001,1,0),0),IF(ISNUMBER(G134),IF(ABS(G134-ROUND(G134,$E$6))&gt;0.00000001,1,0),0),IF(ISNUMBER(H134),IF(ABS(H134-ROUND(H134,$E$6))&gt;0.00000001,1,0),0),IF(ISNUMBER(I134),IF(ABS(I134-ROUND(I134,$E$6))&gt;0.00000001,1,0),0),IF(ISNUMBER(J134),IF(ABS(J134-ROUND(J134,$E$6))&gt;0.00000001,1,0),0),IF(ISNUMBER(M134),IF(ABS(M134-ROUND(M134,$E$6))&gt;0.00000001,1,0),0))&gt;0,1,0),0)</f>
        <v>0</v>
      </c>
      <c r="AA134" s="0" t="n">
        <f>IF(COUNTA(B134:L134)=0,0,IF(OR(AND(ISNUMBER(F134),F134&lt;0),AND(U134=1,OR(SUM(IF(ISNUMBER(G134),IF(G134=0,1,0),0),IF(ISNUMBER(H134),IF(H134=0,1,0),0),IF(ISNUMBER(I134),IF(I134=0,1,0),0),IF(ISNUMBER(J134),IF(J134=0,1,0),0))&gt;0,COUNTIFS(G134:J134,"&lt;0")&gt;0)),AND(P134="DIMENSIONES",U134=1,OR(AND(S134="m",COUNT(H134:J134)&lt;&gt;1),AND(S134="m²",COUNT(H134:J134)&lt;&gt;2,Y134=0),AND(S134="m³",COUNT(H134:J134)&lt;&gt;3),AND(S134="ud",COUNT(H134:J134)&gt;0))),AND(P134="DIRECTA",OR(S134="m",S134="m²",S134="m³"))),1,0))</f>
        <v>0</v>
      </c>
      <c r="AB134" s="0">
        <f>IF(LEN(TRIM(E134&amp;""))&gt;0,E134,IF(R134&gt;0,INDEX($E$13:$E$512,R134),""))</f>
      </c>
      <c r="AC134" s="0">
        <f>UPPER(SUBSTITUTE(SUBSTITUTE(SUBSTITUTE(SUBSTITUTE(SUBSTITUTE(TRIM(AB134),"²","2"),"³","3"),"^",""),".","")," ",""))</f>
      </c>
    </row>
    <row r="135" ht="35" customHeight="1">
      <c r="B135" s="35"/>
      <c r="C135" s="35"/>
      <c r="D135" s="37"/>
      <c r="E135" s="35"/>
      <c r="F135" s="38"/>
      <c r="G135" s="38"/>
      <c r="H135" s="38"/>
      <c r="I135" s="38"/>
      <c r="J135" s="38"/>
      <c r="K135" s="35"/>
      <c r="L135" s="35"/>
      <c r="M135" s="39">
        <f>IF(U135&lt;&gt;1,"",IF(P135="DIRECTA",G135,IF(ISNUMBER(G135),G135,1)*IF(ISNUMBER(H135),H135,1)*IF(ISNUMBER(I135),I135,1)*IF(ISNUMBER(J135),J135,1)))</f>
      </c>
      <c r="N135" s="30">
        <f>IF(COUNTA(B135:L135)=0,"",IF(X135=0,IF(P135="CABECERA","VERDE · Fila descriptiva; la suma usa las líneas del ID","VERDE · Datos numéricos interpretables"),IF(X135=2,"ROJO · ","ÁMBAR · ")&amp;IF(NOT(IF(ISNUMBER($E$6),AND($E$6&gt;=0,$E$6&lt;=6,$E$6=INT($E$6)),FALSE)),"Indicamos entre 0 y 6 decimales en E6. ","")&amp;IF(O135=0,"Falta un ID numérico. ","")&amp;IF(R135=0,"Faltan capítulo, código, unidad o total numérico del ID. ","")&amp;IF(T135&gt;0,"Los datos o el total del ID se contradicen. ","")&amp;IF(AND(P135&lt;&gt;"DIMENSIONES",P135&lt;&gt;"DIRECTA",P135&lt;&gt;"SIN LÍNEAS",P135&lt;&gt;"CABECERA"),"Tipo de fila no reconocido. ","")&amp;IF(AND(OR(P135="SIN LÍNEAS",P135="CABECERA"),COUNTA(G135:J135)&gt;0),"La fila dice que no mide, pero contiene medidas. ","")&amp;IF(AND(OR(P135="DIRECTA",P135="DIMENSIONES"),U135=0),"Línea incompleta o con medidas no numéricas. ","")&amp;IF(P135="SIN LÍNEAS","No constan medidas de esta fila. ","")&amp;IF(Y135&gt;0,"Parece m³: tres dimensiones bajo m². ","")&amp;IF(AND(AB135&lt;&gt;"",SUMPRODUCT(--('LÉEME'!$B$65:$B$86=AC135))&lt;&gt;1),"Revisamos el significado de la unidad. ","")&amp;IF(Z135&gt;0,"Más precisión que los decimales indicados: cotejamos el original. ","")&amp;IF(AA135&gt;0,"Revisamos dimensiones, cantidad directa, ceros o deducción. ","")))</f>
      </c>
      <c r="O135" s="0" t="n">
        <f>IF(ISNUMBER(K135),IF(AND(K135&gt;0,K135=INT(K135),K135&lt;=999999),K135,0),0)</f>
        <v>0</v>
      </c>
      <c r="P135" s="0">
        <f>IF(COUNTA(B135:L135)=0,"",IF(L135="",IF(COUNTA(G135:J135)&gt;0,"DIMENSIONES","SIN LÍNEAS"),UPPER(TRIM(L135))))</f>
      </c>
      <c r="Q135" s="0">
        <f>IF(AND(O135&gt;0,LEN(TRIM(B135&amp;""))&gt;0,LEN(TRIM(C135&amp;""))&gt;0,LEN(TRIM(E135&amp;""))&gt;0,ISNUMBER(F135)),O135,"")</f>
      </c>
      <c r="R135" s="0" t="n">
        <f>IF(O135=0,0,IF(COUNTIFS($Q$13:$Q$512,O135)&gt;0,MATCH(O135,$Q$13:$Q$512,0),0))</f>
        <v>0</v>
      </c>
      <c r="S135" s="0">
        <f>IF(AB135="","",IF(SUMPRODUCT(--('LÉEME'!$B$65:$B$86=AC135))=1,INDEX('LÉEME'!$C$65:$C$86,MATCH(AC135,'LÉEME'!$B$65:$B$86,0)),UPPER(TRIM(AB135))))</f>
      </c>
      <c r="T135" s="0" t="n">
        <f>IF(R135=0,0,IF(OR(AND(LEN(TRIM(B135&amp;""))&gt;0,UPPER(TRIM(B135&amp;""))&lt;&gt;UPPER(TRIM(INDEX($B$13:$B$512,R135)&amp;""))),AND(LEN(TRIM(C135&amp;""))&gt;0,UPPER(TRIM(C135&amp;""))&lt;&gt;UPPER(TRIM(INDEX($C$13:$C$512,R135)&amp;""))),AND(LEN(TRIM(E135&amp;""))&gt;0,S135&lt;&gt;INDEX($S$13:$S$512,R135)),AND(F135&lt;&gt;"",NOT(ISNUMBER(F135)))),1,IF(ISNUMBER(F135),IF(ABS(F135-INDEX($F$13:$F$512,R135))&gt;0.00000001,1,0),0)))</f>
        <v>0</v>
      </c>
      <c r="U135" s="0" t="n">
        <f>IF(P135="DIRECTA",IF(AND(ISNUMBER(G135),COUNTA(H135:J135)=0),1,0),IF(P135="DIMENSIONES",IF(AND(COUNT(G135:J135)&gt;0,COUNTA(G135:J135)=COUNT(G135:J135)),1,0),0))</f>
        <v>0</v>
      </c>
      <c r="V135" s="0" t="n">
        <f>IF(O135=0,0,IF(COUNTIFS($O$13:O135,O135)=1,1,0))</f>
        <v>0</v>
      </c>
      <c r="W135" s="0">
        <f>IF(V135=1,COUNTIFS($V$13:V135,1),"")</f>
      </c>
      <c r="X135" s="0">
        <f>IF(COUNTA(B135:L135)=0,"",IF(OR(NOT(IF(ISNUMBER($E$6),AND($E$6&gt;=0,$E$6&lt;=6,$E$6=INT($E$6)),FALSE)),O135=0,R135=0,T135&gt;0,AND(P135&lt;&gt;"DIMENSIONES",P135&lt;&gt;"DIRECTA",P135&lt;&gt;"SIN LÍNEAS",P135&lt;&gt;"CABECERA"),AND(OR(P135="DIRECTA",P135="DIMENSIONES"),U135=0),AND(OR(P135="SIN LÍNEAS",P135="CABECERA"),COUNTA(G135:J135)&gt;0)),2,IF(OR(P135="SIN LÍNEAS",Y135&gt;0,Z135&gt;0,AA135&gt;0,SUMPRODUCT(--('LÉEME'!$B$65:$B$86=AC135))&lt;&gt;1),1,0)))</f>
      </c>
      <c r="Y135" s="0" t="n">
        <f>IF(AND(P135="DIMENSIONES",S135="m²",COUNT(H135:J135)=3),1,0)</f>
        <v>0</v>
      </c>
      <c r="Z135" s="0" t="n">
        <f>IF(IF(ISNUMBER($E$6),AND($E$6&gt;=0,$E$6&lt;=6,$E$6=INT($E$6)),FALSE),IF(SUM(IF(ISNUMBER(F135),IF(ABS(F135-ROUND(F135,$E$6))&gt;0.00000001,1,0),0),IF(ISNUMBER(G135),IF(ABS(G135-ROUND(G135,$E$6))&gt;0.00000001,1,0),0),IF(ISNUMBER(H135),IF(ABS(H135-ROUND(H135,$E$6))&gt;0.00000001,1,0),0),IF(ISNUMBER(I135),IF(ABS(I135-ROUND(I135,$E$6))&gt;0.00000001,1,0),0),IF(ISNUMBER(J135),IF(ABS(J135-ROUND(J135,$E$6))&gt;0.00000001,1,0),0),IF(ISNUMBER(M135),IF(ABS(M135-ROUND(M135,$E$6))&gt;0.00000001,1,0),0))&gt;0,1,0),0)</f>
        <v>0</v>
      </c>
      <c r="AA135" s="0" t="n">
        <f>IF(COUNTA(B135:L135)=0,0,IF(OR(AND(ISNUMBER(F135),F135&lt;0),AND(U135=1,OR(SUM(IF(ISNUMBER(G135),IF(G135=0,1,0),0),IF(ISNUMBER(H135),IF(H135=0,1,0),0),IF(ISNUMBER(I135),IF(I135=0,1,0),0),IF(ISNUMBER(J135),IF(J135=0,1,0),0))&gt;0,COUNTIFS(G135:J135,"&lt;0")&gt;0)),AND(P135="DIMENSIONES",U135=1,OR(AND(S135="m",COUNT(H135:J135)&lt;&gt;1),AND(S135="m²",COUNT(H135:J135)&lt;&gt;2,Y135=0),AND(S135="m³",COUNT(H135:J135)&lt;&gt;3),AND(S135="ud",COUNT(H135:J135)&gt;0))),AND(P135="DIRECTA",OR(S135="m",S135="m²",S135="m³"))),1,0))</f>
        <v>0</v>
      </c>
      <c r="AB135" s="0">
        <f>IF(LEN(TRIM(E135&amp;""))&gt;0,E135,IF(R135&gt;0,INDEX($E$13:$E$512,R135),""))</f>
      </c>
      <c r="AC135" s="0">
        <f>UPPER(SUBSTITUTE(SUBSTITUTE(SUBSTITUTE(SUBSTITUTE(SUBSTITUTE(TRIM(AB135),"²","2"),"³","3"),"^",""),".","")," ",""))</f>
      </c>
    </row>
    <row r="136" ht="35" customHeight="1">
      <c r="B136" s="35"/>
      <c r="C136" s="35"/>
      <c r="D136" s="37"/>
      <c r="E136" s="35"/>
      <c r="F136" s="38"/>
      <c r="G136" s="38"/>
      <c r="H136" s="38"/>
      <c r="I136" s="38"/>
      <c r="J136" s="38"/>
      <c r="K136" s="35"/>
      <c r="L136" s="35"/>
      <c r="M136" s="39">
        <f>IF(U136&lt;&gt;1,"",IF(P136="DIRECTA",G136,IF(ISNUMBER(G136),G136,1)*IF(ISNUMBER(H136),H136,1)*IF(ISNUMBER(I136),I136,1)*IF(ISNUMBER(J136),J136,1)))</f>
      </c>
      <c r="N136" s="30">
        <f>IF(COUNTA(B136:L136)=0,"",IF(X136=0,IF(P136="CABECERA","VERDE · Fila descriptiva; la suma usa las líneas del ID","VERDE · Datos numéricos interpretables"),IF(X136=2,"ROJO · ","ÁMBAR · ")&amp;IF(NOT(IF(ISNUMBER($E$6),AND($E$6&gt;=0,$E$6&lt;=6,$E$6=INT($E$6)),FALSE)),"Indicamos entre 0 y 6 decimales en E6. ","")&amp;IF(O136=0,"Falta un ID numérico. ","")&amp;IF(R136=0,"Faltan capítulo, código, unidad o total numérico del ID. ","")&amp;IF(T136&gt;0,"Los datos o el total del ID se contradicen. ","")&amp;IF(AND(P136&lt;&gt;"DIMENSIONES",P136&lt;&gt;"DIRECTA",P136&lt;&gt;"SIN LÍNEAS",P136&lt;&gt;"CABECERA"),"Tipo de fila no reconocido. ","")&amp;IF(AND(OR(P136="SIN LÍNEAS",P136="CABECERA"),COUNTA(G136:J136)&gt;0),"La fila dice que no mide, pero contiene medidas. ","")&amp;IF(AND(OR(P136="DIRECTA",P136="DIMENSIONES"),U136=0),"Línea incompleta o con medidas no numéricas. ","")&amp;IF(P136="SIN LÍNEAS","No constan medidas de esta fila. ","")&amp;IF(Y136&gt;0,"Parece m³: tres dimensiones bajo m². ","")&amp;IF(AND(AB136&lt;&gt;"",SUMPRODUCT(--('LÉEME'!$B$65:$B$86=AC136))&lt;&gt;1),"Revisamos el significado de la unidad. ","")&amp;IF(Z136&gt;0,"Más precisión que los decimales indicados: cotejamos el original. ","")&amp;IF(AA136&gt;0,"Revisamos dimensiones, cantidad directa, ceros o deducción. ","")))</f>
      </c>
      <c r="O136" s="0" t="n">
        <f>IF(ISNUMBER(K136),IF(AND(K136&gt;0,K136=INT(K136),K136&lt;=999999),K136,0),0)</f>
        <v>0</v>
      </c>
      <c r="P136" s="0">
        <f>IF(COUNTA(B136:L136)=0,"",IF(L136="",IF(COUNTA(G136:J136)&gt;0,"DIMENSIONES","SIN LÍNEAS"),UPPER(TRIM(L136))))</f>
      </c>
      <c r="Q136" s="0">
        <f>IF(AND(O136&gt;0,LEN(TRIM(B136&amp;""))&gt;0,LEN(TRIM(C136&amp;""))&gt;0,LEN(TRIM(E136&amp;""))&gt;0,ISNUMBER(F136)),O136,"")</f>
      </c>
      <c r="R136" s="0" t="n">
        <f>IF(O136=0,0,IF(COUNTIFS($Q$13:$Q$512,O136)&gt;0,MATCH(O136,$Q$13:$Q$512,0),0))</f>
        <v>0</v>
      </c>
      <c r="S136" s="0">
        <f>IF(AB136="","",IF(SUMPRODUCT(--('LÉEME'!$B$65:$B$86=AC136))=1,INDEX('LÉEME'!$C$65:$C$86,MATCH(AC136,'LÉEME'!$B$65:$B$86,0)),UPPER(TRIM(AB136))))</f>
      </c>
      <c r="T136" s="0" t="n">
        <f>IF(R136=0,0,IF(OR(AND(LEN(TRIM(B136&amp;""))&gt;0,UPPER(TRIM(B136&amp;""))&lt;&gt;UPPER(TRIM(INDEX($B$13:$B$512,R136)&amp;""))),AND(LEN(TRIM(C136&amp;""))&gt;0,UPPER(TRIM(C136&amp;""))&lt;&gt;UPPER(TRIM(INDEX($C$13:$C$512,R136)&amp;""))),AND(LEN(TRIM(E136&amp;""))&gt;0,S136&lt;&gt;INDEX($S$13:$S$512,R136)),AND(F136&lt;&gt;"",NOT(ISNUMBER(F136)))),1,IF(ISNUMBER(F136),IF(ABS(F136-INDEX($F$13:$F$512,R136))&gt;0.00000001,1,0),0)))</f>
        <v>0</v>
      </c>
      <c r="U136" s="0" t="n">
        <f>IF(P136="DIRECTA",IF(AND(ISNUMBER(G136),COUNTA(H136:J136)=0),1,0),IF(P136="DIMENSIONES",IF(AND(COUNT(G136:J136)&gt;0,COUNTA(G136:J136)=COUNT(G136:J136)),1,0),0))</f>
        <v>0</v>
      </c>
      <c r="V136" s="0" t="n">
        <f>IF(O136=0,0,IF(COUNTIFS($O$13:O136,O136)=1,1,0))</f>
        <v>0</v>
      </c>
      <c r="W136" s="0">
        <f>IF(V136=1,COUNTIFS($V$13:V136,1),"")</f>
      </c>
      <c r="X136" s="0">
        <f>IF(COUNTA(B136:L136)=0,"",IF(OR(NOT(IF(ISNUMBER($E$6),AND($E$6&gt;=0,$E$6&lt;=6,$E$6=INT($E$6)),FALSE)),O136=0,R136=0,T136&gt;0,AND(P136&lt;&gt;"DIMENSIONES",P136&lt;&gt;"DIRECTA",P136&lt;&gt;"SIN LÍNEAS",P136&lt;&gt;"CABECERA"),AND(OR(P136="DIRECTA",P136="DIMENSIONES"),U136=0),AND(OR(P136="SIN LÍNEAS",P136="CABECERA"),COUNTA(G136:J136)&gt;0)),2,IF(OR(P136="SIN LÍNEAS",Y136&gt;0,Z136&gt;0,AA136&gt;0,SUMPRODUCT(--('LÉEME'!$B$65:$B$86=AC136))&lt;&gt;1),1,0)))</f>
      </c>
      <c r="Y136" s="0" t="n">
        <f>IF(AND(P136="DIMENSIONES",S136="m²",COUNT(H136:J136)=3),1,0)</f>
        <v>0</v>
      </c>
      <c r="Z136" s="0" t="n">
        <f>IF(IF(ISNUMBER($E$6),AND($E$6&gt;=0,$E$6&lt;=6,$E$6=INT($E$6)),FALSE),IF(SUM(IF(ISNUMBER(F136),IF(ABS(F136-ROUND(F136,$E$6))&gt;0.00000001,1,0),0),IF(ISNUMBER(G136),IF(ABS(G136-ROUND(G136,$E$6))&gt;0.00000001,1,0),0),IF(ISNUMBER(H136),IF(ABS(H136-ROUND(H136,$E$6))&gt;0.00000001,1,0),0),IF(ISNUMBER(I136),IF(ABS(I136-ROUND(I136,$E$6))&gt;0.00000001,1,0),0),IF(ISNUMBER(J136),IF(ABS(J136-ROUND(J136,$E$6))&gt;0.00000001,1,0),0),IF(ISNUMBER(M136),IF(ABS(M136-ROUND(M136,$E$6))&gt;0.00000001,1,0),0))&gt;0,1,0),0)</f>
        <v>0</v>
      </c>
      <c r="AA136" s="0" t="n">
        <f>IF(COUNTA(B136:L136)=0,0,IF(OR(AND(ISNUMBER(F136),F136&lt;0),AND(U136=1,OR(SUM(IF(ISNUMBER(G136),IF(G136=0,1,0),0),IF(ISNUMBER(H136),IF(H136=0,1,0),0),IF(ISNUMBER(I136),IF(I136=0,1,0),0),IF(ISNUMBER(J136),IF(J136=0,1,0),0))&gt;0,COUNTIFS(G136:J136,"&lt;0")&gt;0)),AND(P136="DIMENSIONES",U136=1,OR(AND(S136="m",COUNT(H136:J136)&lt;&gt;1),AND(S136="m²",COUNT(H136:J136)&lt;&gt;2,Y136=0),AND(S136="m³",COUNT(H136:J136)&lt;&gt;3),AND(S136="ud",COUNT(H136:J136)&gt;0))),AND(P136="DIRECTA",OR(S136="m",S136="m²",S136="m³"))),1,0))</f>
        <v>0</v>
      </c>
      <c r="AB136" s="0">
        <f>IF(LEN(TRIM(E136&amp;""))&gt;0,E136,IF(R136&gt;0,INDEX($E$13:$E$512,R136),""))</f>
      </c>
      <c r="AC136" s="0">
        <f>UPPER(SUBSTITUTE(SUBSTITUTE(SUBSTITUTE(SUBSTITUTE(SUBSTITUTE(TRIM(AB136),"²","2"),"³","3"),"^",""),".","")," ",""))</f>
      </c>
    </row>
    <row r="137" ht="35" customHeight="1">
      <c r="B137" s="35"/>
      <c r="C137" s="35"/>
      <c r="D137" s="37"/>
      <c r="E137" s="35"/>
      <c r="F137" s="38"/>
      <c r="G137" s="38"/>
      <c r="H137" s="38"/>
      <c r="I137" s="38"/>
      <c r="J137" s="38"/>
      <c r="K137" s="35"/>
      <c r="L137" s="35"/>
      <c r="M137" s="39">
        <f>IF(U137&lt;&gt;1,"",IF(P137="DIRECTA",G137,IF(ISNUMBER(G137),G137,1)*IF(ISNUMBER(H137),H137,1)*IF(ISNUMBER(I137),I137,1)*IF(ISNUMBER(J137),J137,1)))</f>
      </c>
      <c r="N137" s="30">
        <f>IF(COUNTA(B137:L137)=0,"",IF(X137=0,IF(P137="CABECERA","VERDE · Fila descriptiva; la suma usa las líneas del ID","VERDE · Datos numéricos interpretables"),IF(X137=2,"ROJO · ","ÁMBAR · ")&amp;IF(NOT(IF(ISNUMBER($E$6),AND($E$6&gt;=0,$E$6&lt;=6,$E$6=INT($E$6)),FALSE)),"Indicamos entre 0 y 6 decimales en E6. ","")&amp;IF(O137=0,"Falta un ID numérico. ","")&amp;IF(R137=0,"Faltan capítulo, código, unidad o total numérico del ID. ","")&amp;IF(T137&gt;0,"Los datos o el total del ID se contradicen. ","")&amp;IF(AND(P137&lt;&gt;"DIMENSIONES",P137&lt;&gt;"DIRECTA",P137&lt;&gt;"SIN LÍNEAS",P137&lt;&gt;"CABECERA"),"Tipo de fila no reconocido. ","")&amp;IF(AND(OR(P137="SIN LÍNEAS",P137="CABECERA"),COUNTA(G137:J137)&gt;0),"La fila dice que no mide, pero contiene medidas. ","")&amp;IF(AND(OR(P137="DIRECTA",P137="DIMENSIONES"),U137=0),"Línea incompleta o con medidas no numéricas. ","")&amp;IF(P137="SIN LÍNEAS","No constan medidas de esta fila. ","")&amp;IF(Y137&gt;0,"Parece m³: tres dimensiones bajo m². ","")&amp;IF(AND(AB137&lt;&gt;"",SUMPRODUCT(--('LÉEME'!$B$65:$B$86=AC137))&lt;&gt;1),"Revisamos el significado de la unidad. ","")&amp;IF(Z137&gt;0,"Más precisión que los decimales indicados: cotejamos el original. ","")&amp;IF(AA137&gt;0,"Revisamos dimensiones, cantidad directa, ceros o deducción. ","")))</f>
      </c>
      <c r="O137" s="0" t="n">
        <f>IF(ISNUMBER(K137),IF(AND(K137&gt;0,K137=INT(K137),K137&lt;=999999),K137,0),0)</f>
        <v>0</v>
      </c>
      <c r="P137" s="0">
        <f>IF(COUNTA(B137:L137)=0,"",IF(L137="",IF(COUNTA(G137:J137)&gt;0,"DIMENSIONES","SIN LÍNEAS"),UPPER(TRIM(L137))))</f>
      </c>
      <c r="Q137" s="0">
        <f>IF(AND(O137&gt;0,LEN(TRIM(B137&amp;""))&gt;0,LEN(TRIM(C137&amp;""))&gt;0,LEN(TRIM(E137&amp;""))&gt;0,ISNUMBER(F137)),O137,"")</f>
      </c>
      <c r="R137" s="0" t="n">
        <f>IF(O137=0,0,IF(COUNTIFS($Q$13:$Q$512,O137)&gt;0,MATCH(O137,$Q$13:$Q$512,0),0))</f>
        <v>0</v>
      </c>
      <c r="S137" s="0">
        <f>IF(AB137="","",IF(SUMPRODUCT(--('LÉEME'!$B$65:$B$86=AC137))=1,INDEX('LÉEME'!$C$65:$C$86,MATCH(AC137,'LÉEME'!$B$65:$B$86,0)),UPPER(TRIM(AB137))))</f>
      </c>
      <c r="T137" s="0" t="n">
        <f>IF(R137=0,0,IF(OR(AND(LEN(TRIM(B137&amp;""))&gt;0,UPPER(TRIM(B137&amp;""))&lt;&gt;UPPER(TRIM(INDEX($B$13:$B$512,R137)&amp;""))),AND(LEN(TRIM(C137&amp;""))&gt;0,UPPER(TRIM(C137&amp;""))&lt;&gt;UPPER(TRIM(INDEX($C$13:$C$512,R137)&amp;""))),AND(LEN(TRIM(E137&amp;""))&gt;0,S137&lt;&gt;INDEX($S$13:$S$512,R137)),AND(F137&lt;&gt;"",NOT(ISNUMBER(F137)))),1,IF(ISNUMBER(F137),IF(ABS(F137-INDEX($F$13:$F$512,R137))&gt;0.00000001,1,0),0)))</f>
        <v>0</v>
      </c>
      <c r="U137" s="0" t="n">
        <f>IF(P137="DIRECTA",IF(AND(ISNUMBER(G137),COUNTA(H137:J137)=0),1,0),IF(P137="DIMENSIONES",IF(AND(COUNT(G137:J137)&gt;0,COUNTA(G137:J137)=COUNT(G137:J137)),1,0),0))</f>
        <v>0</v>
      </c>
      <c r="V137" s="0" t="n">
        <f>IF(O137=0,0,IF(COUNTIFS($O$13:O137,O137)=1,1,0))</f>
        <v>0</v>
      </c>
      <c r="W137" s="0">
        <f>IF(V137=1,COUNTIFS($V$13:V137,1),"")</f>
      </c>
      <c r="X137" s="0">
        <f>IF(COUNTA(B137:L137)=0,"",IF(OR(NOT(IF(ISNUMBER($E$6),AND($E$6&gt;=0,$E$6&lt;=6,$E$6=INT($E$6)),FALSE)),O137=0,R137=0,T137&gt;0,AND(P137&lt;&gt;"DIMENSIONES",P137&lt;&gt;"DIRECTA",P137&lt;&gt;"SIN LÍNEAS",P137&lt;&gt;"CABECERA"),AND(OR(P137="DIRECTA",P137="DIMENSIONES"),U137=0),AND(OR(P137="SIN LÍNEAS",P137="CABECERA"),COUNTA(G137:J137)&gt;0)),2,IF(OR(P137="SIN LÍNEAS",Y137&gt;0,Z137&gt;0,AA137&gt;0,SUMPRODUCT(--('LÉEME'!$B$65:$B$86=AC137))&lt;&gt;1),1,0)))</f>
      </c>
      <c r="Y137" s="0" t="n">
        <f>IF(AND(P137="DIMENSIONES",S137="m²",COUNT(H137:J137)=3),1,0)</f>
        <v>0</v>
      </c>
      <c r="Z137" s="0" t="n">
        <f>IF(IF(ISNUMBER($E$6),AND($E$6&gt;=0,$E$6&lt;=6,$E$6=INT($E$6)),FALSE),IF(SUM(IF(ISNUMBER(F137),IF(ABS(F137-ROUND(F137,$E$6))&gt;0.00000001,1,0),0),IF(ISNUMBER(G137),IF(ABS(G137-ROUND(G137,$E$6))&gt;0.00000001,1,0),0),IF(ISNUMBER(H137),IF(ABS(H137-ROUND(H137,$E$6))&gt;0.00000001,1,0),0),IF(ISNUMBER(I137),IF(ABS(I137-ROUND(I137,$E$6))&gt;0.00000001,1,0),0),IF(ISNUMBER(J137),IF(ABS(J137-ROUND(J137,$E$6))&gt;0.00000001,1,0),0),IF(ISNUMBER(M137),IF(ABS(M137-ROUND(M137,$E$6))&gt;0.00000001,1,0),0))&gt;0,1,0),0)</f>
        <v>0</v>
      </c>
      <c r="AA137" s="0" t="n">
        <f>IF(COUNTA(B137:L137)=0,0,IF(OR(AND(ISNUMBER(F137),F137&lt;0),AND(U137=1,OR(SUM(IF(ISNUMBER(G137),IF(G137=0,1,0),0),IF(ISNUMBER(H137),IF(H137=0,1,0),0),IF(ISNUMBER(I137),IF(I137=0,1,0),0),IF(ISNUMBER(J137),IF(J137=0,1,0),0))&gt;0,COUNTIFS(G137:J137,"&lt;0")&gt;0)),AND(P137="DIMENSIONES",U137=1,OR(AND(S137="m",COUNT(H137:J137)&lt;&gt;1),AND(S137="m²",COUNT(H137:J137)&lt;&gt;2,Y137=0),AND(S137="m³",COUNT(H137:J137)&lt;&gt;3),AND(S137="ud",COUNT(H137:J137)&gt;0))),AND(P137="DIRECTA",OR(S137="m",S137="m²",S137="m³"))),1,0))</f>
        <v>0</v>
      </c>
      <c r="AB137" s="0">
        <f>IF(LEN(TRIM(E137&amp;""))&gt;0,E137,IF(R137&gt;0,INDEX($E$13:$E$512,R137),""))</f>
      </c>
      <c r="AC137" s="0">
        <f>UPPER(SUBSTITUTE(SUBSTITUTE(SUBSTITUTE(SUBSTITUTE(SUBSTITUTE(TRIM(AB137),"²","2"),"³","3"),"^",""),".","")," ",""))</f>
      </c>
    </row>
    <row r="138" ht="35" customHeight="1">
      <c r="B138" s="35"/>
      <c r="C138" s="35"/>
      <c r="D138" s="37"/>
      <c r="E138" s="35"/>
      <c r="F138" s="38"/>
      <c r="G138" s="38"/>
      <c r="H138" s="38"/>
      <c r="I138" s="38"/>
      <c r="J138" s="38"/>
      <c r="K138" s="35"/>
      <c r="L138" s="35"/>
      <c r="M138" s="39">
        <f>IF(U138&lt;&gt;1,"",IF(P138="DIRECTA",G138,IF(ISNUMBER(G138),G138,1)*IF(ISNUMBER(H138),H138,1)*IF(ISNUMBER(I138),I138,1)*IF(ISNUMBER(J138),J138,1)))</f>
      </c>
      <c r="N138" s="30">
        <f>IF(COUNTA(B138:L138)=0,"",IF(X138=0,IF(P138="CABECERA","VERDE · Fila descriptiva; la suma usa las líneas del ID","VERDE · Datos numéricos interpretables"),IF(X138=2,"ROJO · ","ÁMBAR · ")&amp;IF(NOT(IF(ISNUMBER($E$6),AND($E$6&gt;=0,$E$6&lt;=6,$E$6=INT($E$6)),FALSE)),"Indicamos entre 0 y 6 decimales en E6. ","")&amp;IF(O138=0,"Falta un ID numérico. ","")&amp;IF(R138=0,"Faltan capítulo, código, unidad o total numérico del ID. ","")&amp;IF(T138&gt;0,"Los datos o el total del ID se contradicen. ","")&amp;IF(AND(P138&lt;&gt;"DIMENSIONES",P138&lt;&gt;"DIRECTA",P138&lt;&gt;"SIN LÍNEAS",P138&lt;&gt;"CABECERA"),"Tipo de fila no reconocido. ","")&amp;IF(AND(OR(P138="SIN LÍNEAS",P138="CABECERA"),COUNTA(G138:J138)&gt;0),"La fila dice que no mide, pero contiene medidas. ","")&amp;IF(AND(OR(P138="DIRECTA",P138="DIMENSIONES"),U138=0),"Línea incompleta o con medidas no numéricas. ","")&amp;IF(P138="SIN LÍNEAS","No constan medidas de esta fila. ","")&amp;IF(Y138&gt;0,"Parece m³: tres dimensiones bajo m². ","")&amp;IF(AND(AB138&lt;&gt;"",SUMPRODUCT(--('LÉEME'!$B$65:$B$86=AC138))&lt;&gt;1),"Revisamos el significado de la unidad. ","")&amp;IF(Z138&gt;0,"Más precisión que los decimales indicados: cotejamos el original. ","")&amp;IF(AA138&gt;0,"Revisamos dimensiones, cantidad directa, ceros o deducción. ","")))</f>
      </c>
      <c r="O138" s="0" t="n">
        <f>IF(ISNUMBER(K138),IF(AND(K138&gt;0,K138=INT(K138),K138&lt;=999999),K138,0),0)</f>
        <v>0</v>
      </c>
      <c r="P138" s="0">
        <f>IF(COUNTA(B138:L138)=0,"",IF(L138="",IF(COUNTA(G138:J138)&gt;0,"DIMENSIONES","SIN LÍNEAS"),UPPER(TRIM(L138))))</f>
      </c>
      <c r="Q138" s="0">
        <f>IF(AND(O138&gt;0,LEN(TRIM(B138&amp;""))&gt;0,LEN(TRIM(C138&amp;""))&gt;0,LEN(TRIM(E138&amp;""))&gt;0,ISNUMBER(F138)),O138,"")</f>
      </c>
      <c r="R138" s="0" t="n">
        <f>IF(O138=0,0,IF(COUNTIFS($Q$13:$Q$512,O138)&gt;0,MATCH(O138,$Q$13:$Q$512,0),0))</f>
        <v>0</v>
      </c>
      <c r="S138" s="0">
        <f>IF(AB138="","",IF(SUMPRODUCT(--('LÉEME'!$B$65:$B$86=AC138))=1,INDEX('LÉEME'!$C$65:$C$86,MATCH(AC138,'LÉEME'!$B$65:$B$86,0)),UPPER(TRIM(AB138))))</f>
      </c>
      <c r="T138" s="0" t="n">
        <f>IF(R138=0,0,IF(OR(AND(LEN(TRIM(B138&amp;""))&gt;0,UPPER(TRIM(B138&amp;""))&lt;&gt;UPPER(TRIM(INDEX($B$13:$B$512,R138)&amp;""))),AND(LEN(TRIM(C138&amp;""))&gt;0,UPPER(TRIM(C138&amp;""))&lt;&gt;UPPER(TRIM(INDEX($C$13:$C$512,R138)&amp;""))),AND(LEN(TRIM(E138&amp;""))&gt;0,S138&lt;&gt;INDEX($S$13:$S$512,R138)),AND(F138&lt;&gt;"",NOT(ISNUMBER(F138)))),1,IF(ISNUMBER(F138),IF(ABS(F138-INDEX($F$13:$F$512,R138))&gt;0.00000001,1,0),0)))</f>
        <v>0</v>
      </c>
      <c r="U138" s="0" t="n">
        <f>IF(P138="DIRECTA",IF(AND(ISNUMBER(G138),COUNTA(H138:J138)=0),1,0),IF(P138="DIMENSIONES",IF(AND(COUNT(G138:J138)&gt;0,COUNTA(G138:J138)=COUNT(G138:J138)),1,0),0))</f>
        <v>0</v>
      </c>
      <c r="V138" s="0" t="n">
        <f>IF(O138=0,0,IF(COUNTIFS($O$13:O138,O138)=1,1,0))</f>
        <v>0</v>
      </c>
      <c r="W138" s="0">
        <f>IF(V138=1,COUNTIFS($V$13:V138,1),"")</f>
      </c>
      <c r="X138" s="0">
        <f>IF(COUNTA(B138:L138)=0,"",IF(OR(NOT(IF(ISNUMBER($E$6),AND($E$6&gt;=0,$E$6&lt;=6,$E$6=INT($E$6)),FALSE)),O138=0,R138=0,T138&gt;0,AND(P138&lt;&gt;"DIMENSIONES",P138&lt;&gt;"DIRECTA",P138&lt;&gt;"SIN LÍNEAS",P138&lt;&gt;"CABECERA"),AND(OR(P138="DIRECTA",P138="DIMENSIONES"),U138=0),AND(OR(P138="SIN LÍNEAS",P138="CABECERA"),COUNTA(G138:J138)&gt;0)),2,IF(OR(P138="SIN LÍNEAS",Y138&gt;0,Z138&gt;0,AA138&gt;0,SUMPRODUCT(--('LÉEME'!$B$65:$B$86=AC138))&lt;&gt;1),1,0)))</f>
      </c>
      <c r="Y138" s="0" t="n">
        <f>IF(AND(P138="DIMENSIONES",S138="m²",COUNT(H138:J138)=3),1,0)</f>
        <v>0</v>
      </c>
      <c r="Z138" s="0" t="n">
        <f>IF(IF(ISNUMBER($E$6),AND($E$6&gt;=0,$E$6&lt;=6,$E$6=INT($E$6)),FALSE),IF(SUM(IF(ISNUMBER(F138),IF(ABS(F138-ROUND(F138,$E$6))&gt;0.00000001,1,0),0),IF(ISNUMBER(G138),IF(ABS(G138-ROUND(G138,$E$6))&gt;0.00000001,1,0),0),IF(ISNUMBER(H138),IF(ABS(H138-ROUND(H138,$E$6))&gt;0.00000001,1,0),0),IF(ISNUMBER(I138),IF(ABS(I138-ROUND(I138,$E$6))&gt;0.00000001,1,0),0),IF(ISNUMBER(J138),IF(ABS(J138-ROUND(J138,$E$6))&gt;0.00000001,1,0),0),IF(ISNUMBER(M138),IF(ABS(M138-ROUND(M138,$E$6))&gt;0.00000001,1,0),0))&gt;0,1,0),0)</f>
        <v>0</v>
      </c>
      <c r="AA138" s="0" t="n">
        <f>IF(COUNTA(B138:L138)=0,0,IF(OR(AND(ISNUMBER(F138),F138&lt;0),AND(U138=1,OR(SUM(IF(ISNUMBER(G138),IF(G138=0,1,0),0),IF(ISNUMBER(H138),IF(H138=0,1,0),0),IF(ISNUMBER(I138),IF(I138=0,1,0),0),IF(ISNUMBER(J138),IF(J138=0,1,0),0))&gt;0,COUNTIFS(G138:J138,"&lt;0")&gt;0)),AND(P138="DIMENSIONES",U138=1,OR(AND(S138="m",COUNT(H138:J138)&lt;&gt;1),AND(S138="m²",COUNT(H138:J138)&lt;&gt;2,Y138=0),AND(S138="m³",COUNT(H138:J138)&lt;&gt;3),AND(S138="ud",COUNT(H138:J138)&gt;0))),AND(P138="DIRECTA",OR(S138="m",S138="m²",S138="m³"))),1,0))</f>
        <v>0</v>
      </c>
      <c r="AB138" s="0">
        <f>IF(LEN(TRIM(E138&amp;""))&gt;0,E138,IF(R138&gt;0,INDEX($E$13:$E$512,R138),""))</f>
      </c>
      <c r="AC138" s="0">
        <f>UPPER(SUBSTITUTE(SUBSTITUTE(SUBSTITUTE(SUBSTITUTE(SUBSTITUTE(TRIM(AB138),"²","2"),"³","3"),"^",""),".","")," ",""))</f>
      </c>
    </row>
    <row r="139" ht="35" customHeight="1">
      <c r="B139" s="35"/>
      <c r="C139" s="35"/>
      <c r="D139" s="37"/>
      <c r="E139" s="35"/>
      <c r="F139" s="38"/>
      <c r="G139" s="38"/>
      <c r="H139" s="38"/>
      <c r="I139" s="38"/>
      <c r="J139" s="38"/>
      <c r="K139" s="35"/>
      <c r="L139" s="35"/>
      <c r="M139" s="39">
        <f>IF(U139&lt;&gt;1,"",IF(P139="DIRECTA",G139,IF(ISNUMBER(G139),G139,1)*IF(ISNUMBER(H139),H139,1)*IF(ISNUMBER(I139),I139,1)*IF(ISNUMBER(J139),J139,1)))</f>
      </c>
      <c r="N139" s="30">
        <f>IF(COUNTA(B139:L139)=0,"",IF(X139=0,IF(P139="CABECERA","VERDE · Fila descriptiva; la suma usa las líneas del ID","VERDE · Datos numéricos interpretables"),IF(X139=2,"ROJO · ","ÁMBAR · ")&amp;IF(NOT(IF(ISNUMBER($E$6),AND($E$6&gt;=0,$E$6&lt;=6,$E$6=INT($E$6)),FALSE)),"Indicamos entre 0 y 6 decimales en E6. ","")&amp;IF(O139=0,"Falta un ID numérico. ","")&amp;IF(R139=0,"Faltan capítulo, código, unidad o total numérico del ID. ","")&amp;IF(T139&gt;0,"Los datos o el total del ID se contradicen. ","")&amp;IF(AND(P139&lt;&gt;"DIMENSIONES",P139&lt;&gt;"DIRECTA",P139&lt;&gt;"SIN LÍNEAS",P139&lt;&gt;"CABECERA"),"Tipo de fila no reconocido. ","")&amp;IF(AND(OR(P139="SIN LÍNEAS",P139="CABECERA"),COUNTA(G139:J139)&gt;0),"La fila dice que no mide, pero contiene medidas. ","")&amp;IF(AND(OR(P139="DIRECTA",P139="DIMENSIONES"),U139=0),"Línea incompleta o con medidas no numéricas. ","")&amp;IF(P139="SIN LÍNEAS","No constan medidas de esta fila. ","")&amp;IF(Y139&gt;0,"Parece m³: tres dimensiones bajo m². ","")&amp;IF(AND(AB139&lt;&gt;"",SUMPRODUCT(--('LÉEME'!$B$65:$B$86=AC139))&lt;&gt;1),"Revisamos el significado de la unidad. ","")&amp;IF(Z139&gt;0,"Más precisión que los decimales indicados: cotejamos el original. ","")&amp;IF(AA139&gt;0,"Revisamos dimensiones, cantidad directa, ceros o deducción. ","")))</f>
      </c>
      <c r="O139" s="0" t="n">
        <f>IF(ISNUMBER(K139),IF(AND(K139&gt;0,K139=INT(K139),K139&lt;=999999),K139,0),0)</f>
        <v>0</v>
      </c>
      <c r="P139" s="0">
        <f>IF(COUNTA(B139:L139)=0,"",IF(L139="",IF(COUNTA(G139:J139)&gt;0,"DIMENSIONES","SIN LÍNEAS"),UPPER(TRIM(L139))))</f>
      </c>
      <c r="Q139" s="0">
        <f>IF(AND(O139&gt;0,LEN(TRIM(B139&amp;""))&gt;0,LEN(TRIM(C139&amp;""))&gt;0,LEN(TRIM(E139&amp;""))&gt;0,ISNUMBER(F139)),O139,"")</f>
      </c>
      <c r="R139" s="0" t="n">
        <f>IF(O139=0,0,IF(COUNTIFS($Q$13:$Q$512,O139)&gt;0,MATCH(O139,$Q$13:$Q$512,0),0))</f>
        <v>0</v>
      </c>
      <c r="S139" s="0">
        <f>IF(AB139="","",IF(SUMPRODUCT(--('LÉEME'!$B$65:$B$86=AC139))=1,INDEX('LÉEME'!$C$65:$C$86,MATCH(AC139,'LÉEME'!$B$65:$B$86,0)),UPPER(TRIM(AB139))))</f>
      </c>
      <c r="T139" s="0" t="n">
        <f>IF(R139=0,0,IF(OR(AND(LEN(TRIM(B139&amp;""))&gt;0,UPPER(TRIM(B139&amp;""))&lt;&gt;UPPER(TRIM(INDEX($B$13:$B$512,R139)&amp;""))),AND(LEN(TRIM(C139&amp;""))&gt;0,UPPER(TRIM(C139&amp;""))&lt;&gt;UPPER(TRIM(INDEX($C$13:$C$512,R139)&amp;""))),AND(LEN(TRIM(E139&amp;""))&gt;0,S139&lt;&gt;INDEX($S$13:$S$512,R139)),AND(F139&lt;&gt;"",NOT(ISNUMBER(F139)))),1,IF(ISNUMBER(F139),IF(ABS(F139-INDEX($F$13:$F$512,R139))&gt;0.00000001,1,0),0)))</f>
        <v>0</v>
      </c>
      <c r="U139" s="0" t="n">
        <f>IF(P139="DIRECTA",IF(AND(ISNUMBER(G139),COUNTA(H139:J139)=0),1,0),IF(P139="DIMENSIONES",IF(AND(COUNT(G139:J139)&gt;0,COUNTA(G139:J139)=COUNT(G139:J139)),1,0),0))</f>
        <v>0</v>
      </c>
      <c r="V139" s="0" t="n">
        <f>IF(O139=0,0,IF(COUNTIFS($O$13:O139,O139)=1,1,0))</f>
        <v>0</v>
      </c>
      <c r="W139" s="0">
        <f>IF(V139=1,COUNTIFS($V$13:V139,1),"")</f>
      </c>
      <c r="X139" s="0">
        <f>IF(COUNTA(B139:L139)=0,"",IF(OR(NOT(IF(ISNUMBER($E$6),AND($E$6&gt;=0,$E$6&lt;=6,$E$6=INT($E$6)),FALSE)),O139=0,R139=0,T139&gt;0,AND(P139&lt;&gt;"DIMENSIONES",P139&lt;&gt;"DIRECTA",P139&lt;&gt;"SIN LÍNEAS",P139&lt;&gt;"CABECERA"),AND(OR(P139="DIRECTA",P139="DIMENSIONES"),U139=0),AND(OR(P139="SIN LÍNEAS",P139="CABECERA"),COUNTA(G139:J139)&gt;0)),2,IF(OR(P139="SIN LÍNEAS",Y139&gt;0,Z139&gt;0,AA139&gt;0,SUMPRODUCT(--('LÉEME'!$B$65:$B$86=AC139))&lt;&gt;1),1,0)))</f>
      </c>
      <c r="Y139" s="0" t="n">
        <f>IF(AND(P139="DIMENSIONES",S139="m²",COUNT(H139:J139)=3),1,0)</f>
        <v>0</v>
      </c>
      <c r="Z139" s="0" t="n">
        <f>IF(IF(ISNUMBER($E$6),AND($E$6&gt;=0,$E$6&lt;=6,$E$6=INT($E$6)),FALSE),IF(SUM(IF(ISNUMBER(F139),IF(ABS(F139-ROUND(F139,$E$6))&gt;0.00000001,1,0),0),IF(ISNUMBER(G139),IF(ABS(G139-ROUND(G139,$E$6))&gt;0.00000001,1,0),0),IF(ISNUMBER(H139),IF(ABS(H139-ROUND(H139,$E$6))&gt;0.00000001,1,0),0),IF(ISNUMBER(I139),IF(ABS(I139-ROUND(I139,$E$6))&gt;0.00000001,1,0),0),IF(ISNUMBER(J139),IF(ABS(J139-ROUND(J139,$E$6))&gt;0.00000001,1,0),0),IF(ISNUMBER(M139),IF(ABS(M139-ROUND(M139,$E$6))&gt;0.00000001,1,0),0))&gt;0,1,0),0)</f>
        <v>0</v>
      </c>
      <c r="AA139" s="0" t="n">
        <f>IF(COUNTA(B139:L139)=0,0,IF(OR(AND(ISNUMBER(F139),F139&lt;0),AND(U139=1,OR(SUM(IF(ISNUMBER(G139),IF(G139=0,1,0),0),IF(ISNUMBER(H139),IF(H139=0,1,0),0),IF(ISNUMBER(I139),IF(I139=0,1,0),0),IF(ISNUMBER(J139),IF(J139=0,1,0),0))&gt;0,COUNTIFS(G139:J139,"&lt;0")&gt;0)),AND(P139="DIMENSIONES",U139=1,OR(AND(S139="m",COUNT(H139:J139)&lt;&gt;1),AND(S139="m²",COUNT(H139:J139)&lt;&gt;2,Y139=0),AND(S139="m³",COUNT(H139:J139)&lt;&gt;3),AND(S139="ud",COUNT(H139:J139)&gt;0))),AND(P139="DIRECTA",OR(S139="m",S139="m²",S139="m³"))),1,0))</f>
        <v>0</v>
      </c>
      <c r="AB139" s="0">
        <f>IF(LEN(TRIM(E139&amp;""))&gt;0,E139,IF(R139&gt;0,INDEX($E$13:$E$512,R139),""))</f>
      </c>
      <c r="AC139" s="0">
        <f>UPPER(SUBSTITUTE(SUBSTITUTE(SUBSTITUTE(SUBSTITUTE(SUBSTITUTE(TRIM(AB139),"²","2"),"³","3"),"^",""),".","")," ",""))</f>
      </c>
    </row>
    <row r="140" ht="35" customHeight="1">
      <c r="B140" s="35"/>
      <c r="C140" s="35"/>
      <c r="D140" s="37"/>
      <c r="E140" s="35"/>
      <c r="F140" s="38"/>
      <c r="G140" s="38"/>
      <c r="H140" s="38"/>
      <c r="I140" s="38"/>
      <c r="J140" s="38"/>
      <c r="K140" s="35"/>
      <c r="L140" s="35"/>
      <c r="M140" s="39">
        <f>IF(U140&lt;&gt;1,"",IF(P140="DIRECTA",G140,IF(ISNUMBER(G140),G140,1)*IF(ISNUMBER(H140),H140,1)*IF(ISNUMBER(I140),I140,1)*IF(ISNUMBER(J140),J140,1)))</f>
      </c>
      <c r="N140" s="30">
        <f>IF(COUNTA(B140:L140)=0,"",IF(X140=0,IF(P140="CABECERA","VERDE · Fila descriptiva; la suma usa las líneas del ID","VERDE · Datos numéricos interpretables"),IF(X140=2,"ROJO · ","ÁMBAR · ")&amp;IF(NOT(IF(ISNUMBER($E$6),AND($E$6&gt;=0,$E$6&lt;=6,$E$6=INT($E$6)),FALSE)),"Indicamos entre 0 y 6 decimales en E6. ","")&amp;IF(O140=0,"Falta un ID numérico. ","")&amp;IF(R140=0,"Faltan capítulo, código, unidad o total numérico del ID. ","")&amp;IF(T140&gt;0,"Los datos o el total del ID se contradicen. ","")&amp;IF(AND(P140&lt;&gt;"DIMENSIONES",P140&lt;&gt;"DIRECTA",P140&lt;&gt;"SIN LÍNEAS",P140&lt;&gt;"CABECERA"),"Tipo de fila no reconocido. ","")&amp;IF(AND(OR(P140="SIN LÍNEAS",P140="CABECERA"),COUNTA(G140:J140)&gt;0),"La fila dice que no mide, pero contiene medidas. ","")&amp;IF(AND(OR(P140="DIRECTA",P140="DIMENSIONES"),U140=0),"Línea incompleta o con medidas no numéricas. ","")&amp;IF(P140="SIN LÍNEAS","No constan medidas de esta fila. ","")&amp;IF(Y140&gt;0,"Parece m³: tres dimensiones bajo m². ","")&amp;IF(AND(AB140&lt;&gt;"",SUMPRODUCT(--('LÉEME'!$B$65:$B$86=AC140))&lt;&gt;1),"Revisamos el significado de la unidad. ","")&amp;IF(Z140&gt;0,"Más precisión que los decimales indicados: cotejamos el original. ","")&amp;IF(AA140&gt;0,"Revisamos dimensiones, cantidad directa, ceros o deducción. ","")))</f>
      </c>
      <c r="O140" s="0" t="n">
        <f>IF(ISNUMBER(K140),IF(AND(K140&gt;0,K140=INT(K140),K140&lt;=999999),K140,0),0)</f>
        <v>0</v>
      </c>
      <c r="P140" s="0">
        <f>IF(COUNTA(B140:L140)=0,"",IF(L140="",IF(COUNTA(G140:J140)&gt;0,"DIMENSIONES","SIN LÍNEAS"),UPPER(TRIM(L140))))</f>
      </c>
      <c r="Q140" s="0">
        <f>IF(AND(O140&gt;0,LEN(TRIM(B140&amp;""))&gt;0,LEN(TRIM(C140&amp;""))&gt;0,LEN(TRIM(E140&amp;""))&gt;0,ISNUMBER(F140)),O140,"")</f>
      </c>
      <c r="R140" s="0" t="n">
        <f>IF(O140=0,0,IF(COUNTIFS($Q$13:$Q$512,O140)&gt;0,MATCH(O140,$Q$13:$Q$512,0),0))</f>
        <v>0</v>
      </c>
      <c r="S140" s="0">
        <f>IF(AB140="","",IF(SUMPRODUCT(--('LÉEME'!$B$65:$B$86=AC140))=1,INDEX('LÉEME'!$C$65:$C$86,MATCH(AC140,'LÉEME'!$B$65:$B$86,0)),UPPER(TRIM(AB140))))</f>
      </c>
      <c r="T140" s="0" t="n">
        <f>IF(R140=0,0,IF(OR(AND(LEN(TRIM(B140&amp;""))&gt;0,UPPER(TRIM(B140&amp;""))&lt;&gt;UPPER(TRIM(INDEX($B$13:$B$512,R140)&amp;""))),AND(LEN(TRIM(C140&amp;""))&gt;0,UPPER(TRIM(C140&amp;""))&lt;&gt;UPPER(TRIM(INDEX($C$13:$C$512,R140)&amp;""))),AND(LEN(TRIM(E140&amp;""))&gt;0,S140&lt;&gt;INDEX($S$13:$S$512,R140)),AND(F140&lt;&gt;"",NOT(ISNUMBER(F140)))),1,IF(ISNUMBER(F140),IF(ABS(F140-INDEX($F$13:$F$512,R140))&gt;0.00000001,1,0),0)))</f>
        <v>0</v>
      </c>
      <c r="U140" s="0" t="n">
        <f>IF(P140="DIRECTA",IF(AND(ISNUMBER(G140),COUNTA(H140:J140)=0),1,0),IF(P140="DIMENSIONES",IF(AND(COUNT(G140:J140)&gt;0,COUNTA(G140:J140)=COUNT(G140:J140)),1,0),0))</f>
        <v>0</v>
      </c>
      <c r="V140" s="0" t="n">
        <f>IF(O140=0,0,IF(COUNTIFS($O$13:O140,O140)=1,1,0))</f>
        <v>0</v>
      </c>
      <c r="W140" s="0">
        <f>IF(V140=1,COUNTIFS($V$13:V140,1),"")</f>
      </c>
      <c r="X140" s="0">
        <f>IF(COUNTA(B140:L140)=0,"",IF(OR(NOT(IF(ISNUMBER($E$6),AND($E$6&gt;=0,$E$6&lt;=6,$E$6=INT($E$6)),FALSE)),O140=0,R140=0,T140&gt;0,AND(P140&lt;&gt;"DIMENSIONES",P140&lt;&gt;"DIRECTA",P140&lt;&gt;"SIN LÍNEAS",P140&lt;&gt;"CABECERA"),AND(OR(P140="DIRECTA",P140="DIMENSIONES"),U140=0),AND(OR(P140="SIN LÍNEAS",P140="CABECERA"),COUNTA(G140:J140)&gt;0)),2,IF(OR(P140="SIN LÍNEAS",Y140&gt;0,Z140&gt;0,AA140&gt;0,SUMPRODUCT(--('LÉEME'!$B$65:$B$86=AC140))&lt;&gt;1),1,0)))</f>
      </c>
      <c r="Y140" s="0" t="n">
        <f>IF(AND(P140="DIMENSIONES",S140="m²",COUNT(H140:J140)=3),1,0)</f>
        <v>0</v>
      </c>
      <c r="Z140" s="0" t="n">
        <f>IF(IF(ISNUMBER($E$6),AND($E$6&gt;=0,$E$6&lt;=6,$E$6=INT($E$6)),FALSE),IF(SUM(IF(ISNUMBER(F140),IF(ABS(F140-ROUND(F140,$E$6))&gt;0.00000001,1,0),0),IF(ISNUMBER(G140),IF(ABS(G140-ROUND(G140,$E$6))&gt;0.00000001,1,0),0),IF(ISNUMBER(H140),IF(ABS(H140-ROUND(H140,$E$6))&gt;0.00000001,1,0),0),IF(ISNUMBER(I140),IF(ABS(I140-ROUND(I140,$E$6))&gt;0.00000001,1,0),0),IF(ISNUMBER(J140),IF(ABS(J140-ROUND(J140,$E$6))&gt;0.00000001,1,0),0),IF(ISNUMBER(M140),IF(ABS(M140-ROUND(M140,$E$6))&gt;0.00000001,1,0),0))&gt;0,1,0),0)</f>
        <v>0</v>
      </c>
      <c r="AA140" s="0" t="n">
        <f>IF(COUNTA(B140:L140)=0,0,IF(OR(AND(ISNUMBER(F140),F140&lt;0),AND(U140=1,OR(SUM(IF(ISNUMBER(G140),IF(G140=0,1,0),0),IF(ISNUMBER(H140),IF(H140=0,1,0),0),IF(ISNUMBER(I140),IF(I140=0,1,0),0),IF(ISNUMBER(J140),IF(J140=0,1,0),0))&gt;0,COUNTIFS(G140:J140,"&lt;0")&gt;0)),AND(P140="DIMENSIONES",U140=1,OR(AND(S140="m",COUNT(H140:J140)&lt;&gt;1),AND(S140="m²",COUNT(H140:J140)&lt;&gt;2,Y140=0),AND(S140="m³",COUNT(H140:J140)&lt;&gt;3),AND(S140="ud",COUNT(H140:J140)&gt;0))),AND(P140="DIRECTA",OR(S140="m",S140="m²",S140="m³"))),1,0))</f>
        <v>0</v>
      </c>
      <c r="AB140" s="0">
        <f>IF(LEN(TRIM(E140&amp;""))&gt;0,E140,IF(R140&gt;0,INDEX($E$13:$E$512,R140),""))</f>
      </c>
      <c r="AC140" s="0">
        <f>UPPER(SUBSTITUTE(SUBSTITUTE(SUBSTITUTE(SUBSTITUTE(SUBSTITUTE(TRIM(AB140),"²","2"),"³","3"),"^",""),".","")," ",""))</f>
      </c>
    </row>
    <row r="141" ht="35" customHeight="1">
      <c r="B141" s="35"/>
      <c r="C141" s="35"/>
      <c r="D141" s="37"/>
      <c r="E141" s="35"/>
      <c r="F141" s="38"/>
      <c r="G141" s="38"/>
      <c r="H141" s="38"/>
      <c r="I141" s="38"/>
      <c r="J141" s="38"/>
      <c r="K141" s="35"/>
      <c r="L141" s="35"/>
      <c r="M141" s="39">
        <f>IF(U141&lt;&gt;1,"",IF(P141="DIRECTA",G141,IF(ISNUMBER(G141),G141,1)*IF(ISNUMBER(H141),H141,1)*IF(ISNUMBER(I141),I141,1)*IF(ISNUMBER(J141),J141,1)))</f>
      </c>
      <c r="N141" s="30">
        <f>IF(COUNTA(B141:L141)=0,"",IF(X141=0,IF(P141="CABECERA","VERDE · Fila descriptiva; la suma usa las líneas del ID","VERDE · Datos numéricos interpretables"),IF(X141=2,"ROJO · ","ÁMBAR · ")&amp;IF(NOT(IF(ISNUMBER($E$6),AND($E$6&gt;=0,$E$6&lt;=6,$E$6=INT($E$6)),FALSE)),"Indicamos entre 0 y 6 decimales en E6. ","")&amp;IF(O141=0,"Falta un ID numérico. ","")&amp;IF(R141=0,"Faltan capítulo, código, unidad o total numérico del ID. ","")&amp;IF(T141&gt;0,"Los datos o el total del ID se contradicen. ","")&amp;IF(AND(P141&lt;&gt;"DIMENSIONES",P141&lt;&gt;"DIRECTA",P141&lt;&gt;"SIN LÍNEAS",P141&lt;&gt;"CABECERA"),"Tipo de fila no reconocido. ","")&amp;IF(AND(OR(P141="SIN LÍNEAS",P141="CABECERA"),COUNTA(G141:J141)&gt;0),"La fila dice que no mide, pero contiene medidas. ","")&amp;IF(AND(OR(P141="DIRECTA",P141="DIMENSIONES"),U141=0),"Línea incompleta o con medidas no numéricas. ","")&amp;IF(P141="SIN LÍNEAS","No constan medidas de esta fila. ","")&amp;IF(Y141&gt;0,"Parece m³: tres dimensiones bajo m². ","")&amp;IF(AND(AB141&lt;&gt;"",SUMPRODUCT(--('LÉEME'!$B$65:$B$86=AC141))&lt;&gt;1),"Revisamos el significado de la unidad. ","")&amp;IF(Z141&gt;0,"Más precisión que los decimales indicados: cotejamos el original. ","")&amp;IF(AA141&gt;0,"Revisamos dimensiones, cantidad directa, ceros o deducción. ","")))</f>
      </c>
      <c r="O141" s="0" t="n">
        <f>IF(ISNUMBER(K141),IF(AND(K141&gt;0,K141=INT(K141),K141&lt;=999999),K141,0),0)</f>
        <v>0</v>
      </c>
      <c r="P141" s="0">
        <f>IF(COUNTA(B141:L141)=0,"",IF(L141="",IF(COUNTA(G141:J141)&gt;0,"DIMENSIONES","SIN LÍNEAS"),UPPER(TRIM(L141))))</f>
      </c>
      <c r="Q141" s="0">
        <f>IF(AND(O141&gt;0,LEN(TRIM(B141&amp;""))&gt;0,LEN(TRIM(C141&amp;""))&gt;0,LEN(TRIM(E141&amp;""))&gt;0,ISNUMBER(F141)),O141,"")</f>
      </c>
      <c r="R141" s="0" t="n">
        <f>IF(O141=0,0,IF(COUNTIFS($Q$13:$Q$512,O141)&gt;0,MATCH(O141,$Q$13:$Q$512,0),0))</f>
        <v>0</v>
      </c>
      <c r="S141" s="0">
        <f>IF(AB141="","",IF(SUMPRODUCT(--('LÉEME'!$B$65:$B$86=AC141))=1,INDEX('LÉEME'!$C$65:$C$86,MATCH(AC141,'LÉEME'!$B$65:$B$86,0)),UPPER(TRIM(AB141))))</f>
      </c>
      <c r="T141" s="0" t="n">
        <f>IF(R141=0,0,IF(OR(AND(LEN(TRIM(B141&amp;""))&gt;0,UPPER(TRIM(B141&amp;""))&lt;&gt;UPPER(TRIM(INDEX($B$13:$B$512,R141)&amp;""))),AND(LEN(TRIM(C141&amp;""))&gt;0,UPPER(TRIM(C141&amp;""))&lt;&gt;UPPER(TRIM(INDEX($C$13:$C$512,R141)&amp;""))),AND(LEN(TRIM(E141&amp;""))&gt;0,S141&lt;&gt;INDEX($S$13:$S$512,R141)),AND(F141&lt;&gt;"",NOT(ISNUMBER(F141)))),1,IF(ISNUMBER(F141),IF(ABS(F141-INDEX($F$13:$F$512,R141))&gt;0.00000001,1,0),0)))</f>
        <v>0</v>
      </c>
      <c r="U141" s="0" t="n">
        <f>IF(P141="DIRECTA",IF(AND(ISNUMBER(G141),COUNTA(H141:J141)=0),1,0),IF(P141="DIMENSIONES",IF(AND(COUNT(G141:J141)&gt;0,COUNTA(G141:J141)=COUNT(G141:J141)),1,0),0))</f>
        <v>0</v>
      </c>
      <c r="V141" s="0" t="n">
        <f>IF(O141=0,0,IF(COUNTIFS($O$13:O141,O141)=1,1,0))</f>
        <v>0</v>
      </c>
      <c r="W141" s="0">
        <f>IF(V141=1,COUNTIFS($V$13:V141,1),"")</f>
      </c>
      <c r="X141" s="0">
        <f>IF(COUNTA(B141:L141)=0,"",IF(OR(NOT(IF(ISNUMBER($E$6),AND($E$6&gt;=0,$E$6&lt;=6,$E$6=INT($E$6)),FALSE)),O141=0,R141=0,T141&gt;0,AND(P141&lt;&gt;"DIMENSIONES",P141&lt;&gt;"DIRECTA",P141&lt;&gt;"SIN LÍNEAS",P141&lt;&gt;"CABECERA"),AND(OR(P141="DIRECTA",P141="DIMENSIONES"),U141=0),AND(OR(P141="SIN LÍNEAS",P141="CABECERA"),COUNTA(G141:J141)&gt;0)),2,IF(OR(P141="SIN LÍNEAS",Y141&gt;0,Z141&gt;0,AA141&gt;0,SUMPRODUCT(--('LÉEME'!$B$65:$B$86=AC141))&lt;&gt;1),1,0)))</f>
      </c>
      <c r="Y141" s="0" t="n">
        <f>IF(AND(P141="DIMENSIONES",S141="m²",COUNT(H141:J141)=3),1,0)</f>
        <v>0</v>
      </c>
      <c r="Z141" s="0" t="n">
        <f>IF(IF(ISNUMBER($E$6),AND($E$6&gt;=0,$E$6&lt;=6,$E$6=INT($E$6)),FALSE),IF(SUM(IF(ISNUMBER(F141),IF(ABS(F141-ROUND(F141,$E$6))&gt;0.00000001,1,0),0),IF(ISNUMBER(G141),IF(ABS(G141-ROUND(G141,$E$6))&gt;0.00000001,1,0),0),IF(ISNUMBER(H141),IF(ABS(H141-ROUND(H141,$E$6))&gt;0.00000001,1,0),0),IF(ISNUMBER(I141),IF(ABS(I141-ROUND(I141,$E$6))&gt;0.00000001,1,0),0),IF(ISNUMBER(J141),IF(ABS(J141-ROUND(J141,$E$6))&gt;0.00000001,1,0),0),IF(ISNUMBER(M141),IF(ABS(M141-ROUND(M141,$E$6))&gt;0.00000001,1,0),0))&gt;0,1,0),0)</f>
        <v>0</v>
      </c>
      <c r="AA141" s="0" t="n">
        <f>IF(COUNTA(B141:L141)=0,0,IF(OR(AND(ISNUMBER(F141),F141&lt;0),AND(U141=1,OR(SUM(IF(ISNUMBER(G141),IF(G141=0,1,0),0),IF(ISNUMBER(H141),IF(H141=0,1,0),0),IF(ISNUMBER(I141),IF(I141=0,1,0),0),IF(ISNUMBER(J141),IF(J141=0,1,0),0))&gt;0,COUNTIFS(G141:J141,"&lt;0")&gt;0)),AND(P141="DIMENSIONES",U141=1,OR(AND(S141="m",COUNT(H141:J141)&lt;&gt;1),AND(S141="m²",COUNT(H141:J141)&lt;&gt;2,Y141=0),AND(S141="m³",COUNT(H141:J141)&lt;&gt;3),AND(S141="ud",COUNT(H141:J141)&gt;0))),AND(P141="DIRECTA",OR(S141="m",S141="m²",S141="m³"))),1,0))</f>
        <v>0</v>
      </c>
      <c r="AB141" s="0">
        <f>IF(LEN(TRIM(E141&amp;""))&gt;0,E141,IF(R141&gt;0,INDEX($E$13:$E$512,R141),""))</f>
      </c>
      <c r="AC141" s="0">
        <f>UPPER(SUBSTITUTE(SUBSTITUTE(SUBSTITUTE(SUBSTITUTE(SUBSTITUTE(TRIM(AB141),"²","2"),"³","3"),"^",""),".","")," ",""))</f>
      </c>
    </row>
    <row r="142" ht="35" customHeight="1">
      <c r="B142" s="35"/>
      <c r="C142" s="35"/>
      <c r="D142" s="37"/>
      <c r="E142" s="35"/>
      <c r="F142" s="38"/>
      <c r="G142" s="38"/>
      <c r="H142" s="38"/>
      <c r="I142" s="38"/>
      <c r="J142" s="38"/>
      <c r="K142" s="35"/>
      <c r="L142" s="35"/>
      <c r="M142" s="39">
        <f>IF(U142&lt;&gt;1,"",IF(P142="DIRECTA",G142,IF(ISNUMBER(G142),G142,1)*IF(ISNUMBER(H142),H142,1)*IF(ISNUMBER(I142),I142,1)*IF(ISNUMBER(J142),J142,1)))</f>
      </c>
      <c r="N142" s="30">
        <f>IF(COUNTA(B142:L142)=0,"",IF(X142=0,IF(P142="CABECERA","VERDE · Fila descriptiva; la suma usa las líneas del ID","VERDE · Datos numéricos interpretables"),IF(X142=2,"ROJO · ","ÁMBAR · ")&amp;IF(NOT(IF(ISNUMBER($E$6),AND($E$6&gt;=0,$E$6&lt;=6,$E$6=INT($E$6)),FALSE)),"Indicamos entre 0 y 6 decimales en E6. ","")&amp;IF(O142=0,"Falta un ID numérico. ","")&amp;IF(R142=0,"Faltan capítulo, código, unidad o total numérico del ID. ","")&amp;IF(T142&gt;0,"Los datos o el total del ID se contradicen. ","")&amp;IF(AND(P142&lt;&gt;"DIMENSIONES",P142&lt;&gt;"DIRECTA",P142&lt;&gt;"SIN LÍNEAS",P142&lt;&gt;"CABECERA"),"Tipo de fila no reconocido. ","")&amp;IF(AND(OR(P142="SIN LÍNEAS",P142="CABECERA"),COUNTA(G142:J142)&gt;0),"La fila dice que no mide, pero contiene medidas. ","")&amp;IF(AND(OR(P142="DIRECTA",P142="DIMENSIONES"),U142=0),"Línea incompleta o con medidas no numéricas. ","")&amp;IF(P142="SIN LÍNEAS","No constan medidas de esta fila. ","")&amp;IF(Y142&gt;0,"Parece m³: tres dimensiones bajo m². ","")&amp;IF(AND(AB142&lt;&gt;"",SUMPRODUCT(--('LÉEME'!$B$65:$B$86=AC142))&lt;&gt;1),"Revisamos el significado de la unidad. ","")&amp;IF(Z142&gt;0,"Más precisión que los decimales indicados: cotejamos el original. ","")&amp;IF(AA142&gt;0,"Revisamos dimensiones, cantidad directa, ceros o deducción. ","")))</f>
      </c>
      <c r="O142" s="0" t="n">
        <f>IF(ISNUMBER(K142),IF(AND(K142&gt;0,K142=INT(K142),K142&lt;=999999),K142,0),0)</f>
        <v>0</v>
      </c>
      <c r="P142" s="0">
        <f>IF(COUNTA(B142:L142)=0,"",IF(L142="",IF(COUNTA(G142:J142)&gt;0,"DIMENSIONES","SIN LÍNEAS"),UPPER(TRIM(L142))))</f>
      </c>
      <c r="Q142" s="0">
        <f>IF(AND(O142&gt;0,LEN(TRIM(B142&amp;""))&gt;0,LEN(TRIM(C142&amp;""))&gt;0,LEN(TRIM(E142&amp;""))&gt;0,ISNUMBER(F142)),O142,"")</f>
      </c>
      <c r="R142" s="0" t="n">
        <f>IF(O142=0,0,IF(COUNTIFS($Q$13:$Q$512,O142)&gt;0,MATCH(O142,$Q$13:$Q$512,0),0))</f>
        <v>0</v>
      </c>
      <c r="S142" s="0">
        <f>IF(AB142="","",IF(SUMPRODUCT(--('LÉEME'!$B$65:$B$86=AC142))=1,INDEX('LÉEME'!$C$65:$C$86,MATCH(AC142,'LÉEME'!$B$65:$B$86,0)),UPPER(TRIM(AB142))))</f>
      </c>
      <c r="T142" s="0" t="n">
        <f>IF(R142=0,0,IF(OR(AND(LEN(TRIM(B142&amp;""))&gt;0,UPPER(TRIM(B142&amp;""))&lt;&gt;UPPER(TRIM(INDEX($B$13:$B$512,R142)&amp;""))),AND(LEN(TRIM(C142&amp;""))&gt;0,UPPER(TRIM(C142&amp;""))&lt;&gt;UPPER(TRIM(INDEX($C$13:$C$512,R142)&amp;""))),AND(LEN(TRIM(E142&amp;""))&gt;0,S142&lt;&gt;INDEX($S$13:$S$512,R142)),AND(F142&lt;&gt;"",NOT(ISNUMBER(F142)))),1,IF(ISNUMBER(F142),IF(ABS(F142-INDEX($F$13:$F$512,R142))&gt;0.00000001,1,0),0)))</f>
        <v>0</v>
      </c>
      <c r="U142" s="0" t="n">
        <f>IF(P142="DIRECTA",IF(AND(ISNUMBER(G142),COUNTA(H142:J142)=0),1,0),IF(P142="DIMENSIONES",IF(AND(COUNT(G142:J142)&gt;0,COUNTA(G142:J142)=COUNT(G142:J142)),1,0),0))</f>
        <v>0</v>
      </c>
      <c r="V142" s="0" t="n">
        <f>IF(O142=0,0,IF(COUNTIFS($O$13:O142,O142)=1,1,0))</f>
        <v>0</v>
      </c>
      <c r="W142" s="0">
        <f>IF(V142=1,COUNTIFS($V$13:V142,1),"")</f>
      </c>
      <c r="X142" s="0">
        <f>IF(COUNTA(B142:L142)=0,"",IF(OR(NOT(IF(ISNUMBER($E$6),AND($E$6&gt;=0,$E$6&lt;=6,$E$6=INT($E$6)),FALSE)),O142=0,R142=0,T142&gt;0,AND(P142&lt;&gt;"DIMENSIONES",P142&lt;&gt;"DIRECTA",P142&lt;&gt;"SIN LÍNEAS",P142&lt;&gt;"CABECERA"),AND(OR(P142="DIRECTA",P142="DIMENSIONES"),U142=0),AND(OR(P142="SIN LÍNEAS",P142="CABECERA"),COUNTA(G142:J142)&gt;0)),2,IF(OR(P142="SIN LÍNEAS",Y142&gt;0,Z142&gt;0,AA142&gt;0,SUMPRODUCT(--('LÉEME'!$B$65:$B$86=AC142))&lt;&gt;1),1,0)))</f>
      </c>
      <c r="Y142" s="0" t="n">
        <f>IF(AND(P142="DIMENSIONES",S142="m²",COUNT(H142:J142)=3),1,0)</f>
        <v>0</v>
      </c>
      <c r="Z142" s="0" t="n">
        <f>IF(IF(ISNUMBER($E$6),AND($E$6&gt;=0,$E$6&lt;=6,$E$6=INT($E$6)),FALSE),IF(SUM(IF(ISNUMBER(F142),IF(ABS(F142-ROUND(F142,$E$6))&gt;0.00000001,1,0),0),IF(ISNUMBER(G142),IF(ABS(G142-ROUND(G142,$E$6))&gt;0.00000001,1,0),0),IF(ISNUMBER(H142),IF(ABS(H142-ROUND(H142,$E$6))&gt;0.00000001,1,0),0),IF(ISNUMBER(I142),IF(ABS(I142-ROUND(I142,$E$6))&gt;0.00000001,1,0),0),IF(ISNUMBER(J142),IF(ABS(J142-ROUND(J142,$E$6))&gt;0.00000001,1,0),0),IF(ISNUMBER(M142),IF(ABS(M142-ROUND(M142,$E$6))&gt;0.00000001,1,0),0))&gt;0,1,0),0)</f>
        <v>0</v>
      </c>
      <c r="AA142" s="0" t="n">
        <f>IF(COUNTA(B142:L142)=0,0,IF(OR(AND(ISNUMBER(F142),F142&lt;0),AND(U142=1,OR(SUM(IF(ISNUMBER(G142),IF(G142=0,1,0),0),IF(ISNUMBER(H142),IF(H142=0,1,0),0),IF(ISNUMBER(I142),IF(I142=0,1,0),0),IF(ISNUMBER(J142),IF(J142=0,1,0),0))&gt;0,COUNTIFS(G142:J142,"&lt;0")&gt;0)),AND(P142="DIMENSIONES",U142=1,OR(AND(S142="m",COUNT(H142:J142)&lt;&gt;1),AND(S142="m²",COUNT(H142:J142)&lt;&gt;2,Y142=0),AND(S142="m³",COUNT(H142:J142)&lt;&gt;3),AND(S142="ud",COUNT(H142:J142)&gt;0))),AND(P142="DIRECTA",OR(S142="m",S142="m²",S142="m³"))),1,0))</f>
        <v>0</v>
      </c>
      <c r="AB142" s="0">
        <f>IF(LEN(TRIM(E142&amp;""))&gt;0,E142,IF(R142&gt;0,INDEX($E$13:$E$512,R142),""))</f>
      </c>
      <c r="AC142" s="0">
        <f>UPPER(SUBSTITUTE(SUBSTITUTE(SUBSTITUTE(SUBSTITUTE(SUBSTITUTE(TRIM(AB142),"²","2"),"³","3"),"^",""),".","")," ",""))</f>
      </c>
    </row>
    <row r="143" ht="35" customHeight="1">
      <c r="B143" s="35"/>
      <c r="C143" s="35"/>
      <c r="D143" s="37"/>
      <c r="E143" s="35"/>
      <c r="F143" s="38"/>
      <c r="G143" s="38"/>
      <c r="H143" s="38"/>
      <c r="I143" s="38"/>
      <c r="J143" s="38"/>
      <c r="K143" s="35"/>
      <c r="L143" s="35"/>
      <c r="M143" s="39">
        <f>IF(U143&lt;&gt;1,"",IF(P143="DIRECTA",G143,IF(ISNUMBER(G143),G143,1)*IF(ISNUMBER(H143),H143,1)*IF(ISNUMBER(I143),I143,1)*IF(ISNUMBER(J143),J143,1)))</f>
      </c>
      <c r="N143" s="30">
        <f>IF(COUNTA(B143:L143)=0,"",IF(X143=0,IF(P143="CABECERA","VERDE · Fila descriptiva; la suma usa las líneas del ID","VERDE · Datos numéricos interpretables"),IF(X143=2,"ROJO · ","ÁMBAR · ")&amp;IF(NOT(IF(ISNUMBER($E$6),AND($E$6&gt;=0,$E$6&lt;=6,$E$6=INT($E$6)),FALSE)),"Indicamos entre 0 y 6 decimales en E6. ","")&amp;IF(O143=0,"Falta un ID numérico. ","")&amp;IF(R143=0,"Faltan capítulo, código, unidad o total numérico del ID. ","")&amp;IF(T143&gt;0,"Los datos o el total del ID se contradicen. ","")&amp;IF(AND(P143&lt;&gt;"DIMENSIONES",P143&lt;&gt;"DIRECTA",P143&lt;&gt;"SIN LÍNEAS",P143&lt;&gt;"CABECERA"),"Tipo de fila no reconocido. ","")&amp;IF(AND(OR(P143="SIN LÍNEAS",P143="CABECERA"),COUNTA(G143:J143)&gt;0),"La fila dice que no mide, pero contiene medidas. ","")&amp;IF(AND(OR(P143="DIRECTA",P143="DIMENSIONES"),U143=0),"Línea incompleta o con medidas no numéricas. ","")&amp;IF(P143="SIN LÍNEAS","No constan medidas de esta fila. ","")&amp;IF(Y143&gt;0,"Parece m³: tres dimensiones bajo m². ","")&amp;IF(AND(AB143&lt;&gt;"",SUMPRODUCT(--('LÉEME'!$B$65:$B$86=AC143))&lt;&gt;1),"Revisamos el significado de la unidad. ","")&amp;IF(Z143&gt;0,"Más precisión que los decimales indicados: cotejamos el original. ","")&amp;IF(AA143&gt;0,"Revisamos dimensiones, cantidad directa, ceros o deducción. ","")))</f>
      </c>
      <c r="O143" s="0" t="n">
        <f>IF(ISNUMBER(K143),IF(AND(K143&gt;0,K143=INT(K143),K143&lt;=999999),K143,0),0)</f>
        <v>0</v>
      </c>
      <c r="P143" s="0">
        <f>IF(COUNTA(B143:L143)=0,"",IF(L143="",IF(COUNTA(G143:J143)&gt;0,"DIMENSIONES","SIN LÍNEAS"),UPPER(TRIM(L143))))</f>
      </c>
      <c r="Q143" s="0">
        <f>IF(AND(O143&gt;0,LEN(TRIM(B143&amp;""))&gt;0,LEN(TRIM(C143&amp;""))&gt;0,LEN(TRIM(E143&amp;""))&gt;0,ISNUMBER(F143)),O143,"")</f>
      </c>
      <c r="R143" s="0" t="n">
        <f>IF(O143=0,0,IF(COUNTIFS($Q$13:$Q$512,O143)&gt;0,MATCH(O143,$Q$13:$Q$512,0),0))</f>
        <v>0</v>
      </c>
      <c r="S143" s="0">
        <f>IF(AB143="","",IF(SUMPRODUCT(--('LÉEME'!$B$65:$B$86=AC143))=1,INDEX('LÉEME'!$C$65:$C$86,MATCH(AC143,'LÉEME'!$B$65:$B$86,0)),UPPER(TRIM(AB143))))</f>
      </c>
      <c r="T143" s="0" t="n">
        <f>IF(R143=0,0,IF(OR(AND(LEN(TRIM(B143&amp;""))&gt;0,UPPER(TRIM(B143&amp;""))&lt;&gt;UPPER(TRIM(INDEX($B$13:$B$512,R143)&amp;""))),AND(LEN(TRIM(C143&amp;""))&gt;0,UPPER(TRIM(C143&amp;""))&lt;&gt;UPPER(TRIM(INDEX($C$13:$C$512,R143)&amp;""))),AND(LEN(TRIM(E143&amp;""))&gt;0,S143&lt;&gt;INDEX($S$13:$S$512,R143)),AND(F143&lt;&gt;"",NOT(ISNUMBER(F143)))),1,IF(ISNUMBER(F143),IF(ABS(F143-INDEX($F$13:$F$512,R143))&gt;0.00000001,1,0),0)))</f>
        <v>0</v>
      </c>
      <c r="U143" s="0" t="n">
        <f>IF(P143="DIRECTA",IF(AND(ISNUMBER(G143),COUNTA(H143:J143)=0),1,0),IF(P143="DIMENSIONES",IF(AND(COUNT(G143:J143)&gt;0,COUNTA(G143:J143)=COUNT(G143:J143)),1,0),0))</f>
        <v>0</v>
      </c>
      <c r="V143" s="0" t="n">
        <f>IF(O143=0,0,IF(COUNTIFS($O$13:O143,O143)=1,1,0))</f>
        <v>0</v>
      </c>
      <c r="W143" s="0">
        <f>IF(V143=1,COUNTIFS($V$13:V143,1),"")</f>
      </c>
      <c r="X143" s="0">
        <f>IF(COUNTA(B143:L143)=0,"",IF(OR(NOT(IF(ISNUMBER($E$6),AND($E$6&gt;=0,$E$6&lt;=6,$E$6=INT($E$6)),FALSE)),O143=0,R143=0,T143&gt;0,AND(P143&lt;&gt;"DIMENSIONES",P143&lt;&gt;"DIRECTA",P143&lt;&gt;"SIN LÍNEAS",P143&lt;&gt;"CABECERA"),AND(OR(P143="DIRECTA",P143="DIMENSIONES"),U143=0),AND(OR(P143="SIN LÍNEAS",P143="CABECERA"),COUNTA(G143:J143)&gt;0)),2,IF(OR(P143="SIN LÍNEAS",Y143&gt;0,Z143&gt;0,AA143&gt;0,SUMPRODUCT(--('LÉEME'!$B$65:$B$86=AC143))&lt;&gt;1),1,0)))</f>
      </c>
      <c r="Y143" s="0" t="n">
        <f>IF(AND(P143="DIMENSIONES",S143="m²",COUNT(H143:J143)=3),1,0)</f>
        <v>0</v>
      </c>
      <c r="Z143" s="0" t="n">
        <f>IF(IF(ISNUMBER($E$6),AND($E$6&gt;=0,$E$6&lt;=6,$E$6=INT($E$6)),FALSE),IF(SUM(IF(ISNUMBER(F143),IF(ABS(F143-ROUND(F143,$E$6))&gt;0.00000001,1,0),0),IF(ISNUMBER(G143),IF(ABS(G143-ROUND(G143,$E$6))&gt;0.00000001,1,0),0),IF(ISNUMBER(H143),IF(ABS(H143-ROUND(H143,$E$6))&gt;0.00000001,1,0),0),IF(ISNUMBER(I143),IF(ABS(I143-ROUND(I143,$E$6))&gt;0.00000001,1,0),0),IF(ISNUMBER(J143),IF(ABS(J143-ROUND(J143,$E$6))&gt;0.00000001,1,0),0),IF(ISNUMBER(M143),IF(ABS(M143-ROUND(M143,$E$6))&gt;0.00000001,1,0),0))&gt;0,1,0),0)</f>
        <v>0</v>
      </c>
      <c r="AA143" s="0" t="n">
        <f>IF(COUNTA(B143:L143)=0,0,IF(OR(AND(ISNUMBER(F143),F143&lt;0),AND(U143=1,OR(SUM(IF(ISNUMBER(G143),IF(G143=0,1,0),0),IF(ISNUMBER(H143),IF(H143=0,1,0),0),IF(ISNUMBER(I143),IF(I143=0,1,0),0),IF(ISNUMBER(J143),IF(J143=0,1,0),0))&gt;0,COUNTIFS(G143:J143,"&lt;0")&gt;0)),AND(P143="DIMENSIONES",U143=1,OR(AND(S143="m",COUNT(H143:J143)&lt;&gt;1),AND(S143="m²",COUNT(H143:J143)&lt;&gt;2,Y143=0),AND(S143="m³",COUNT(H143:J143)&lt;&gt;3),AND(S143="ud",COUNT(H143:J143)&gt;0))),AND(P143="DIRECTA",OR(S143="m",S143="m²",S143="m³"))),1,0))</f>
        <v>0</v>
      </c>
      <c r="AB143" s="0">
        <f>IF(LEN(TRIM(E143&amp;""))&gt;0,E143,IF(R143&gt;0,INDEX($E$13:$E$512,R143),""))</f>
      </c>
      <c r="AC143" s="0">
        <f>UPPER(SUBSTITUTE(SUBSTITUTE(SUBSTITUTE(SUBSTITUTE(SUBSTITUTE(TRIM(AB143),"²","2"),"³","3"),"^",""),".","")," ",""))</f>
      </c>
    </row>
    <row r="144" ht="35" customHeight="1">
      <c r="B144" s="35"/>
      <c r="C144" s="35"/>
      <c r="D144" s="37"/>
      <c r="E144" s="35"/>
      <c r="F144" s="38"/>
      <c r="G144" s="38"/>
      <c r="H144" s="38"/>
      <c r="I144" s="38"/>
      <c r="J144" s="38"/>
      <c r="K144" s="35"/>
      <c r="L144" s="35"/>
      <c r="M144" s="39">
        <f>IF(U144&lt;&gt;1,"",IF(P144="DIRECTA",G144,IF(ISNUMBER(G144),G144,1)*IF(ISNUMBER(H144),H144,1)*IF(ISNUMBER(I144),I144,1)*IF(ISNUMBER(J144),J144,1)))</f>
      </c>
      <c r="N144" s="30">
        <f>IF(COUNTA(B144:L144)=0,"",IF(X144=0,IF(P144="CABECERA","VERDE · Fila descriptiva; la suma usa las líneas del ID","VERDE · Datos numéricos interpretables"),IF(X144=2,"ROJO · ","ÁMBAR · ")&amp;IF(NOT(IF(ISNUMBER($E$6),AND($E$6&gt;=0,$E$6&lt;=6,$E$6=INT($E$6)),FALSE)),"Indicamos entre 0 y 6 decimales en E6. ","")&amp;IF(O144=0,"Falta un ID numérico. ","")&amp;IF(R144=0,"Faltan capítulo, código, unidad o total numérico del ID. ","")&amp;IF(T144&gt;0,"Los datos o el total del ID se contradicen. ","")&amp;IF(AND(P144&lt;&gt;"DIMENSIONES",P144&lt;&gt;"DIRECTA",P144&lt;&gt;"SIN LÍNEAS",P144&lt;&gt;"CABECERA"),"Tipo de fila no reconocido. ","")&amp;IF(AND(OR(P144="SIN LÍNEAS",P144="CABECERA"),COUNTA(G144:J144)&gt;0),"La fila dice que no mide, pero contiene medidas. ","")&amp;IF(AND(OR(P144="DIRECTA",P144="DIMENSIONES"),U144=0),"Línea incompleta o con medidas no numéricas. ","")&amp;IF(P144="SIN LÍNEAS","No constan medidas de esta fila. ","")&amp;IF(Y144&gt;0,"Parece m³: tres dimensiones bajo m². ","")&amp;IF(AND(AB144&lt;&gt;"",SUMPRODUCT(--('LÉEME'!$B$65:$B$86=AC144))&lt;&gt;1),"Revisamos el significado de la unidad. ","")&amp;IF(Z144&gt;0,"Más precisión que los decimales indicados: cotejamos el original. ","")&amp;IF(AA144&gt;0,"Revisamos dimensiones, cantidad directa, ceros o deducción. ","")))</f>
      </c>
      <c r="O144" s="0" t="n">
        <f>IF(ISNUMBER(K144),IF(AND(K144&gt;0,K144=INT(K144),K144&lt;=999999),K144,0),0)</f>
        <v>0</v>
      </c>
      <c r="P144" s="0">
        <f>IF(COUNTA(B144:L144)=0,"",IF(L144="",IF(COUNTA(G144:J144)&gt;0,"DIMENSIONES","SIN LÍNEAS"),UPPER(TRIM(L144))))</f>
      </c>
      <c r="Q144" s="0">
        <f>IF(AND(O144&gt;0,LEN(TRIM(B144&amp;""))&gt;0,LEN(TRIM(C144&amp;""))&gt;0,LEN(TRIM(E144&amp;""))&gt;0,ISNUMBER(F144)),O144,"")</f>
      </c>
      <c r="R144" s="0" t="n">
        <f>IF(O144=0,0,IF(COUNTIFS($Q$13:$Q$512,O144)&gt;0,MATCH(O144,$Q$13:$Q$512,0),0))</f>
        <v>0</v>
      </c>
      <c r="S144" s="0">
        <f>IF(AB144="","",IF(SUMPRODUCT(--('LÉEME'!$B$65:$B$86=AC144))=1,INDEX('LÉEME'!$C$65:$C$86,MATCH(AC144,'LÉEME'!$B$65:$B$86,0)),UPPER(TRIM(AB144))))</f>
      </c>
      <c r="T144" s="0" t="n">
        <f>IF(R144=0,0,IF(OR(AND(LEN(TRIM(B144&amp;""))&gt;0,UPPER(TRIM(B144&amp;""))&lt;&gt;UPPER(TRIM(INDEX($B$13:$B$512,R144)&amp;""))),AND(LEN(TRIM(C144&amp;""))&gt;0,UPPER(TRIM(C144&amp;""))&lt;&gt;UPPER(TRIM(INDEX($C$13:$C$512,R144)&amp;""))),AND(LEN(TRIM(E144&amp;""))&gt;0,S144&lt;&gt;INDEX($S$13:$S$512,R144)),AND(F144&lt;&gt;"",NOT(ISNUMBER(F144)))),1,IF(ISNUMBER(F144),IF(ABS(F144-INDEX($F$13:$F$512,R144))&gt;0.00000001,1,0),0)))</f>
        <v>0</v>
      </c>
      <c r="U144" s="0" t="n">
        <f>IF(P144="DIRECTA",IF(AND(ISNUMBER(G144),COUNTA(H144:J144)=0),1,0),IF(P144="DIMENSIONES",IF(AND(COUNT(G144:J144)&gt;0,COUNTA(G144:J144)=COUNT(G144:J144)),1,0),0))</f>
        <v>0</v>
      </c>
      <c r="V144" s="0" t="n">
        <f>IF(O144=0,0,IF(COUNTIFS($O$13:O144,O144)=1,1,0))</f>
        <v>0</v>
      </c>
      <c r="W144" s="0">
        <f>IF(V144=1,COUNTIFS($V$13:V144,1),"")</f>
      </c>
      <c r="X144" s="0">
        <f>IF(COUNTA(B144:L144)=0,"",IF(OR(NOT(IF(ISNUMBER($E$6),AND($E$6&gt;=0,$E$6&lt;=6,$E$6=INT($E$6)),FALSE)),O144=0,R144=0,T144&gt;0,AND(P144&lt;&gt;"DIMENSIONES",P144&lt;&gt;"DIRECTA",P144&lt;&gt;"SIN LÍNEAS",P144&lt;&gt;"CABECERA"),AND(OR(P144="DIRECTA",P144="DIMENSIONES"),U144=0),AND(OR(P144="SIN LÍNEAS",P144="CABECERA"),COUNTA(G144:J144)&gt;0)),2,IF(OR(P144="SIN LÍNEAS",Y144&gt;0,Z144&gt;0,AA144&gt;0,SUMPRODUCT(--('LÉEME'!$B$65:$B$86=AC144))&lt;&gt;1),1,0)))</f>
      </c>
      <c r="Y144" s="0" t="n">
        <f>IF(AND(P144="DIMENSIONES",S144="m²",COUNT(H144:J144)=3),1,0)</f>
        <v>0</v>
      </c>
      <c r="Z144" s="0" t="n">
        <f>IF(IF(ISNUMBER($E$6),AND($E$6&gt;=0,$E$6&lt;=6,$E$6=INT($E$6)),FALSE),IF(SUM(IF(ISNUMBER(F144),IF(ABS(F144-ROUND(F144,$E$6))&gt;0.00000001,1,0),0),IF(ISNUMBER(G144),IF(ABS(G144-ROUND(G144,$E$6))&gt;0.00000001,1,0),0),IF(ISNUMBER(H144),IF(ABS(H144-ROUND(H144,$E$6))&gt;0.00000001,1,0),0),IF(ISNUMBER(I144),IF(ABS(I144-ROUND(I144,$E$6))&gt;0.00000001,1,0),0),IF(ISNUMBER(J144),IF(ABS(J144-ROUND(J144,$E$6))&gt;0.00000001,1,0),0),IF(ISNUMBER(M144),IF(ABS(M144-ROUND(M144,$E$6))&gt;0.00000001,1,0),0))&gt;0,1,0),0)</f>
        <v>0</v>
      </c>
      <c r="AA144" s="0" t="n">
        <f>IF(COUNTA(B144:L144)=0,0,IF(OR(AND(ISNUMBER(F144),F144&lt;0),AND(U144=1,OR(SUM(IF(ISNUMBER(G144),IF(G144=0,1,0),0),IF(ISNUMBER(H144),IF(H144=0,1,0),0),IF(ISNUMBER(I144),IF(I144=0,1,0),0),IF(ISNUMBER(J144),IF(J144=0,1,0),0))&gt;0,COUNTIFS(G144:J144,"&lt;0")&gt;0)),AND(P144="DIMENSIONES",U144=1,OR(AND(S144="m",COUNT(H144:J144)&lt;&gt;1),AND(S144="m²",COUNT(H144:J144)&lt;&gt;2,Y144=0),AND(S144="m³",COUNT(H144:J144)&lt;&gt;3),AND(S144="ud",COUNT(H144:J144)&gt;0))),AND(P144="DIRECTA",OR(S144="m",S144="m²",S144="m³"))),1,0))</f>
        <v>0</v>
      </c>
      <c r="AB144" s="0">
        <f>IF(LEN(TRIM(E144&amp;""))&gt;0,E144,IF(R144&gt;0,INDEX($E$13:$E$512,R144),""))</f>
      </c>
      <c r="AC144" s="0">
        <f>UPPER(SUBSTITUTE(SUBSTITUTE(SUBSTITUTE(SUBSTITUTE(SUBSTITUTE(TRIM(AB144),"²","2"),"³","3"),"^",""),".","")," ",""))</f>
      </c>
    </row>
    <row r="145" ht="35" customHeight="1">
      <c r="B145" s="35"/>
      <c r="C145" s="35"/>
      <c r="D145" s="37"/>
      <c r="E145" s="35"/>
      <c r="F145" s="38"/>
      <c r="G145" s="38"/>
      <c r="H145" s="38"/>
      <c r="I145" s="38"/>
      <c r="J145" s="38"/>
      <c r="K145" s="35"/>
      <c r="L145" s="35"/>
      <c r="M145" s="39">
        <f>IF(U145&lt;&gt;1,"",IF(P145="DIRECTA",G145,IF(ISNUMBER(G145),G145,1)*IF(ISNUMBER(H145),H145,1)*IF(ISNUMBER(I145),I145,1)*IF(ISNUMBER(J145),J145,1)))</f>
      </c>
      <c r="N145" s="30">
        <f>IF(COUNTA(B145:L145)=0,"",IF(X145=0,IF(P145="CABECERA","VERDE · Fila descriptiva; la suma usa las líneas del ID","VERDE · Datos numéricos interpretables"),IF(X145=2,"ROJO · ","ÁMBAR · ")&amp;IF(NOT(IF(ISNUMBER($E$6),AND($E$6&gt;=0,$E$6&lt;=6,$E$6=INT($E$6)),FALSE)),"Indicamos entre 0 y 6 decimales en E6. ","")&amp;IF(O145=0,"Falta un ID numérico. ","")&amp;IF(R145=0,"Faltan capítulo, código, unidad o total numérico del ID. ","")&amp;IF(T145&gt;0,"Los datos o el total del ID se contradicen. ","")&amp;IF(AND(P145&lt;&gt;"DIMENSIONES",P145&lt;&gt;"DIRECTA",P145&lt;&gt;"SIN LÍNEAS",P145&lt;&gt;"CABECERA"),"Tipo de fila no reconocido. ","")&amp;IF(AND(OR(P145="SIN LÍNEAS",P145="CABECERA"),COUNTA(G145:J145)&gt;0),"La fila dice que no mide, pero contiene medidas. ","")&amp;IF(AND(OR(P145="DIRECTA",P145="DIMENSIONES"),U145=0),"Línea incompleta o con medidas no numéricas. ","")&amp;IF(P145="SIN LÍNEAS","No constan medidas de esta fila. ","")&amp;IF(Y145&gt;0,"Parece m³: tres dimensiones bajo m². ","")&amp;IF(AND(AB145&lt;&gt;"",SUMPRODUCT(--('LÉEME'!$B$65:$B$86=AC145))&lt;&gt;1),"Revisamos el significado de la unidad. ","")&amp;IF(Z145&gt;0,"Más precisión que los decimales indicados: cotejamos el original. ","")&amp;IF(AA145&gt;0,"Revisamos dimensiones, cantidad directa, ceros o deducción. ","")))</f>
      </c>
      <c r="O145" s="0" t="n">
        <f>IF(ISNUMBER(K145),IF(AND(K145&gt;0,K145=INT(K145),K145&lt;=999999),K145,0),0)</f>
        <v>0</v>
      </c>
      <c r="P145" s="0">
        <f>IF(COUNTA(B145:L145)=0,"",IF(L145="",IF(COUNTA(G145:J145)&gt;0,"DIMENSIONES","SIN LÍNEAS"),UPPER(TRIM(L145))))</f>
      </c>
      <c r="Q145" s="0">
        <f>IF(AND(O145&gt;0,LEN(TRIM(B145&amp;""))&gt;0,LEN(TRIM(C145&amp;""))&gt;0,LEN(TRIM(E145&amp;""))&gt;0,ISNUMBER(F145)),O145,"")</f>
      </c>
      <c r="R145" s="0" t="n">
        <f>IF(O145=0,0,IF(COUNTIFS($Q$13:$Q$512,O145)&gt;0,MATCH(O145,$Q$13:$Q$512,0),0))</f>
        <v>0</v>
      </c>
      <c r="S145" s="0">
        <f>IF(AB145="","",IF(SUMPRODUCT(--('LÉEME'!$B$65:$B$86=AC145))=1,INDEX('LÉEME'!$C$65:$C$86,MATCH(AC145,'LÉEME'!$B$65:$B$86,0)),UPPER(TRIM(AB145))))</f>
      </c>
      <c r="T145" s="0" t="n">
        <f>IF(R145=0,0,IF(OR(AND(LEN(TRIM(B145&amp;""))&gt;0,UPPER(TRIM(B145&amp;""))&lt;&gt;UPPER(TRIM(INDEX($B$13:$B$512,R145)&amp;""))),AND(LEN(TRIM(C145&amp;""))&gt;0,UPPER(TRIM(C145&amp;""))&lt;&gt;UPPER(TRIM(INDEX($C$13:$C$512,R145)&amp;""))),AND(LEN(TRIM(E145&amp;""))&gt;0,S145&lt;&gt;INDEX($S$13:$S$512,R145)),AND(F145&lt;&gt;"",NOT(ISNUMBER(F145)))),1,IF(ISNUMBER(F145),IF(ABS(F145-INDEX($F$13:$F$512,R145))&gt;0.00000001,1,0),0)))</f>
        <v>0</v>
      </c>
      <c r="U145" s="0" t="n">
        <f>IF(P145="DIRECTA",IF(AND(ISNUMBER(G145),COUNTA(H145:J145)=0),1,0),IF(P145="DIMENSIONES",IF(AND(COUNT(G145:J145)&gt;0,COUNTA(G145:J145)=COUNT(G145:J145)),1,0),0))</f>
        <v>0</v>
      </c>
      <c r="V145" s="0" t="n">
        <f>IF(O145=0,0,IF(COUNTIFS($O$13:O145,O145)=1,1,0))</f>
        <v>0</v>
      </c>
      <c r="W145" s="0">
        <f>IF(V145=1,COUNTIFS($V$13:V145,1),"")</f>
      </c>
      <c r="X145" s="0">
        <f>IF(COUNTA(B145:L145)=0,"",IF(OR(NOT(IF(ISNUMBER($E$6),AND($E$6&gt;=0,$E$6&lt;=6,$E$6=INT($E$6)),FALSE)),O145=0,R145=0,T145&gt;0,AND(P145&lt;&gt;"DIMENSIONES",P145&lt;&gt;"DIRECTA",P145&lt;&gt;"SIN LÍNEAS",P145&lt;&gt;"CABECERA"),AND(OR(P145="DIRECTA",P145="DIMENSIONES"),U145=0),AND(OR(P145="SIN LÍNEAS",P145="CABECERA"),COUNTA(G145:J145)&gt;0)),2,IF(OR(P145="SIN LÍNEAS",Y145&gt;0,Z145&gt;0,AA145&gt;0,SUMPRODUCT(--('LÉEME'!$B$65:$B$86=AC145))&lt;&gt;1),1,0)))</f>
      </c>
      <c r="Y145" s="0" t="n">
        <f>IF(AND(P145="DIMENSIONES",S145="m²",COUNT(H145:J145)=3),1,0)</f>
        <v>0</v>
      </c>
      <c r="Z145" s="0" t="n">
        <f>IF(IF(ISNUMBER($E$6),AND($E$6&gt;=0,$E$6&lt;=6,$E$6=INT($E$6)),FALSE),IF(SUM(IF(ISNUMBER(F145),IF(ABS(F145-ROUND(F145,$E$6))&gt;0.00000001,1,0),0),IF(ISNUMBER(G145),IF(ABS(G145-ROUND(G145,$E$6))&gt;0.00000001,1,0),0),IF(ISNUMBER(H145),IF(ABS(H145-ROUND(H145,$E$6))&gt;0.00000001,1,0),0),IF(ISNUMBER(I145),IF(ABS(I145-ROUND(I145,$E$6))&gt;0.00000001,1,0),0),IF(ISNUMBER(J145),IF(ABS(J145-ROUND(J145,$E$6))&gt;0.00000001,1,0),0),IF(ISNUMBER(M145),IF(ABS(M145-ROUND(M145,$E$6))&gt;0.00000001,1,0),0))&gt;0,1,0),0)</f>
        <v>0</v>
      </c>
      <c r="AA145" s="0" t="n">
        <f>IF(COUNTA(B145:L145)=0,0,IF(OR(AND(ISNUMBER(F145),F145&lt;0),AND(U145=1,OR(SUM(IF(ISNUMBER(G145),IF(G145=0,1,0),0),IF(ISNUMBER(H145),IF(H145=0,1,0),0),IF(ISNUMBER(I145),IF(I145=0,1,0),0),IF(ISNUMBER(J145),IF(J145=0,1,0),0))&gt;0,COUNTIFS(G145:J145,"&lt;0")&gt;0)),AND(P145="DIMENSIONES",U145=1,OR(AND(S145="m",COUNT(H145:J145)&lt;&gt;1),AND(S145="m²",COUNT(H145:J145)&lt;&gt;2,Y145=0),AND(S145="m³",COUNT(H145:J145)&lt;&gt;3),AND(S145="ud",COUNT(H145:J145)&gt;0))),AND(P145="DIRECTA",OR(S145="m",S145="m²",S145="m³"))),1,0))</f>
        <v>0</v>
      </c>
      <c r="AB145" s="0">
        <f>IF(LEN(TRIM(E145&amp;""))&gt;0,E145,IF(R145&gt;0,INDEX($E$13:$E$512,R145),""))</f>
      </c>
      <c r="AC145" s="0">
        <f>UPPER(SUBSTITUTE(SUBSTITUTE(SUBSTITUTE(SUBSTITUTE(SUBSTITUTE(TRIM(AB145),"²","2"),"³","3"),"^",""),".","")," ",""))</f>
      </c>
    </row>
    <row r="146" ht="35" customHeight="1">
      <c r="B146" s="35"/>
      <c r="C146" s="35"/>
      <c r="D146" s="37"/>
      <c r="E146" s="35"/>
      <c r="F146" s="38"/>
      <c r="G146" s="38"/>
      <c r="H146" s="38"/>
      <c r="I146" s="38"/>
      <c r="J146" s="38"/>
      <c r="K146" s="35"/>
      <c r="L146" s="35"/>
      <c r="M146" s="39">
        <f>IF(U146&lt;&gt;1,"",IF(P146="DIRECTA",G146,IF(ISNUMBER(G146),G146,1)*IF(ISNUMBER(H146),H146,1)*IF(ISNUMBER(I146),I146,1)*IF(ISNUMBER(J146),J146,1)))</f>
      </c>
      <c r="N146" s="30">
        <f>IF(COUNTA(B146:L146)=0,"",IF(X146=0,IF(P146="CABECERA","VERDE · Fila descriptiva; la suma usa las líneas del ID","VERDE · Datos numéricos interpretables"),IF(X146=2,"ROJO · ","ÁMBAR · ")&amp;IF(NOT(IF(ISNUMBER($E$6),AND($E$6&gt;=0,$E$6&lt;=6,$E$6=INT($E$6)),FALSE)),"Indicamos entre 0 y 6 decimales en E6. ","")&amp;IF(O146=0,"Falta un ID numérico. ","")&amp;IF(R146=0,"Faltan capítulo, código, unidad o total numérico del ID. ","")&amp;IF(T146&gt;0,"Los datos o el total del ID se contradicen. ","")&amp;IF(AND(P146&lt;&gt;"DIMENSIONES",P146&lt;&gt;"DIRECTA",P146&lt;&gt;"SIN LÍNEAS",P146&lt;&gt;"CABECERA"),"Tipo de fila no reconocido. ","")&amp;IF(AND(OR(P146="SIN LÍNEAS",P146="CABECERA"),COUNTA(G146:J146)&gt;0),"La fila dice que no mide, pero contiene medidas. ","")&amp;IF(AND(OR(P146="DIRECTA",P146="DIMENSIONES"),U146=0),"Línea incompleta o con medidas no numéricas. ","")&amp;IF(P146="SIN LÍNEAS","No constan medidas de esta fila. ","")&amp;IF(Y146&gt;0,"Parece m³: tres dimensiones bajo m². ","")&amp;IF(AND(AB146&lt;&gt;"",SUMPRODUCT(--('LÉEME'!$B$65:$B$86=AC146))&lt;&gt;1),"Revisamos el significado de la unidad. ","")&amp;IF(Z146&gt;0,"Más precisión que los decimales indicados: cotejamos el original. ","")&amp;IF(AA146&gt;0,"Revisamos dimensiones, cantidad directa, ceros o deducción. ","")))</f>
      </c>
      <c r="O146" s="0" t="n">
        <f>IF(ISNUMBER(K146),IF(AND(K146&gt;0,K146=INT(K146),K146&lt;=999999),K146,0),0)</f>
        <v>0</v>
      </c>
      <c r="P146" s="0">
        <f>IF(COUNTA(B146:L146)=0,"",IF(L146="",IF(COUNTA(G146:J146)&gt;0,"DIMENSIONES","SIN LÍNEAS"),UPPER(TRIM(L146))))</f>
      </c>
      <c r="Q146" s="0">
        <f>IF(AND(O146&gt;0,LEN(TRIM(B146&amp;""))&gt;0,LEN(TRIM(C146&amp;""))&gt;0,LEN(TRIM(E146&amp;""))&gt;0,ISNUMBER(F146)),O146,"")</f>
      </c>
      <c r="R146" s="0" t="n">
        <f>IF(O146=0,0,IF(COUNTIFS($Q$13:$Q$512,O146)&gt;0,MATCH(O146,$Q$13:$Q$512,0),0))</f>
        <v>0</v>
      </c>
      <c r="S146" s="0">
        <f>IF(AB146="","",IF(SUMPRODUCT(--('LÉEME'!$B$65:$B$86=AC146))=1,INDEX('LÉEME'!$C$65:$C$86,MATCH(AC146,'LÉEME'!$B$65:$B$86,0)),UPPER(TRIM(AB146))))</f>
      </c>
      <c r="T146" s="0" t="n">
        <f>IF(R146=0,0,IF(OR(AND(LEN(TRIM(B146&amp;""))&gt;0,UPPER(TRIM(B146&amp;""))&lt;&gt;UPPER(TRIM(INDEX($B$13:$B$512,R146)&amp;""))),AND(LEN(TRIM(C146&amp;""))&gt;0,UPPER(TRIM(C146&amp;""))&lt;&gt;UPPER(TRIM(INDEX($C$13:$C$512,R146)&amp;""))),AND(LEN(TRIM(E146&amp;""))&gt;0,S146&lt;&gt;INDEX($S$13:$S$512,R146)),AND(F146&lt;&gt;"",NOT(ISNUMBER(F146)))),1,IF(ISNUMBER(F146),IF(ABS(F146-INDEX($F$13:$F$512,R146))&gt;0.00000001,1,0),0)))</f>
        <v>0</v>
      </c>
      <c r="U146" s="0" t="n">
        <f>IF(P146="DIRECTA",IF(AND(ISNUMBER(G146),COUNTA(H146:J146)=0),1,0),IF(P146="DIMENSIONES",IF(AND(COUNT(G146:J146)&gt;0,COUNTA(G146:J146)=COUNT(G146:J146)),1,0),0))</f>
        <v>0</v>
      </c>
      <c r="V146" s="0" t="n">
        <f>IF(O146=0,0,IF(COUNTIFS($O$13:O146,O146)=1,1,0))</f>
        <v>0</v>
      </c>
      <c r="W146" s="0">
        <f>IF(V146=1,COUNTIFS($V$13:V146,1),"")</f>
      </c>
      <c r="X146" s="0">
        <f>IF(COUNTA(B146:L146)=0,"",IF(OR(NOT(IF(ISNUMBER($E$6),AND($E$6&gt;=0,$E$6&lt;=6,$E$6=INT($E$6)),FALSE)),O146=0,R146=0,T146&gt;0,AND(P146&lt;&gt;"DIMENSIONES",P146&lt;&gt;"DIRECTA",P146&lt;&gt;"SIN LÍNEAS",P146&lt;&gt;"CABECERA"),AND(OR(P146="DIRECTA",P146="DIMENSIONES"),U146=0),AND(OR(P146="SIN LÍNEAS",P146="CABECERA"),COUNTA(G146:J146)&gt;0)),2,IF(OR(P146="SIN LÍNEAS",Y146&gt;0,Z146&gt;0,AA146&gt;0,SUMPRODUCT(--('LÉEME'!$B$65:$B$86=AC146))&lt;&gt;1),1,0)))</f>
      </c>
      <c r="Y146" s="0" t="n">
        <f>IF(AND(P146="DIMENSIONES",S146="m²",COUNT(H146:J146)=3),1,0)</f>
        <v>0</v>
      </c>
      <c r="Z146" s="0" t="n">
        <f>IF(IF(ISNUMBER($E$6),AND($E$6&gt;=0,$E$6&lt;=6,$E$6=INT($E$6)),FALSE),IF(SUM(IF(ISNUMBER(F146),IF(ABS(F146-ROUND(F146,$E$6))&gt;0.00000001,1,0),0),IF(ISNUMBER(G146),IF(ABS(G146-ROUND(G146,$E$6))&gt;0.00000001,1,0),0),IF(ISNUMBER(H146),IF(ABS(H146-ROUND(H146,$E$6))&gt;0.00000001,1,0),0),IF(ISNUMBER(I146),IF(ABS(I146-ROUND(I146,$E$6))&gt;0.00000001,1,0),0),IF(ISNUMBER(J146),IF(ABS(J146-ROUND(J146,$E$6))&gt;0.00000001,1,0),0),IF(ISNUMBER(M146),IF(ABS(M146-ROUND(M146,$E$6))&gt;0.00000001,1,0),0))&gt;0,1,0),0)</f>
        <v>0</v>
      </c>
      <c r="AA146" s="0" t="n">
        <f>IF(COUNTA(B146:L146)=0,0,IF(OR(AND(ISNUMBER(F146),F146&lt;0),AND(U146=1,OR(SUM(IF(ISNUMBER(G146),IF(G146=0,1,0),0),IF(ISNUMBER(H146),IF(H146=0,1,0),0),IF(ISNUMBER(I146),IF(I146=0,1,0),0),IF(ISNUMBER(J146),IF(J146=0,1,0),0))&gt;0,COUNTIFS(G146:J146,"&lt;0")&gt;0)),AND(P146="DIMENSIONES",U146=1,OR(AND(S146="m",COUNT(H146:J146)&lt;&gt;1),AND(S146="m²",COUNT(H146:J146)&lt;&gt;2,Y146=0),AND(S146="m³",COUNT(H146:J146)&lt;&gt;3),AND(S146="ud",COUNT(H146:J146)&gt;0))),AND(P146="DIRECTA",OR(S146="m",S146="m²",S146="m³"))),1,0))</f>
        <v>0</v>
      </c>
      <c r="AB146" s="0">
        <f>IF(LEN(TRIM(E146&amp;""))&gt;0,E146,IF(R146&gt;0,INDEX($E$13:$E$512,R146),""))</f>
      </c>
      <c r="AC146" s="0">
        <f>UPPER(SUBSTITUTE(SUBSTITUTE(SUBSTITUTE(SUBSTITUTE(SUBSTITUTE(TRIM(AB146),"²","2"),"³","3"),"^",""),".","")," ",""))</f>
      </c>
    </row>
    <row r="147" ht="35" customHeight="1">
      <c r="B147" s="35"/>
      <c r="C147" s="35"/>
      <c r="D147" s="37"/>
      <c r="E147" s="35"/>
      <c r="F147" s="38"/>
      <c r="G147" s="38"/>
      <c r="H147" s="38"/>
      <c r="I147" s="38"/>
      <c r="J147" s="38"/>
      <c r="K147" s="35"/>
      <c r="L147" s="35"/>
      <c r="M147" s="39">
        <f>IF(U147&lt;&gt;1,"",IF(P147="DIRECTA",G147,IF(ISNUMBER(G147),G147,1)*IF(ISNUMBER(H147),H147,1)*IF(ISNUMBER(I147),I147,1)*IF(ISNUMBER(J147),J147,1)))</f>
      </c>
      <c r="N147" s="30">
        <f>IF(COUNTA(B147:L147)=0,"",IF(X147=0,IF(P147="CABECERA","VERDE · Fila descriptiva; la suma usa las líneas del ID","VERDE · Datos numéricos interpretables"),IF(X147=2,"ROJO · ","ÁMBAR · ")&amp;IF(NOT(IF(ISNUMBER($E$6),AND($E$6&gt;=0,$E$6&lt;=6,$E$6=INT($E$6)),FALSE)),"Indicamos entre 0 y 6 decimales en E6. ","")&amp;IF(O147=0,"Falta un ID numérico. ","")&amp;IF(R147=0,"Faltan capítulo, código, unidad o total numérico del ID. ","")&amp;IF(T147&gt;0,"Los datos o el total del ID se contradicen. ","")&amp;IF(AND(P147&lt;&gt;"DIMENSIONES",P147&lt;&gt;"DIRECTA",P147&lt;&gt;"SIN LÍNEAS",P147&lt;&gt;"CABECERA"),"Tipo de fila no reconocido. ","")&amp;IF(AND(OR(P147="SIN LÍNEAS",P147="CABECERA"),COUNTA(G147:J147)&gt;0),"La fila dice que no mide, pero contiene medidas. ","")&amp;IF(AND(OR(P147="DIRECTA",P147="DIMENSIONES"),U147=0),"Línea incompleta o con medidas no numéricas. ","")&amp;IF(P147="SIN LÍNEAS","No constan medidas de esta fila. ","")&amp;IF(Y147&gt;0,"Parece m³: tres dimensiones bajo m². ","")&amp;IF(AND(AB147&lt;&gt;"",SUMPRODUCT(--('LÉEME'!$B$65:$B$86=AC147))&lt;&gt;1),"Revisamos el significado de la unidad. ","")&amp;IF(Z147&gt;0,"Más precisión que los decimales indicados: cotejamos el original. ","")&amp;IF(AA147&gt;0,"Revisamos dimensiones, cantidad directa, ceros o deducción. ","")))</f>
      </c>
      <c r="O147" s="0" t="n">
        <f>IF(ISNUMBER(K147),IF(AND(K147&gt;0,K147=INT(K147),K147&lt;=999999),K147,0),0)</f>
        <v>0</v>
      </c>
      <c r="P147" s="0">
        <f>IF(COUNTA(B147:L147)=0,"",IF(L147="",IF(COUNTA(G147:J147)&gt;0,"DIMENSIONES","SIN LÍNEAS"),UPPER(TRIM(L147))))</f>
      </c>
      <c r="Q147" s="0">
        <f>IF(AND(O147&gt;0,LEN(TRIM(B147&amp;""))&gt;0,LEN(TRIM(C147&amp;""))&gt;0,LEN(TRIM(E147&amp;""))&gt;0,ISNUMBER(F147)),O147,"")</f>
      </c>
      <c r="R147" s="0" t="n">
        <f>IF(O147=0,0,IF(COUNTIFS($Q$13:$Q$512,O147)&gt;0,MATCH(O147,$Q$13:$Q$512,0),0))</f>
        <v>0</v>
      </c>
      <c r="S147" s="0">
        <f>IF(AB147="","",IF(SUMPRODUCT(--('LÉEME'!$B$65:$B$86=AC147))=1,INDEX('LÉEME'!$C$65:$C$86,MATCH(AC147,'LÉEME'!$B$65:$B$86,0)),UPPER(TRIM(AB147))))</f>
      </c>
      <c r="T147" s="0" t="n">
        <f>IF(R147=0,0,IF(OR(AND(LEN(TRIM(B147&amp;""))&gt;0,UPPER(TRIM(B147&amp;""))&lt;&gt;UPPER(TRIM(INDEX($B$13:$B$512,R147)&amp;""))),AND(LEN(TRIM(C147&amp;""))&gt;0,UPPER(TRIM(C147&amp;""))&lt;&gt;UPPER(TRIM(INDEX($C$13:$C$512,R147)&amp;""))),AND(LEN(TRIM(E147&amp;""))&gt;0,S147&lt;&gt;INDEX($S$13:$S$512,R147)),AND(F147&lt;&gt;"",NOT(ISNUMBER(F147)))),1,IF(ISNUMBER(F147),IF(ABS(F147-INDEX($F$13:$F$512,R147))&gt;0.00000001,1,0),0)))</f>
        <v>0</v>
      </c>
      <c r="U147" s="0" t="n">
        <f>IF(P147="DIRECTA",IF(AND(ISNUMBER(G147),COUNTA(H147:J147)=0),1,0),IF(P147="DIMENSIONES",IF(AND(COUNT(G147:J147)&gt;0,COUNTA(G147:J147)=COUNT(G147:J147)),1,0),0))</f>
        <v>0</v>
      </c>
      <c r="V147" s="0" t="n">
        <f>IF(O147=0,0,IF(COUNTIFS($O$13:O147,O147)=1,1,0))</f>
        <v>0</v>
      </c>
      <c r="W147" s="0">
        <f>IF(V147=1,COUNTIFS($V$13:V147,1),"")</f>
      </c>
      <c r="X147" s="0">
        <f>IF(COUNTA(B147:L147)=0,"",IF(OR(NOT(IF(ISNUMBER($E$6),AND($E$6&gt;=0,$E$6&lt;=6,$E$6=INT($E$6)),FALSE)),O147=0,R147=0,T147&gt;0,AND(P147&lt;&gt;"DIMENSIONES",P147&lt;&gt;"DIRECTA",P147&lt;&gt;"SIN LÍNEAS",P147&lt;&gt;"CABECERA"),AND(OR(P147="DIRECTA",P147="DIMENSIONES"),U147=0),AND(OR(P147="SIN LÍNEAS",P147="CABECERA"),COUNTA(G147:J147)&gt;0)),2,IF(OR(P147="SIN LÍNEAS",Y147&gt;0,Z147&gt;0,AA147&gt;0,SUMPRODUCT(--('LÉEME'!$B$65:$B$86=AC147))&lt;&gt;1),1,0)))</f>
      </c>
      <c r="Y147" s="0" t="n">
        <f>IF(AND(P147="DIMENSIONES",S147="m²",COUNT(H147:J147)=3),1,0)</f>
        <v>0</v>
      </c>
      <c r="Z147" s="0" t="n">
        <f>IF(IF(ISNUMBER($E$6),AND($E$6&gt;=0,$E$6&lt;=6,$E$6=INT($E$6)),FALSE),IF(SUM(IF(ISNUMBER(F147),IF(ABS(F147-ROUND(F147,$E$6))&gt;0.00000001,1,0),0),IF(ISNUMBER(G147),IF(ABS(G147-ROUND(G147,$E$6))&gt;0.00000001,1,0),0),IF(ISNUMBER(H147),IF(ABS(H147-ROUND(H147,$E$6))&gt;0.00000001,1,0),0),IF(ISNUMBER(I147),IF(ABS(I147-ROUND(I147,$E$6))&gt;0.00000001,1,0),0),IF(ISNUMBER(J147),IF(ABS(J147-ROUND(J147,$E$6))&gt;0.00000001,1,0),0),IF(ISNUMBER(M147),IF(ABS(M147-ROUND(M147,$E$6))&gt;0.00000001,1,0),0))&gt;0,1,0),0)</f>
        <v>0</v>
      </c>
      <c r="AA147" s="0" t="n">
        <f>IF(COUNTA(B147:L147)=0,0,IF(OR(AND(ISNUMBER(F147),F147&lt;0),AND(U147=1,OR(SUM(IF(ISNUMBER(G147),IF(G147=0,1,0),0),IF(ISNUMBER(H147),IF(H147=0,1,0),0),IF(ISNUMBER(I147),IF(I147=0,1,0),0),IF(ISNUMBER(J147),IF(J147=0,1,0),0))&gt;0,COUNTIFS(G147:J147,"&lt;0")&gt;0)),AND(P147="DIMENSIONES",U147=1,OR(AND(S147="m",COUNT(H147:J147)&lt;&gt;1),AND(S147="m²",COUNT(H147:J147)&lt;&gt;2,Y147=0),AND(S147="m³",COUNT(H147:J147)&lt;&gt;3),AND(S147="ud",COUNT(H147:J147)&gt;0))),AND(P147="DIRECTA",OR(S147="m",S147="m²",S147="m³"))),1,0))</f>
        <v>0</v>
      </c>
      <c r="AB147" s="0">
        <f>IF(LEN(TRIM(E147&amp;""))&gt;0,E147,IF(R147&gt;0,INDEX($E$13:$E$512,R147),""))</f>
      </c>
      <c r="AC147" s="0">
        <f>UPPER(SUBSTITUTE(SUBSTITUTE(SUBSTITUTE(SUBSTITUTE(SUBSTITUTE(TRIM(AB147),"²","2"),"³","3"),"^",""),".","")," ",""))</f>
      </c>
    </row>
    <row r="148" ht="35" customHeight="1">
      <c r="B148" s="35"/>
      <c r="C148" s="35"/>
      <c r="D148" s="37"/>
      <c r="E148" s="35"/>
      <c r="F148" s="38"/>
      <c r="G148" s="38"/>
      <c r="H148" s="38"/>
      <c r="I148" s="38"/>
      <c r="J148" s="38"/>
      <c r="K148" s="35"/>
      <c r="L148" s="35"/>
      <c r="M148" s="39">
        <f>IF(U148&lt;&gt;1,"",IF(P148="DIRECTA",G148,IF(ISNUMBER(G148),G148,1)*IF(ISNUMBER(H148),H148,1)*IF(ISNUMBER(I148),I148,1)*IF(ISNUMBER(J148),J148,1)))</f>
      </c>
      <c r="N148" s="30">
        <f>IF(COUNTA(B148:L148)=0,"",IF(X148=0,IF(P148="CABECERA","VERDE · Fila descriptiva; la suma usa las líneas del ID","VERDE · Datos numéricos interpretables"),IF(X148=2,"ROJO · ","ÁMBAR · ")&amp;IF(NOT(IF(ISNUMBER($E$6),AND($E$6&gt;=0,$E$6&lt;=6,$E$6=INT($E$6)),FALSE)),"Indicamos entre 0 y 6 decimales en E6. ","")&amp;IF(O148=0,"Falta un ID numérico. ","")&amp;IF(R148=0,"Faltan capítulo, código, unidad o total numérico del ID. ","")&amp;IF(T148&gt;0,"Los datos o el total del ID se contradicen. ","")&amp;IF(AND(P148&lt;&gt;"DIMENSIONES",P148&lt;&gt;"DIRECTA",P148&lt;&gt;"SIN LÍNEAS",P148&lt;&gt;"CABECERA"),"Tipo de fila no reconocido. ","")&amp;IF(AND(OR(P148="SIN LÍNEAS",P148="CABECERA"),COUNTA(G148:J148)&gt;0),"La fila dice que no mide, pero contiene medidas. ","")&amp;IF(AND(OR(P148="DIRECTA",P148="DIMENSIONES"),U148=0),"Línea incompleta o con medidas no numéricas. ","")&amp;IF(P148="SIN LÍNEAS","No constan medidas de esta fila. ","")&amp;IF(Y148&gt;0,"Parece m³: tres dimensiones bajo m². ","")&amp;IF(AND(AB148&lt;&gt;"",SUMPRODUCT(--('LÉEME'!$B$65:$B$86=AC148))&lt;&gt;1),"Revisamos el significado de la unidad. ","")&amp;IF(Z148&gt;0,"Más precisión que los decimales indicados: cotejamos el original. ","")&amp;IF(AA148&gt;0,"Revisamos dimensiones, cantidad directa, ceros o deducción. ","")))</f>
      </c>
      <c r="O148" s="0" t="n">
        <f>IF(ISNUMBER(K148),IF(AND(K148&gt;0,K148=INT(K148),K148&lt;=999999),K148,0),0)</f>
        <v>0</v>
      </c>
      <c r="P148" s="0">
        <f>IF(COUNTA(B148:L148)=0,"",IF(L148="",IF(COUNTA(G148:J148)&gt;0,"DIMENSIONES","SIN LÍNEAS"),UPPER(TRIM(L148))))</f>
      </c>
      <c r="Q148" s="0">
        <f>IF(AND(O148&gt;0,LEN(TRIM(B148&amp;""))&gt;0,LEN(TRIM(C148&amp;""))&gt;0,LEN(TRIM(E148&amp;""))&gt;0,ISNUMBER(F148)),O148,"")</f>
      </c>
      <c r="R148" s="0" t="n">
        <f>IF(O148=0,0,IF(COUNTIFS($Q$13:$Q$512,O148)&gt;0,MATCH(O148,$Q$13:$Q$512,0),0))</f>
        <v>0</v>
      </c>
      <c r="S148" s="0">
        <f>IF(AB148="","",IF(SUMPRODUCT(--('LÉEME'!$B$65:$B$86=AC148))=1,INDEX('LÉEME'!$C$65:$C$86,MATCH(AC148,'LÉEME'!$B$65:$B$86,0)),UPPER(TRIM(AB148))))</f>
      </c>
      <c r="T148" s="0" t="n">
        <f>IF(R148=0,0,IF(OR(AND(LEN(TRIM(B148&amp;""))&gt;0,UPPER(TRIM(B148&amp;""))&lt;&gt;UPPER(TRIM(INDEX($B$13:$B$512,R148)&amp;""))),AND(LEN(TRIM(C148&amp;""))&gt;0,UPPER(TRIM(C148&amp;""))&lt;&gt;UPPER(TRIM(INDEX($C$13:$C$512,R148)&amp;""))),AND(LEN(TRIM(E148&amp;""))&gt;0,S148&lt;&gt;INDEX($S$13:$S$512,R148)),AND(F148&lt;&gt;"",NOT(ISNUMBER(F148)))),1,IF(ISNUMBER(F148),IF(ABS(F148-INDEX($F$13:$F$512,R148))&gt;0.00000001,1,0),0)))</f>
        <v>0</v>
      </c>
      <c r="U148" s="0" t="n">
        <f>IF(P148="DIRECTA",IF(AND(ISNUMBER(G148),COUNTA(H148:J148)=0),1,0),IF(P148="DIMENSIONES",IF(AND(COUNT(G148:J148)&gt;0,COUNTA(G148:J148)=COUNT(G148:J148)),1,0),0))</f>
        <v>0</v>
      </c>
      <c r="V148" s="0" t="n">
        <f>IF(O148=0,0,IF(COUNTIFS($O$13:O148,O148)=1,1,0))</f>
        <v>0</v>
      </c>
      <c r="W148" s="0">
        <f>IF(V148=1,COUNTIFS($V$13:V148,1),"")</f>
      </c>
      <c r="X148" s="0">
        <f>IF(COUNTA(B148:L148)=0,"",IF(OR(NOT(IF(ISNUMBER($E$6),AND($E$6&gt;=0,$E$6&lt;=6,$E$6=INT($E$6)),FALSE)),O148=0,R148=0,T148&gt;0,AND(P148&lt;&gt;"DIMENSIONES",P148&lt;&gt;"DIRECTA",P148&lt;&gt;"SIN LÍNEAS",P148&lt;&gt;"CABECERA"),AND(OR(P148="DIRECTA",P148="DIMENSIONES"),U148=0),AND(OR(P148="SIN LÍNEAS",P148="CABECERA"),COUNTA(G148:J148)&gt;0)),2,IF(OR(P148="SIN LÍNEAS",Y148&gt;0,Z148&gt;0,AA148&gt;0,SUMPRODUCT(--('LÉEME'!$B$65:$B$86=AC148))&lt;&gt;1),1,0)))</f>
      </c>
      <c r="Y148" s="0" t="n">
        <f>IF(AND(P148="DIMENSIONES",S148="m²",COUNT(H148:J148)=3),1,0)</f>
        <v>0</v>
      </c>
      <c r="Z148" s="0" t="n">
        <f>IF(IF(ISNUMBER($E$6),AND($E$6&gt;=0,$E$6&lt;=6,$E$6=INT($E$6)),FALSE),IF(SUM(IF(ISNUMBER(F148),IF(ABS(F148-ROUND(F148,$E$6))&gt;0.00000001,1,0),0),IF(ISNUMBER(G148),IF(ABS(G148-ROUND(G148,$E$6))&gt;0.00000001,1,0),0),IF(ISNUMBER(H148),IF(ABS(H148-ROUND(H148,$E$6))&gt;0.00000001,1,0),0),IF(ISNUMBER(I148),IF(ABS(I148-ROUND(I148,$E$6))&gt;0.00000001,1,0),0),IF(ISNUMBER(J148),IF(ABS(J148-ROUND(J148,$E$6))&gt;0.00000001,1,0),0),IF(ISNUMBER(M148),IF(ABS(M148-ROUND(M148,$E$6))&gt;0.00000001,1,0),0))&gt;0,1,0),0)</f>
        <v>0</v>
      </c>
      <c r="AA148" s="0" t="n">
        <f>IF(COUNTA(B148:L148)=0,0,IF(OR(AND(ISNUMBER(F148),F148&lt;0),AND(U148=1,OR(SUM(IF(ISNUMBER(G148),IF(G148=0,1,0),0),IF(ISNUMBER(H148),IF(H148=0,1,0),0),IF(ISNUMBER(I148),IF(I148=0,1,0),0),IF(ISNUMBER(J148),IF(J148=0,1,0),0))&gt;0,COUNTIFS(G148:J148,"&lt;0")&gt;0)),AND(P148="DIMENSIONES",U148=1,OR(AND(S148="m",COUNT(H148:J148)&lt;&gt;1),AND(S148="m²",COUNT(H148:J148)&lt;&gt;2,Y148=0),AND(S148="m³",COUNT(H148:J148)&lt;&gt;3),AND(S148="ud",COUNT(H148:J148)&gt;0))),AND(P148="DIRECTA",OR(S148="m",S148="m²",S148="m³"))),1,0))</f>
        <v>0</v>
      </c>
      <c r="AB148" s="0">
        <f>IF(LEN(TRIM(E148&amp;""))&gt;0,E148,IF(R148&gt;0,INDEX($E$13:$E$512,R148),""))</f>
      </c>
      <c r="AC148" s="0">
        <f>UPPER(SUBSTITUTE(SUBSTITUTE(SUBSTITUTE(SUBSTITUTE(SUBSTITUTE(TRIM(AB148),"²","2"),"³","3"),"^",""),".","")," ",""))</f>
      </c>
    </row>
    <row r="149" ht="35" customHeight="1">
      <c r="B149" s="35"/>
      <c r="C149" s="35"/>
      <c r="D149" s="37"/>
      <c r="E149" s="35"/>
      <c r="F149" s="38"/>
      <c r="G149" s="38"/>
      <c r="H149" s="38"/>
      <c r="I149" s="38"/>
      <c r="J149" s="38"/>
      <c r="K149" s="35"/>
      <c r="L149" s="35"/>
      <c r="M149" s="39">
        <f>IF(U149&lt;&gt;1,"",IF(P149="DIRECTA",G149,IF(ISNUMBER(G149),G149,1)*IF(ISNUMBER(H149),H149,1)*IF(ISNUMBER(I149),I149,1)*IF(ISNUMBER(J149),J149,1)))</f>
      </c>
      <c r="N149" s="30">
        <f>IF(COUNTA(B149:L149)=0,"",IF(X149=0,IF(P149="CABECERA","VERDE · Fila descriptiva; la suma usa las líneas del ID","VERDE · Datos numéricos interpretables"),IF(X149=2,"ROJO · ","ÁMBAR · ")&amp;IF(NOT(IF(ISNUMBER($E$6),AND($E$6&gt;=0,$E$6&lt;=6,$E$6=INT($E$6)),FALSE)),"Indicamos entre 0 y 6 decimales en E6. ","")&amp;IF(O149=0,"Falta un ID numérico. ","")&amp;IF(R149=0,"Faltan capítulo, código, unidad o total numérico del ID. ","")&amp;IF(T149&gt;0,"Los datos o el total del ID se contradicen. ","")&amp;IF(AND(P149&lt;&gt;"DIMENSIONES",P149&lt;&gt;"DIRECTA",P149&lt;&gt;"SIN LÍNEAS",P149&lt;&gt;"CABECERA"),"Tipo de fila no reconocido. ","")&amp;IF(AND(OR(P149="SIN LÍNEAS",P149="CABECERA"),COUNTA(G149:J149)&gt;0),"La fila dice que no mide, pero contiene medidas. ","")&amp;IF(AND(OR(P149="DIRECTA",P149="DIMENSIONES"),U149=0),"Línea incompleta o con medidas no numéricas. ","")&amp;IF(P149="SIN LÍNEAS","No constan medidas de esta fila. ","")&amp;IF(Y149&gt;0,"Parece m³: tres dimensiones bajo m². ","")&amp;IF(AND(AB149&lt;&gt;"",SUMPRODUCT(--('LÉEME'!$B$65:$B$86=AC149))&lt;&gt;1),"Revisamos el significado de la unidad. ","")&amp;IF(Z149&gt;0,"Más precisión que los decimales indicados: cotejamos el original. ","")&amp;IF(AA149&gt;0,"Revisamos dimensiones, cantidad directa, ceros o deducción. ","")))</f>
      </c>
      <c r="O149" s="0" t="n">
        <f>IF(ISNUMBER(K149),IF(AND(K149&gt;0,K149=INT(K149),K149&lt;=999999),K149,0),0)</f>
        <v>0</v>
      </c>
      <c r="P149" s="0">
        <f>IF(COUNTA(B149:L149)=0,"",IF(L149="",IF(COUNTA(G149:J149)&gt;0,"DIMENSIONES","SIN LÍNEAS"),UPPER(TRIM(L149))))</f>
      </c>
      <c r="Q149" s="0">
        <f>IF(AND(O149&gt;0,LEN(TRIM(B149&amp;""))&gt;0,LEN(TRIM(C149&amp;""))&gt;0,LEN(TRIM(E149&amp;""))&gt;0,ISNUMBER(F149)),O149,"")</f>
      </c>
      <c r="R149" s="0" t="n">
        <f>IF(O149=0,0,IF(COUNTIFS($Q$13:$Q$512,O149)&gt;0,MATCH(O149,$Q$13:$Q$512,0),0))</f>
        <v>0</v>
      </c>
      <c r="S149" s="0">
        <f>IF(AB149="","",IF(SUMPRODUCT(--('LÉEME'!$B$65:$B$86=AC149))=1,INDEX('LÉEME'!$C$65:$C$86,MATCH(AC149,'LÉEME'!$B$65:$B$86,0)),UPPER(TRIM(AB149))))</f>
      </c>
      <c r="T149" s="0" t="n">
        <f>IF(R149=0,0,IF(OR(AND(LEN(TRIM(B149&amp;""))&gt;0,UPPER(TRIM(B149&amp;""))&lt;&gt;UPPER(TRIM(INDEX($B$13:$B$512,R149)&amp;""))),AND(LEN(TRIM(C149&amp;""))&gt;0,UPPER(TRIM(C149&amp;""))&lt;&gt;UPPER(TRIM(INDEX($C$13:$C$512,R149)&amp;""))),AND(LEN(TRIM(E149&amp;""))&gt;0,S149&lt;&gt;INDEX($S$13:$S$512,R149)),AND(F149&lt;&gt;"",NOT(ISNUMBER(F149)))),1,IF(ISNUMBER(F149),IF(ABS(F149-INDEX($F$13:$F$512,R149))&gt;0.00000001,1,0),0)))</f>
        <v>0</v>
      </c>
      <c r="U149" s="0" t="n">
        <f>IF(P149="DIRECTA",IF(AND(ISNUMBER(G149),COUNTA(H149:J149)=0),1,0),IF(P149="DIMENSIONES",IF(AND(COUNT(G149:J149)&gt;0,COUNTA(G149:J149)=COUNT(G149:J149)),1,0),0))</f>
        <v>0</v>
      </c>
      <c r="V149" s="0" t="n">
        <f>IF(O149=0,0,IF(COUNTIFS($O$13:O149,O149)=1,1,0))</f>
        <v>0</v>
      </c>
      <c r="W149" s="0">
        <f>IF(V149=1,COUNTIFS($V$13:V149,1),"")</f>
      </c>
      <c r="X149" s="0">
        <f>IF(COUNTA(B149:L149)=0,"",IF(OR(NOT(IF(ISNUMBER($E$6),AND($E$6&gt;=0,$E$6&lt;=6,$E$6=INT($E$6)),FALSE)),O149=0,R149=0,T149&gt;0,AND(P149&lt;&gt;"DIMENSIONES",P149&lt;&gt;"DIRECTA",P149&lt;&gt;"SIN LÍNEAS",P149&lt;&gt;"CABECERA"),AND(OR(P149="DIRECTA",P149="DIMENSIONES"),U149=0),AND(OR(P149="SIN LÍNEAS",P149="CABECERA"),COUNTA(G149:J149)&gt;0)),2,IF(OR(P149="SIN LÍNEAS",Y149&gt;0,Z149&gt;0,AA149&gt;0,SUMPRODUCT(--('LÉEME'!$B$65:$B$86=AC149))&lt;&gt;1),1,0)))</f>
      </c>
      <c r="Y149" s="0" t="n">
        <f>IF(AND(P149="DIMENSIONES",S149="m²",COUNT(H149:J149)=3),1,0)</f>
        <v>0</v>
      </c>
      <c r="Z149" s="0" t="n">
        <f>IF(IF(ISNUMBER($E$6),AND($E$6&gt;=0,$E$6&lt;=6,$E$6=INT($E$6)),FALSE),IF(SUM(IF(ISNUMBER(F149),IF(ABS(F149-ROUND(F149,$E$6))&gt;0.00000001,1,0),0),IF(ISNUMBER(G149),IF(ABS(G149-ROUND(G149,$E$6))&gt;0.00000001,1,0),0),IF(ISNUMBER(H149),IF(ABS(H149-ROUND(H149,$E$6))&gt;0.00000001,1,0),0),IF(ISNUMBER(I149),IF(ABS(I149-ROUND(I149,$E$6))&gt;0.00000001,1,0),0),IF(ISNUMBER(J149),IF(ABS(J149-ROUND(J149,$E$6))&gt;0.00000001,1,0),0),IF(ISNUMBER(M149),IF(ABS(M149-ROUND(M149,$E$6))&gt;0.00000001,1,0),0))&gt;0,1,0),0)</f>
        <v>0</v>
      </c>
      <c r="AA149" s="0" t="n">
        <f>IF(COUNTA(B149:L149)=0,0,IF(OR(AND(ISNUMBER(F149),F149&lt;0),AND(U149=1,OR(SUM(IF(ISNUMBER(G149),IF(G149=0,1,0),0),IF(ISNUMBER(H149),IF(H149=0,1,0),0),IF(ISNUMBER(I149),IF(I149=0,1,0),0),IF(ISNUMBER(J149),IF(J149=0,1,0),0))&gt;0,COUNTIFS(G149:J149,"&lt;0")&gt;0)),AND(P149="DIMENSIONES",U149=1,OR(AND(S149="m",COUNT(H149:J149)&lt;&gt;1),AND(S149="m²",COUNT(H149:J149)&lt;&gt;2,Y149=0),AND(S149="m³",COUNT(H149:J149)&lt;&gt;3),AND(S149="ud",COUNT(H149:J149)&gt;0))),AND(P149="DIRECTA",OR(S149="m",S149="m²",S149="m³"))),1,0))</f>
        <v>0</v>
      </c>
      <c r="AB149" s="0">
        <f>IF(LEN(TRIM(E149&amp;""))&gt;0,E149,IF(R149&gt;0,INDEX($E$13:$E$512,R149),""))</f>
      </c>
      <c r="AC149" s="0">
        <f>UPPER(SUBSTITUTE(SUBSTITUTE(SUBSTITUTE(SUBSTITUTE(SUBSTITUTE(TRIM(AB149),"²","2"),"³","3"),"^",""),".","")," ",""))</f>
      </c>
    </row>
    <row r="150" ht="35" customHeight="1">
      <c r="B150" s="35"/>
      <c r="C150" s="35"/>
      <c r="D150" s="37"/>
      <c r="E150" s="35"/>
      <c r="F150" s="38"/>
      <c r="G150" s="38"/>
      <c r="H150" s="38"/>
      <c r="I150" s="38"/>
      <c r="J150" s="38"/>
      <c r="K150" s="35"/>
      <c r="L150" s="35"/>
      <c r="M150" s="39">
        <f>IF(U150&lt;&gt;1,"",IF(P150="DIRECTA",G150,IF(ISNUMBER(G150),G150,1)*IF(ISNUMBER(H150),H150,1)*IF(ISNUMBER(I150),I150,1)*IF(ISNUMBER(J150),J150,1)))</f>
      </c>
      <c r="N150" s="30">
        <f>IF(COUNTA(B150:L150)=0,"",IF(X150=0,IF(P150="CABECERA","VERDE · Fila descriptiva; la suma usa las líneas del ID","VERDE · Datos numéricos interpretables"),IF(X150=2,"ROJO · ","ÁMBAR · ")&amp;IF(NOT(IF(ISNUMBER($E$6),AND($E$6&gt;=0,$E$6&lt;=6,$E$6=INT($E$6)),FALSE)),"Indicamos entre 0 y 6 decimales en E6. ","")&amp;IF(O150=0,"Falta un ID numérico. ","")&amp;IF(R150=0,"Faltan capítulo, código, unidad o total numérico del ID. ","")&amp;IF(T150&gt;0,"Los datos o el total del ID se contradicen. ","")&amp;IF(AND(P150&lt;&gt;"DIMENSIONES",P150&lt;&gt;"DIRECTA",P150&lt;&gt;"SIN LÍNEAS",P150&lt;&gt;"CABECERA"),"Tipo de fila no reconocido. ","")&amp;IF(AND(OR(P150="SIN LÍNEAS",P150="CABECERA"),COUNTA(G150:J150)&gt;0),"La fila dice que no mide, pero contiene medidas. ","")&amp;IF(AND(OR(P150="DIRECTA",P150="DIMENSIONES"),U150=0),"Línea incompleta o con medidas no numéricas. ","")&amp;IF(P150="SIN LÍNEAS","No constan medidas de esta fila. ","")&amp;IF(Y150&gt;0,"Parece m³: tres dimensiones bajo m². ","")&amp;IF(AND(AB150&lt;&gt;"",SUMPRODUCT(--('LÉEME'!$B$65:$B$86=AC150))&lt;&gt;1),"Revisamos el significado de la unidad. ","")&amp;IF(Z150&gt;0,"Más precisión que los decimales indicados: cotejamos el original. ","")&amp;IF(AA150&gt;0,"Revisamos dimensiones, cantidad directa, ceros o deducción. ","")))</f>
      </c>
      <c r="O150" s="0" t="n">
        <f>IF(ISNUMBER(K150),IF(AND(K150&gt;0,K150=INT(K150),K150&lt;=999999),K150,0),0)</f>
        <v>0</v>
      </c>
      <c r="P150" s="0">
        <f>IF(COUNTA(B150:L150)=0,"",IF(L150="",IF(COUNTA(G150:J150)&gt;0,"DIMENSIONES","SIN LÍNEAS"),UPPER(TRIM(L150))))</f>
      </c>
      <c r="Q150" s="0">
        <f>IF(AND(O150&gt;0,LEN(TRIM(B150&amp;""))&gt;0,LEN(TRIM(C150&amp;""))&gt;0,LEN(TRIM(E150&amp;""))&gt;0,ISNUMBER(F150)),O150,"")</f>
      </c>
      <c r="R150" s="0" t="n">
        <f>IF(O150=0,0,IF(COUNTIFS($Q$13:$Q$512,O150)&gt;0,MATCH(O150,$Q$13:$Q$512,0),0))</f>
        <v>0</v>
      </c>
      <c r="S150" s="0">
        <f>IF(AB150="","",IF(SUMPRODUCT(--('LÉEME'!$B$65:$B$86=AC150))=1,INDEX('LÉEME'!$C$65:$C$86,MATCH(AC150,'LÉEME'!$B$65:$B$86,0)),UPPER(TRIM(AB150))))</f>
      </c>
      <c r="T150" s="0" t="n">
        <f>IF(R150=0,0,IF(OR(AND(LEN(TRIM(B150&amp;""))&gt;0,UPPER(TRIM(B150&amp;""))&lt;&gt;UPPER(TRIM(INDEX($B$13:$B$512,R150)&amp;""))),AND(LEN(TRIM(C150&amp;""))&gt;0,UPPER(TRIM(C150&amp;""))&lt;&gt;UPPER(TRIM(INDEX($C$13:$C$512,R150)&amp;""))),AND(LEN(TRIM(E150&amp;""))&gt;0,S150&lt;&gt;INDEX($S$13:$S$512,R150)),AND(F150&lt;&gt;"",NOT(ISNUMBER(F150)))),1,IF(ISNUMBER(F150),IF(ABS(F150-INDEX($F$13:$F$512,R150))&gt;0.00000001,1,0),0)))</f>
        <v>0</v>
      </c>
      <c r="U150" s="0" t="n">
        <f>IF(P150="DIRECTA",IF(AND(ISNUMBER(G150),COUNTA(H150:J150)=0),1,0),IF(P150="DIMENSIONES",IF(AND(COUNT(G150:J150)&gt;0,COUNTA(G150:J150)=COUNT(G150:J150)),1,0),0))</f>
        <v>0</v>
      </c>
      <c r="V150" s="0" t="n">
        <f>IF(O150=0,0,IF(COUNTIFS($O$13:O150,O150)=1,1,0))</f>
        <v>0</v>
      </c>
      <c r="W150" s="0">
        <f>IF(V150=1,COUNTIFS($V$13:V150,1),"")</f>
      </c>
      <c r="X150" s="0">
        <f>IF(COUNTA(B150:L150)=0,"",IF(OR(NOT(IF(ISNUMBER($E$6),AND($E$6&gt;=0,$E$6&lt;=6,$E$6=INT($E$6)),FALSE)),O150=0,R150=0,T150&gt;0,AND(P150&lt;&gt;"DIMENSIONES",P150&lt;&gt;"DIRECTA",P150&lt;&gt;"SIN LÍNEAS",P150&lt;&gt;"CABECERA"),AND(OR(P150="DIRECTA",P150="DIMENSIONES"),U150=0),AND(OR(P150="SIN LÍNEAS",P150="CABECERA"),COUNTA(G150:J150)&gt;0)),2,IF(OR(P150="SIN LÍNEAS",Y150&gt;0,Z150&gt;0,AA150&gt;0,SUMPRODUCT(--('LÉEME'!$B$65:$B$86=AC150))&lt;&gt;1),1,0)))</f>
      </c>
      <c r="Y150" s="0" t="n">
        <f>IF(AND(P150="DIMENSIONES",S150="m²",COUNT(H150:J150)=3),1,0)</f>
        <v>0</v>
      </c>
      <c r="Z150" s="0" t="n">
        <f>IF(IF(ISNUMBER($E$6),AND($E$6&gt;=0,$E$6&lt;=6,$E$6=INT($E$6)),FALSE),IF(SUM(IF(ISNUMBER(F150),IF(ABS(F150-ROUND(F150,$E$6))&gt;0.00000001,1,0),0),IF(ISNUMBER(G150),IF(ABS(G150-ROUND(G150,$E$6))&gt;0.00000001,1,0),0),IF(ISNUMBER(H150),IF(ABS(H150-ROUND(H150,$E$6))&gt;0.00000001,1,0),0),IF(ISNUMBER(I150),IF(ABS(I150-ROUND(I150,$E$6))&gt;0.00000001,1,0),0),IF(ISNUMBER(J150),IF(ABS(J150-ROUND(J150,$E$6))&gt;0.00000001,1,0),0),IF(ISNUMBER(M150),IF(ABS(M150-ROUND(M150,$E$6))&gt;0.00000001,1,0),0))&gt;0,1,0),0)</f>
        <v>0</v>
      </c>
      <c r="AA150" s="0" t="n">
        <f>IF(COUNTA(B150:L150)=0,0,IF(OR(AND(ISNUMBER(F150),F150&lt;0),AND(U150=1,OR(SUM(IF(ISNUMBER(G150),IF(G150=0,1,0),0),IF(ISNUMBER(H150),IF(H150=0,1,0),0),IF(ISNUMBER(I150),IF(I150=0,1,0),0),IF(ISNUMBER(J150),IF(J150=0,1,0),0))&gt;0,COUNTIFS(G150:J150,"&lt;0")&gt;0)),AND(P150="DIMENSIONES",U150=1,OR(AND(S150="m",COUNT(H150:J150)&lt;&gt;1),AND(S150="m²",COUNT(H150:J150)&lt;&gt;2,Y150=0),AND(S150="m³",COUNT(H150:J150)&lt;&gt;3),AND(S150="ud",COUNT(H150:J150)&gt;0))),AND(P150="DIRECTA",OR(S150="m",S150="m²",S150="m³"))),1,0))</f>
        <v>0</v>
      </c>
      <c r="AB150" s="0">
        <f>IF(LEN(TRIM(E150&amp;""))&gt;0,E150,IF(R150&gt;0,INDEX($E$13:$E$512,R150),""))</f>
      </c>
      <c r="AC150" s="0">
        <f>UPPER(SUBSTITUTE(SUBSTITUTE(SUBSTITUTE(SUBSTITUTE(SUBSTITUTE(TRIM(AB150),"²","2"),"³","3"),"^",""),".","")," ",""))</f>
      </c>
    </row>
    <row r="151" ht="35" customHeight="1">
      <c r="B151" s="35"/>
      <c r="C151" s="35"/>
      <c r="D151" s="37"/>
      <c r="E151" s="35"/>
      <c r="F151" s="38"/>
      <c r="G151" s="38"/>
      <c r="H151" s="38"/>
      <c r="I151" s="38"/>
      <c r="J151" s="38"/>
      <c r="K151" s="35"/>
      <c r="L151" s="35"/>
      <c r="M151" s="39">
        <f>IF(U151&lt;&gt;1,"",IF(P151="DIRECTA",G151,IF(ISNUMBER(G151),G151,1)*IF(ISNUMBER(H151),H151,1)*IF(ISNUMBER(I151),I151,1)*IF(ISNUMBER(J151),J151,1)))</f>
      </c>
      <c r="N151" s="30">
        <f>IF(COUNTA(B151:L151)=0,"",IF(X151=0,IF(P151="CABECERA","VERDE · Fila descriptiva; la suma usa las líneas del ID","VERDE · Datos numéricos interpretables"),IF(X151=2,"ROJO · ","ÁMBAR · ")&amp;IF(NOT(IF(ISNUMBER($E$6),AND($E$6&gt;=0,$E$6&lt;=6,$E$6=INT($E$6)),FALSE)),"Indicamos entre 0 y 6 decimales en E6. ","")&amp;IF(O151=0,"Falta un ID numérico. ","")&amp;IF(R151=0,"Faltan capítulo, código, unidad o total numérico del ID. ","")&amp;IF(T151&gt;0,"Los datos o el total del ID se contradicen. ","")&amp;IF(AND(P151&lt;&gt;"DIMENSIONES",P151&lt;&gt;"DIRECTA",P151&lt;&gt;"SIN LÍNEAS",P151&lt;&gt;"CABECERA"),"Tipo de fila no reconocido. ","")&amp;IF(AND(OR(P151="SIN LÍNEAS",P151="CABECERA"),COUNTA(G151:J151)&gt;0),"La fila dice que no mide, pero contiene medidas. ","")&amp;IF(AND(OR(P151="DIRECTA",P151="DIMENSIONES"),U151=0),"Línea incompleta o con medidas no numéricas. ","")&amp;IF(P151="SIN LÍNEAS","No constan medidas de esta fila. ","")&amp;IF(Y151&gt;0,"Parece m³: tres dimensiones bajo m². ","")&amp;IF(AND(AB151&lt;&gt;"",SUMPRODUCT(--('LÉEME'!$B$65:$B$86=AC151))&lt;&gt;1),"Revisamos el significado de la unidad. ","")&amp;IF(Z151&gt;0,"Más precisión que los decimales indicados: cotejamos el original. ","")&amp;IF(AA151&gt;0,"Revisamos dimensiones, cantidad directa, ceros o deducción. ","")))</f>
      </c>
      <c r="O151" s="0" t="n">
        <f>IF(ISNUMBER(K151),IF(AND(K151&gt;0,K151=INT(K151),K151&lt;=999999),K151,0),0)</f>
        <v>0</v>
      </c>
      <c r="P151" s="0">
        <f>IF(COUNTA(B151:L151)=0,"",IF(L151="",IF(COUNTA(G151:J151)&gt;0,"DIMENSIONES","SIN LÍNEAS"),UPPER(TRIM(L151))))</f>
      </c>
      <c r="Q151" s="0">
        <f>IF(AND(O151&gt;0,LEN(TRIM(B151&amp;""))&gt;0,LEN(TRIM(C151&amp;""))&gt;0,LEN(TRIM(E151&amp;""))&gt;0,ISNUMBER(F151)),O151,"")</f>
      </c>
      <c r="R151" s="0" t="n">
        <f>IF(O151=0,0,IF(COUNTIFS($Q$13:$Q$512,O151)&gt;0,MATCH(O151,$Q$13:$Q$512,0),0))</f>
        <v>0</v>
      </c>
      <c r="S151" s="0">
        <f>IF(AB151="","",IF(SUMPRODUCT(--('LÉEME'!$B$65:$B$86=AC151))=1,INDEX('LÉEME'!$C$65:$C$86,MATCH(AC151,'LÉEME'!$B$65:$B$86,0)),UPPER(TRIM(AB151))))</f>
      </c>
      <c r="T151" s="0" t="n">
        <f>IF(R151=0,0,IF(OR(AND(LEN(TRIM(B151&amp;""))&gt;0,UPPER(TRIM(B151&amp;""))&lt;&gt;UPPER(TRIM(INDEX($B$13:$B$512,R151)&amp;""))),AND(LEN(TRIM(C151&amp;""))&gt;0,UPPER(TRIM(C151&amp;""))&lt;&gt;UPPER(TRIM(INDEX($C$13:$C$512,R151)&amp;""))),AND(LEN(TRIM(E151&amp;""))&gt;0,S151&lt;&gt;INDEX($S$13:$S$512,R151)),AND(F151&lt;&gt;"",NOT(ISNUMBER(F151)))),1,IF(ISNUMBER(F151),IF(ABS(F151-INDEX($F$13:$F$512,R151))&gt;0.00000001,1,0),0)))</f>
        <v>0</v>
      </c>
      <c r="U151" s="0" t="n">
        <f>IF(P151="DIRECTA",IF(AND(ISNUMBER(G151),COUNTA(H151:J151)=0),1,0),IF(P151="DIMENSIONES",IF(AND(COUNT(G151:J151)&gt;0,COUNTA(G151:J151)=COUNT(G151:J151)),1,0),0))</f>
        <v>0</v>
      </c>
      <c r="V151" s="0" t="n">
        <f>IF(O151=0,0,IF(COUNTIFS($O$13:O151,O151)=1,1,0))</f>
        <v>0</v>
      </c>
      <c r="W151" s="0">
        <f>IF(V151=1,COUNTIFS($V$13:V151,1),"")</f>
      </c>
      <c r="X151" s="0">
        <f>IF(COUNTA(B151:L151)=0,"",IF(OR(NOT(IF(ISNUMBER($E$6),AND($E$6&gt;=0,$E$6&lt;=6,$E$6=INT($E$6)),FALSE)),O151=0,R151=0,T151&gt;0,AND(P151&lt;&gt;"DIMENSIONES",P151&lt;&gt;"DIRECTA",P151&lt;&gt;"SIN LÍNEAS",P151&lt;&gt;"CABECERA"),AND(OR(P151="DIRECTA",P151="DIMENSIONES"),U151=0),AND(OR(P151="SIN LÍNEAS",P151="CABECERA"),COUNTA(G151:J151)&gt;0)),2,IF(OR(P151="SIN LÍNEAS",Y151&gt;0,Z151&gt;0,AA151&gt;0,SUMPRODUCT(--('LÉEME'!$B$65:$B$86=AC151))&lt;&gt;1),1,0)))</f>
      </c>
      <c r="Y151" s="0" t="n">
        <f>IF(AND(P151="DIMENSIONES",S151="m²",COUNT(H151:J151)=3),1,0)</f>
        <v>0</v>
      </c>
      <c r="Z151" s="0" t="n">
        <f>IF(IF(ISNUMBER($E$6),AND($E$6&gt;=0,$E$6&lt;=6,$E$6=INT($E$6)),FALSE),IF(SUM(IF(ISNUMBER(F151),IF(ABS(F151-ROUND(F151,$E$6))&gt;0.00000001,1,0),0),IF(ISNUMBER(G151),IF(ABS(G151-ROUND(G151,$E$6))&gt;0.00000001,1,0),0),IF(ISNUMBER(H151),IF(ABS(H151-ROUND(H151,$E$6))&gt;0.00000001,1,0),0),IF(ISNUMBER(I151),IF(ABS(I151-ROUND(I151,$E$6))&gt;0.00000001,1,0),0),IF(ISNUMBER(J151),IF(ABS(J151-ROUND(J151,$E$6))&gt;0.00000001,1,0),0),IF(ISNUMBER(M151),IF(ABS(M151-ROUND(M151,$E$6))&gt;0.00000001,1,0),0))&gt;0,1,0),0)</f>
        <v>0</v>
      </c>
      <c r="AA151" s="0" t="n">
        <f>IF(COUNTA(B151:L151)=0,0,IF(OR(AND(ISNUMBER(F151),F151&lt;0),AND(U151=1,OR(SUM(IF(ISNUMBER(G151),IF(G151=0,1,0),0),IF(ISNUMBER(H151),IF(H151=0,1,0),0),IF(ISNUMBER(I151),IF(I151=0,1,0),0),IF(ISNUMBER(J151),IF(J151=0,1,0),0))&gt;0,COUNTIFS(G151:J151,"&lt;0")&gt;0)),AND(P151="DIMENSIONES",U151=1,OR(AND(S151="m",COUNT(H151:J151)&lt;&gt;1),AND(S151="m²",COUNT(H151:J151)&lt;&gt;2,Y151=0),AND(S151="m³",COUNT(H151:J151)&lt;&gt;3),AND(S151="ud",COUNT(H151:J151)&gt;0))),AND(P151="DIRECTA",OR(S151="m",S151="m²",S151="m³"))),1,0))</f>
        <v>0</v>
      </c>
      <c r="AB151" s="0">
        <f>IF(LEN(TRIM(E151&amp;""))&gt;0,E151,IF(R151&gt;0,INDEX($E$13:$E$512,R151),""))</f>
      </c>
      <c r="AC151" s="0">
        <f>UPPER(SUBSTITUTE(SUBSTITUTE(SUBSTITUTE(SUBSTITUTE(SUBSTITUTE(TRIM(AB151),"²","2"),"³","3"),"^",""),".","")," ",""))</f>
      </c>
    </row>
    <row r="152" ht="35" customHeight="1">
      <c r="B152" s="35"/>
      <c r="C152" s="35"/>
      <c r="D152" s="37"/>
      <c r="E152" s="35"/>
      <c r="F152" s="38"/>
      <c r="G152" s="38"/>
      <c r="H152" s="38"/>
      <c r="I152" s="38"/>
      <c r="J152" s="38"/>
      <c r="K152" s="35"/>
      <c r="L152" s="35"/>
      <c r="M152" s="39">
        <f>IF(U152&lt;&gt;1,"",IF(P152="DIRECTA",G152,IF(ISNUMBER(G152),G152,1)*IF(ISNUMBER(H152),H152,1)*IF(ISNUMBER(I152),I152,1)*IF(ISNUMBER(J152),J152,1)))</f>
      </c>
      <c r="N152" s="30">
        <f>IF(COUNTA(B152:L152)=0,"",IF(X152=0,IF(P152="CABECERA","VERDE · Fila descriptiva; la suma usa las líneas del ID","VERDE · Datos numéricos interpretables"),IF(X152=2,"ROJO · ","ÁMBAR · ")&amp;IF(NOT(IF(ISNUMBER($E$6),AND($E$6&gt;=0,$E$6&lt;=6,$E$6=INT($E$6)),FALSE)),"Indicamos entre 0 y 6 decimales en E6. ","")&amp;IF(O152=0,"Falta un ID numérico. ","")&amp;IF(R152=0,"Faltan capítulo, código, unidad o total numérico del ID. ","")&amp;IF(T152&gt;0,"Los datos o el total del ID se contradicen. ","")&amp;IF(AND(P152&lt;&gt;"DIMENSIONES",P152&lt;&gt;"DIRECTA",P152&lt;&gt;"SIN LÍNEAS",P152&lt;&gt;"CABECERA"),"Tipo de fila no reconocido. ","")&amp;IF(AND(OR(P152="SIN LÍNEAS",P152="CABECERA"),COUNTA(G152:J152)&gt;0),"La fila dice que no mide, pero contiene medidas. ","")&amp;IF(AND(OR(P152="DIRECTA",P152="DIMENSIONES"),U152=0),"Línea incompleta o con medidas no numéricas. ","")&amp;IF(P152="SIN LÍNEAS","No constan medidas de esta fila. ","")&amp;IF(Y152&gt;0,"Parece m³: tres dimensiones bajo m². ","")&amp;IF(AND(AB152&lt;&gt;"",SUMPRODUCT(--('LÉEME'!$B$65:$B$86=AC152))&lt;&gt;1),"Revisamos el significado de la unidad. ","")&amp;IF(Z152&gt;0,"Más precisión que los decimales indicados: cotejamos el original. ","")&amp;IF(AA152&gt;0,"Revisamos dimensiones, cantidad directa, ceros o deducción. ","")))</f>
      </c>
      <c r="O152" s="0" t="n">
        <f>IF(ISNUMBER(K152),IF(AND(K152&gt;0,K152=INT(K152),K152&lt;=999999),K152,0),0)</f>
        <v>0</v>
      </c>
      <c r="P152" s="0">
        <f>IF(COUNTA(B152:L152)=0,"",IF(L152="",IF(COUNTA(G152:J152)&gt;0,"DIMENSIONES","SIN LÍNEAS"),UPPER(TRIM(L152))))</f>
      </c>
      <c r="Q152" s="0">
        <f>IF(AND(O152&gt;0,LEN(TRIM(B152&amp;""))&gt;0,LEN(TRIM(C152&amp;""))&gt;0,LEN(TRIM(E152&amp;""))&gt;0,ISNUMBER(F152)),O152,"")</f>
      </c>
      <c r="R152" s="0" t="n">
        <f>IF(O152=0,0,IF(COUNTIFS($Q$13:$Q$512,O152)&gt;0,MATCH(O152,$Q$13:$Q$512,0),0))</f>
        <v>0</v>
      </c>
      <c r="S152" s="0">
        <f>IF(AB152="","",IF(SUMPRODUCT(--('LÉEME'!$B$65:$B$86=AC152))=1,INDEX('LÉEME'!$C$65:$C$86,MATCH(AC152,'LÉEME'!$B$65:$B$86,0)),UPPER(TRIM(AB152))))</f>
      </c>
      <c r="T152" s="0" t="n">
        <f>IF(R152=0,0,IF(OR(AND(LEN(TRIM(B152&amp;""))&gt;0,UPPER(TRIM(B152&amp;""))&lt;&gt;UPPER(TRIM(INDEX($B$13:$B$512,R152)&amp;""))),AND(LEN(TRIM(C152&amp;""))&gt;0,UPPER(TRIM(C152&amp;""))&lt;&gt;UPPER(TRIM(INDEX($C$13:$C$512,R152)&amp;""))),AND(LEN(TRIM(E152&amp;""))&gt;0,S152&lt;&gt;INDEX($S$13:$S$512,R152)),AND(F152&lt;&gt;"",NOT(ISNUMBER(F152)))),1,IF(ISNUMBER(F152),IF(ABS(F152-INDEX($F$13:$F$512,R152))&gt;0.00000001,1,0),0)))</f>
        <v>0</v>
      </c>
      <c r="U152" s="0" t="n">
        <f>IF(P152="DIRECTA",IF(AND(ISNUMBER(G152),COUNTA(H152:J152)=0),1,0),IF(P152="DIMENSIONES",IF(AND(COUNT(G152:J152)&gt;0,COUNTA(G152:J152)=COUNT(G152:J152)),1,0),0))</f>
        <v>0</v>
      </c>
      <c r="V152" s="0" t="n">
        <f>IF(O152=0,0,IF(COUNTIFS($O$13:O152,O152)=1,1,0))</f>
        <v>0</v>
      </c>
      <c r="W152" s="0">
        <f>IF(V152=1,COUNTIFS($V$13:V152,1),"")</f>
      </c>
      <c r="X152" s="0">
        <f>IF(COUNTA(B152:L152)=0,"",IF(OR(NOT(IF(ISNUMBER($E$6),AND($E$6&gt;=0,$E$6&lt;=6,$E$6=INT($E$6)),FALSE)),O152=0,R152=0,T152&gt;0,AND(P152&lt;&gt;"DIMENSIONES",P152&lt;&gt;"DIRECTA",P152&lt;&gt;"SIN LÍNEAS",P152&lt;&gt;"CABECERA"),AND(OR(P152="DIRECTA",P152="DIMENSIONES"),U152=0),AND(OR(P152="SIN LÍNEAS",P152="CABECERA"),COUNTA(G152:J152)&gt;0)),2,IF(OR(P152="SIN LÍNEAS",Y152&gt;0,Z152&gt;0,AA152&gt;0,SUMPRODUCT(--('LÉEME'!$B$65:$B$86=AC152))&lt;&gt;1),1,0)))</f>
      </c>
      <c r="Y152" s="0" t="n">
        <f>IF(AND(P152="DIMENSIONES",S152="m²",COUNT(H152:J152)=3),1,0)</f>
        <v>0</v>
      </c>
      <c r="Z152" s="0" t="n">
        <f>IF(IF(ISNUMBER($E$6),AND($E$6&gt;=0,$E$6&lt;=6,$E$6=INT($E$6)),FALSE),IF(SUM(IF(ISNUMBER(F152),IF(ABS(F152-ROUND(F152,$E$6))&gt;0.00000001,1,0),0),IF(ISNUMBER(G152),IF(ABS(G152-ROUND(G152,$E$6))&gt;0.00000001,1,0),0),IF(ISNUMBER(H152),IF(ABS(H152-ROUND(H152,$E$6))&gt;0.00000001,1,0),0),IF(ISNUMBER(I152),IF(ABS(I152-ROUND(I152,$E$6))&gt;0.00000001,1,0),0),IF(ISNUMBER(J152),IF(ABS(J152-ROUND(J152,$E$6))&gt;0.00000001,1,0),0),IF(ISNUMBER(M152),IF(ABS(M152-ROUND(M152,$E$6))&gt;0.00000001,1,0),0))&gt;0,1,0),0)</f>
        <v>0</v>
      </c>
      <c r="AA152" s="0" t="n">
        <f>IF(COUNTA(B152:L152)=0,0,IF(OR(AND(ISNUMBER(F152),F152&lt;0),AND(U152=1,OR(SUM(IF(ISNUMBER(G152),IF(G152=0,1,0),0),IF(ISNUMBER(H152),IF(H152=0,1,0),0),IF(ISNUMBER(I152),IF(I152=0,1,0),0),IF(ISNUMBER(J152),IF(J152=0,1,0),0))&gt;0,COUNTIFS(G152:J152,"&lt;0")&gt;0)),AND(P152="DIMENSIONES",U152=1,OR(AND(S152="m",COUNT(H152:J152)&lt;&gt;1),AND(S152="m²",COUNT(H152:J152)&lt;&gt;2,Y152=0),AND(S152="m³",COUNT(H152:J152)&lt;&gt;3),AND(S152="ud",COUNT(H152:J152)&gt;0))),AND(P152="DIRECTA",OR(S152="m",S152="m²",S152="m³"))),1,0))</f>
        <v>0</v>
      </c>
      <c r="AB152" s="0">
        <f>IF(LEN(TRIM(E152&amp;""))&gt;0,E152,IF(R152&gt;0,INDEX($E$13:$E$512,R152),""))</f>
      </c>
      <c r="AC152" s="0">
        <f>UPPER(SUBSTITUTE(SUBSTITUTE(SUBSTITUTE(SUBSTITUTE(SUBSTITUTE(TRIM(AB152),"²","2"),"³","3"),"^",""),".","")," ",""))</f>
      </c>
    </row>
    <row r="153" ht="35" customHeight="1">
      <c r="B153" s="35"/>
      <c r="C153" s="35"/>
      <c r="D153" s="37"/>
      <c r="E153" s="35"/>
      <c r="F153" s="38"/>
      <c r="G153" s="38"/>
      <c r="H153" s="38"/>
      <c r="I153" s="38"/>
      <c r="J153" s="38"/>
      <c r="K153" s="35"/>
      <c r="L153" s="35"/>
      <c r="M153" s="39">
        <f>IF(U153&lt;&gt;1,"",IF(P153="DIRECTA",G153,IF(ISNUMBER(G153),G153,1)*IF(ISNUMBER(H153),H153,1)*IF(ISNUMBER(I153),I153,1)*IF(ISNUMBER(J153),J153,1)))</f>
      </c>
      <c r="N153" s="30">
        <f>IF(COUNTA(B153:L153)=0,"",IF(X153=0,IF(P153="CABECERA","VERDE · Fila descriptiva; la suma usa las líneas del ID","VERDE · Datos numéricos interpretables"),IF(X153=2,"ROJO · ","ÁMBAR · ")&amp;IF(NOT(IF(ISNUMBER($E$6),AND($E$6&gt;=0,$E$6&lt;=6,$E$6=INT($E$6)),FALSE)),"Indicamos entre 0 y 6 decimales en E6. ","")&amp;IF(O153=0,"Falta un ID numérico. ","")&amp;IF(R153=0,"Faltan capítulo, código, unidad o total numérico del ID. ","")&amp;IF(T153&gt;0,"Los datos o el total del ID se contradicen. ","")&amp;IF(AND(P153&lt;&gt;"DIMENSIONES",P153&lt;&gt;"DIRECTA",P153&lt;&gt;"SIN LÍNEAS",P153&lt;&gt;"CABECERA"),"Tipo de fila no reconocido. ","")&amp;IF(AND(OR(P153="SIN LÍNEAS",P153="CABECERA"),COUNTA(G153:J153)&gt;0),"La fila dice que no mide, pero contiene medidas. ","")&amp;IF(AND(OR(P153="DIRECTA",P153="DIMENSIONES"),U153=0),"Línea incompleta o con medidas no numéricas. ","")&amp;IF(P153="SIN LÍNEAS","No constan medidas de esta fila. ","")&amp;IF(Y153&gt;0,"Parece m³: tres dimensiones bajo m². ","")&amp;IF(AND(AB153&lt;&gt;"",SUMPRODUCT(--('LÉEME'!$B$65:$B$86=AC153))&lt;&gt;1),"Revisamos el significado de la unidad. ","")&amp;IF(Z153&gt;0,"Más precisión que los decimales indicados: cotejamos el original. ","")&amp;IF(AA153&gt;0,"Revisamos dimensiones, cantidad directa, ceros o deducción. ","")))</f>
      </c>
      <c r="O153" s="0" t="n">
        <f>IF(ISNUMBER(K153),IF(AND(K153&gt;0,K153=INT(K153),K153&lt;=999999),K153,0),0)</f>
        <v>0</v>
      </c>
      <c r="P153" s="0">
        <f>IF(COUNTA(B153:L153)=0,"",IF(L153="",IF(COUNTA(G153:J153)&gt;0,"DIMENSIONES","SIN LÍNEAS"),UPPER(TRIM(L153))))</f>
      </c>
      <c r="Q153" s="0">
        <f>IF(AND(O153&gt;0,LEN(TRIM(B153&amp;""))&gt;0,LEN(TRIM(C153&amp;""))&gt;0,LEN(TRIM(E153&amp;""))&gt;0,ISNUMBER(F153)),O153,"")</f>
      </c>
      <c r="R153" s="0" t="n">
        <f>IF(O153=0,0,IF(COUNTIFS($Q$13:$Q$512,O153)&gt;0,MATCH(O153,$Q$13:$Q$512,0),0))</f>
        <v>0</v>
      </c>
      <c r="S153" s="0">
        <f>IF(AB153="","",IF(SUMPRODUCT(--('LÉEME'!$B$65:$B$86=AC153))=1,INDEX('LÉEME'!$C$65:$C$86,MATCH(AC153,'LÉEME'!$B$65:$B$86,0)),UPPER(TRIM(AB153))))</f>
      </c>
      <c r="T153" s="0" t="n">
        <f>IF(R153=0,0,IF(OR(AND(LEN(TRIM(B153&amp;""))&gt;0,UPPER(TRIM(B153&amp;""))&lt;&gt;UPPER(TRIM(INDEX($B$13:$B$512,R153)&amp;""))),AND(LEN(TRIM(C153&amp;""))&gt;0,UPPER(TRIM(C153&amp;""))&lt;&gt;UPPER(TRIM(INDEX($C$13:$C$512,R153)&amp;""))),AND(LEN(TRIM(E153&amp;""))&gt;0,S153&lt;&gt;INDEX($S$13:$S$512,R153)),AND(F153&lt;&gt;"",NOT(ISNUMBER(F153)))),1,IF(ISNUMBER(F153),IF(ABS(F153-INDEX($F$13:$F$512,R153))&gt;0.00000001,1,0),0)))</f>
        <v>0</v>
      </c>
      <c r="U153" s="0" t="n">
        <f>IF(P153="DIRECTA",IF(AND(ISNUMBER(G153),COUNTA(H153:J153)=0),1,0),IF(P153="DIMENSIONES",IF(AND(COUNT(G153:J153)&gt;0,COUNTA(G153:J153)=COUNT(G153:J153)),1,0),0))</f>
        <v>0</v>
      </c>
      <c r="V153" s="0" t="n">
        <f>IF(O153=0,0,IF(COUNTIFS($O$13:O153,O153)=1,1,0))</f>
        <v>0</v>
      </c>
      <c r="W153" s="0">
        <f>IF(V153=1,COUNTIFS($V$13:V153,1),"")</f>
      </c>
      <c r="X153" s="0">
        <f>IF(COUNTA(B153:L153)=0,"",IF(OR(NOT(IF(ISNUMBER($E$6),AND($E$6&gt;=0,$E$6&lt;=6,$E$6=INT($E$6)),FALSE)),O153=0,R153=0,T153&gt;0,AND(P153&lt;&gt;"DIMENSIONES",P153&lt;&gt;"DIRECTA",P153&lt;&gt;"SIN LÍNEAS",P153&lt;&gt;"CABECERA"),AND(OR(P153="DIRECTA",P153="DIMENSIONES"),U153=0),AND(OR(P153="SIN LÍNEAS",P153="CABECERA"),COUNTA(G153:J153)&gt;0)),2,IF(OR(P153="SIN LÍNEAS",Y153&gt;0,Z153&gt;0,AA153&gt;0,SUMPRODUCT(--('LÉEME'!$B$65:$B$86=AC153))&lt;&gt;1),1,0)))</f>
      </c>
      <c r="Y153" s="0" t="n">
        <f>IF(AND(P153="DIMENSIONES",S153="m²",COUNT(H153:J153)=3),1,0)</f>
        <v>0</v>
      </c>
      <c r="Z153" s="0" t="n">
        <f>IF(IF(ISNUMBER($E$6),AND($E$6&gt;=0,$E$6&lt;=6,$E$6=INT($E$6)),FALSE),IF(SUM(IF(ISNUMBER(F153),IF(ABS(F153-ROUND(F153,$E$6))&gt;0.00000001,1,0),0),IF(ISNUMBER(G153),IF(ABS(G153-ROUND(G153,$E$6))&gt;0.00000001,1,0),0),IF(ISNUMBER(H153),IF(ABS(H153-ROUND(H153,$E$6))&gt;0.00000001,1,0),0),IF(ISNUMBER(I153),IF(ABS(I153-ROUND(I153,$E$6))&gt;0.00000001,1,0),0),IF(ISNUMBER(J153),IF(ABS(J153-ROUND(J153,$E$6))&gt;0.00000001,1,0),0),IF(ISNUMBER(M153),IF(ABS(M153-ROUND(M153,$E$6))&gt;0.00000001,1,0),0))&gt;0,1,0),0)</f>
        <v>0</v>
      </c>
      <c r="AA153" s="0" t="n">
        <f>IF(COUNTA(B153:L153)=0,0,IF(OR(AND(ISNUMBER(F153),F153&lt;0),AND(U153=1,OR(SUM(IF(ISNUMBER(G153),IF(G153=0,1,0),0),IF(ISNUMBER(H153),IF(H153=0,1,0),0),IF(ISNUMBER(I153),IF(I153=0,1,0),0),IF(ISNUMBER(J153),IF(J153=0,1,0),0))&gt;0,COUNTIFS(G153:J153,"&lt;0")&gt;0)),AND(P153="DIMENSIONES",U153=1,OR(AND(S153="m",COUNT(H153:J153)&lt;&gt;1),AND(S153="m²",COUNT(H153:J153)&lt;&gt;2,Y153=0),AND(S153="m³",COUNT(H153:J153)&lt;&gt;3),AND(S153="ud",COUNT(H153:J153)&gt;0))),AND(P153="DIRECTA",OR(S153="m",S153="m²",S153="m³"))),1,0))</f>
        <v>0</v>
      </c>
      <c r="AB153" s="0">
        <f>IF(LEN(TRIM(E153&amp;""))&gt;0,E153,IF(R153&gt;0,INDEX($E$13:$E$512,R153),""))</f>
      </c>
      <c r="AC153" s="0">
        <f>UPPER(SUBSTITUTE(SUBSTITUTE(SUBSTITUTE(SUBSTITUTE(SUBSTITUTE(TRIM(AB153),"²","2"),"³","3"),"^",""),".","")," ",""))</f>
      </c>
    </row>
    <row r="154" ht="35" customHeight="1">
      <c r="B154" s="35"/>
      <c r="C154" s="35"/>
      <c r="D154" s="37"/>
      <c r="E154" s="35"/>
      <c r="F154" s="38"/>
      <c r="G154" s="38"/>
      <c r="H154" s="38"/>
      <c r="I154" s="38"/>
      <c r="J154" s="38"/>
      <c r="K154" s="35"/>
      <c r="L154" s="35"/>
      <c r="M154" s="39">
        <f>IF(U154&lt;&gt;1,"",IF(P154="DIRECTA",G154,IF(ISNUMBER(G154),G154,1)*IF(ISNUMBER(H154),H154,1)*IF(ISNUMBER(I154),I154,1)*IF(ISNUMBER(J154),J154,1)))</f>
      </c>
      <c r="N154" s="30">
        <f>IF(COUNTA(B154:L154)=0,"",IF(X154=0,IF(P154="CABECERA","VERDE · Fila descriptiva; la suma usa las líneas del ID","VERDE · Datos numéricos interpretables"),IF(X154=2,"ROJO · ","ÁMBAR · ")&amp;IF(NOT(IF(ISNUMBER($E$6),AND($E$6&gt;=0,$E$6&lt;=6,$E$6=INT($E$6)),FALSE)),"Indicamos entre 0 y 6 decimales en E6. ","")&amp;IF(O154=0,"Falta un ID numérico. ","")&amp;IF(R154=0,"Faltan capítulo, código, unidad o total numérico del ID. ","")&amp;IF(T154&gt;0,"Los datos o el total del ID se contradicen. ","")&amp;IF(AND(P154&lt;&gt;"DIMENSIONES",P154&lt;&gt;"DIRECTA",P154&lt;&gt;"SIN LÍNEAS",P154&lt;&gt;"CABECERA"),"Tipo de fila no reconocido. ","")&amp;IF(AND(OR(P154="SIN LÍNEAS",P154="CABECERA"),COUNTA(G154:J154)&gt;0),"La fila dice que no mide, pero contiene medidas. ","")&amp;IF(AND(OR(P154="DIRECTA",P154="DIMENSIONES"),U154=0),"Línea incompleta o con medidas no numéricas. ","")&amp;IF(P154="SIN LÍNEAS","No constan medidas de esta fila. ","")&amp;IF(Y154&gt;0,"Parece m³: tres dimensiones bajo m². ","")&amp;IF(AND(AB154&lt;&gt;"",SUMPRODUCT(--('LÉEME'!$B$65:$B$86=AC154))&lt;&gt;1),"Revisamos el significado de la unidad. ","")&amp;IF(Z154&gt;0,"Más precisión que los decimales indicados: cotejamos el original. ","")&amp;IF(AA154&gt;0,"Revisamos dimensiones, cantidad directa, ceros o deducción. ","")))</f>
      </c>
      <c r="O154" s="0" t="n">
        <f>IF(ISNUMBER(K154),IF(AND(K154&gt;0,K154=INT(K154),K154&lt;=999999),K154,0),0)</f>
        <v>0</v>
      </c>
      <c r="P154" s="0">
        <f>IF(COUNTA(B154:L154)=0,"",IF(L154="",IF(COUNTA(G154:J154)&gt;0,"DIMENSIONES","SIN LÍNEAS"),UPPER(TRIM(L154))))</f>
      </c>
      <c r="Q154" s="0">
        <f>IF(AND(O154&gt;0,LEN(TRIM(B154&amp;""))&gt;0,LEN(TRIM(C154&amp;""))&gt;0,LEN(TRIM(E154&amp;""))&gt;0,ISNUMBER(F154)),O154,"")</f>
      </c>
      <c r="R154" s="0" t="n">
        <f>IF(O154=0,0,IF(COUNTIFS($Q$13:$Q$512,O154)&gt;0,MATCH(O154,$Q$13:$Q$512,0),0))</f>
        <v>0</v>
      </c>
      <c r="S154" s="0">
        <f>IF(AB154="","",IF(SUMPRODUCT(--('LÉEME'!$B$65:$B$86=AC154))=1,INDEX('LÉEME'!$C$65:$C$86,MATCH(AC154,'LÉEME'!$B$65:$B$86,0)),UPPER(TRIM(AB154))))</f>
      </c>
      <c r="T154" s="0" t="n">
        <f>IF(R154=0,0,IF(OR(AND(LEN(TRIM(B154&amp;""))&gt;0,UPPER(TRIM(B154&amp;""))&lt;&gt;UPPER(TRIM(INDEX($B$13:$B$512,R154)&amp;""))),AND(LEN(TRIM(C154&amp;""))&gt;0,UPPER(TRIM(C154&amp;""))&lt;&gt;UPPER(TRIM(INDEX($C$13:$C$512,R154)&amp;""))),AND(LEN(TRIM(E154&amp;""))&gt;0,S154&lt;&gt;INDEX($S$13:$S$512,R154)),AND(F154&lt;&gt;"",NOT(ISNUMBER(F154)))),1,IF(ISNUMBER(F154),IF(ABS(F154-INDEX($F$13:$F$512,R154))&gt;0.00000001,1,0),0)))</f>
        <v>0</v>
      </c>
      <c r="U154" s="0" t="n">
        <f>IF(P154="DIRECTA",IF(AND(ISNUMBER(G154),COUNTA(H154:J154)=0),1,0),IF(P154="DIMENSIONES",IF(AND(COUNT(G154:J154)&gt;0,COUNTA(G154:J154)=COUNT(G154:J154)),1,0),0))</f>
        <v>0</v>
      </c>
      <c r="V154" s="0" t="n">
        <f>IF(O154=0,0,IF(COUNTIFS($O$13:O154,O154)=1,1,0))</f>
        <v>0</v>
      </c>
      <c r="W154" s="0">
        <f>IF(V154=1,COUNTIFS($V$13:V154,1),"")</f>
      </c>
      <c r="X154" s="0">
        <f>IF(COUNTA(B154:L154)=0,"",IF(OR(NOT(IF(ISNUMBER($E$6),AND($E$6&gt;=0,$E$6&lt;=6,$E$6=INT($E$6)),FALSE)),O154=0,R154=0,T154&gt;0,AND(P154&lt;&gt;"DIMENSIONES",P154&lt;&gt;"DIRECTA",P154&lt;&gt;"SIN LÍNEAS",P154&lt;&gt;"CABECERA"),AND(OR(P154="DIRECTA",P154="DIMENSIONES"),U154=0),AND(OR(P154="SIN LÍNEAS",P154="CABECERA"),COUNTA(G154:J154)&gt;0)),2,IF(OR(P154="SIN LÍNEAS",Y154&gt;0,Z154&gt;0,AA154&gt;0,SUMPRODUCT(--('LÉEME'!$B$65:$B$86=AC154))&lt;&gt;1),1,0)))</f>
      </c>
      <c r="Y154" s="0" t="n">
        <f>IF(AND(P154="DIMENSIONES",S154="m²",COUNT(H154:J154)=3),1,0)</f>
        <v>0</v>
      </c>
      <c r="Z154" s="0" t="n">
        <f>IF(IF(ISNUMBER($E$6),AND($E$6&gt;=0,$E$6&lt;=6,$E$6=INT($E$6)),FALSE),IF(SUM(IF(ISNUMBER(F154),IF(ABS(F154-ROUND(F154,$E$6))&gt;0.00000001,1,0),0),IF(ISNUMBER(G154),IF(ABS(G154-ROUND(G154,$E$6))&gt;0.00000001,1,0),0),IF(ISNUMBER(H154),IF(ABS(H154-ROUND(H154,$E$6))&gt;0.00000001,1,0),0),IF(ISNUMBER(I154),IF(ABS(I154-ROUND(I154,$E$6))&gt;0.00000001,1,0),0),IF(ISNUMBER(J154),IF(ABS(J154-ROUND(J154,$E$6))&gt;0.00000001,1,0),0),IF(ISNUMBER(M154),IF(ABS(M154-ROUND(M154,$E$6))&gt;0.00000001,1,0),0))&gt;0,1,0),0)</f>
        <v>0</v>
      </c>
      <c r="AA154" s="0" t="n">
        <f>IF(COUNTA(B154:L154)=0,0,IF(OR(AND(ISNUMBER(F154),F154&lt;0),AND(U154=1,OR(SUM(IF(ISNUMBER(G154),IF(G154=0,1,0),0),IF(ISNUMBER(H154),IF(H154=0,1,0),0),IF(ISNUMBER(I154),IF(I154=0,1,0),0),IF(ISNUMBER(J154),IF(J154=0,1,0),0))&gt;0,COUNTIFS(G154:J154,"&lt;0")&gt;0)),AND(P154="DIMENSIONES",U154=1,OR(AND(S154="m",COUNT(H154:J154)&lt;&gt;1),AND(S154="m²",COUNT(H154:J154)&lt;&gt;2,Y154=0),AND(S154="m³",COUNT(H154:J154)&lt;&gt;3),AND(S154="ud",COUNT(H154:J154)&gt;0))),AND(P154="DIRECTA",OR(S154="m",S154="m²",S154="m³"))),1,0))</f>
        <v>0</v>
      </c>
      <c r="AB154" s="0">
        <f>IF(LEN(TRIM(E154&amp;""))&gt;0,E154,IF(R154&gt;0,INDEX($E$13:$E$512,R154),""))</f>
      </c>
      <c r="AC154" s="0">
        <f>UPPER(SUBSTITUTE(SUBSTITUTE(SUBSTITUTE(SUBSTITUTE(SUBSTITUTE(TRIM(AB154),"²","2"),"³","3"),"^",""),".","")," ",""))</f>
      </c>
    </row>
    <row r="155" ht="35" customHeight="1">
      <c r="B155" s="35"/>
      <c r="C155" s="35"/>
      <c r="D155" s="37"/>
      <c r="E155" s="35"/>
      <c r="F155" s="38"/>
      <c r="G155" s="38"/>
      <c r="H155" s="38"/>
      <c r="I155" s="38"/>
      <c r="J155" s="38"/>
      <c r="K155" s="35"/>
      <c r="L155" s="35"/>
      <c r="M155" s="39">
        <f>IF(U155&lt;&gt;1,"",IF(P155="DIRECTA",G155,IF(ISNUMBER(G155),G155,1)*IF(ISNUMBER(H155),H155,1)*IF(ISNUMBER(I155),I155,1)*IF(ISNUMBER(J155),J155,1)))</f>
      </c>
      <c r="N155" s="30">
        <f>IF(COUNTA(B155:L155)=0,"",IF(X155=0,IF(P155="CABECERA","VERDE · Fila descriptiva; la suma usa las líneas del ID","VERDE · Datos numéricos interpretables"),IF(X155=2,"ROJO · ","ÁMBAR · ")&amp;IF(NOT(IF(ISNUMBER($E$6),AND($E$6&gt;=0,$E$6&lt;=6,$E$6=INT($E$6)),FALSE)),"Indicamos entre 0 y 6 decimales en E6. ","")&amp;IF(O155=0,"Falta un ID numérico. ","")&amp;IF(R155=0,"Faltan capítulo, código, unidad o total numérico del ID. ","")&amp;IF(T155&gt;0,"Los datos o el total del ID se contradicen. ","")&amp;IF(AND(P155&lt;&gt;"DIMENSIONES",P155&lt;&gt;"DIRECTA",P155&lt;&gt;"SIN LÍNEAS",P155&lt;&gt;"CABECERA"),"Tipo de fila no reconocido. ","")&amp;IF(AND(OR(P155="SIN LÍNEAS",P155="CABECERA"),COUNTA(G155:J155)&gt;0),"La fila dice que no mide, pero contiene medidas. ","")&amp;IF(AND(OR(P155="DIRECTA",P155="DIMENSIONES"),U155=0),"Línea incompleta o con medidas no numéricas. ","")&amp;IF(P155="SIN LÍNEAS","No constan medidas de esta fila. ","")&amp;IF(Y155&gt;0,"Parece m³: tres dimensiones bajo m². ","")&amp;IF(AND(AB155&lt;&gt;"",SUMPRODUCT(--('LÉEME'!$B$65:$B$86=AC155))&lt;&gt;1),"Revisamos el significado de la unidad. ","")&amp;IF(Z155&gt;0,"Más precisión que los decimales indicados: cotejamos el original. ","")&amp;IF(AA155&gt;0,"Revisamos dimensiones, cantidad directa, ceros o deducción. ","")))</f>
      </c>
      <c r="O155" s="0" t="n">
        <f>IF(ISNUMBER(K155),IF(AND(K155&gt;0,K155=INT(K155),K155&lt;=999999),K155,0),0)</f>
        <v>0</v>
      </c>
      <c r="P155" s="0">
        <f>IF(COUNTA(B155:L155)=0,"",IF(L155="",IF(COUNTA(G155:J155)&gt;0,"DIMENSIONES","SIN LÍNEAS"),UPPER(TRIM(L155))))</f>
      </c>
      <c r="Q155" s="0">
        <f>IF(AND(O155&gt;0,LEN(TRIM(B155&amp;""))&gt;0,LEN(TRIM(C155&amp;""))&gt;0,LEN(TRIM(E155&amp;""))&gt;0,ISNUMBER(F155)),O155,"")</f>
      </c>
      <c r="R155" s="0" t="n">
        <f>IF(O155=0,0,IF(COUNTIFS($Q$13:$Q$512,O155)&gt;0,MATCH(O155,$Q$13:$Q$512,0),0))</f>
        <v>0</v>
      </c>
      <c r="S155" s="0">
        <f>IF(AB155="","",IF(SUMPRODUCT(--('LÉEME'!$B$65:$B$86=AC155))=1,INDEX('LÉEME'!$C$65:$C$86,MATCH(AC155,'LÉEME'!$B$65:$B$86,0)),UPPER(TRIM(AB155))))</f>
      </c>
      <c r="T155" s="0" t="n">
        <f>IF(R155=0,0,IF(OR(AND(LEN(TRIM(B155&amp;""))&gt;0,UPPER(TRIM(B155&amp;""))&lt;&gt;UPPER(TRIM(INDEX($B$13:$B$512,R155)&amp;""))),AND(LEN(TRIM(C155&amp;""))&gt;0,UPPER(TRIM(C155&amp;""))&lt;&gt;UPPER(TRIM(INDEX($C$13:$C$512,R155)&amp;""))),AND(LEN(TRIM(E155&amp;""))&gt;0,S155&lt;&gt;INDEX($S$13:$S$512,R155)),AND(F155&lt;&gt;"",NOT(ISNUMBER(F155)))),1,IF(ISNUMBER(F155),IF(ABS(F155-INDEX($F$13:$F$512,R155))&gt;0.00000001,1,0),0)))</f>
        <v>0</v>
      </c>
      <c r="U155" s="0" t="n">
        <f>IF(P155="DIRECTA",IF(AND(ISNUMBER(G155),COUNTA(H155:J155)=0),1,0),IF(P155="DIMENSIONES",IF(AND(COUNT(G155:J155)&gt;0,COUNTA(G155:J155)=COUNT(G155:J155)),1,0),0))</f>
        <v>0</v>
      </c>
      <c r="V155" s="0" t="n">
        <f>IF(O155=0,0,IF(COUNTIFS($O$13:O155,O155)=1,1,0))</f>
        <v>0</v>
      </c>
      <c r="W155" s="0">
        <f>IF(V155=1,COUNTIFS($V$13:V155,1),"")</f>
      </c>
      <c r="X155" s="0">
        <f>IF(COUNTA(B155:L155)=0,"",IF(OR(NOT(IF(ISNUMBER($E$6),AND($E$6&gt;=0,$E$6&lt;=6,$E$6=INT($E$6)),FALSE)),O155=0,R155=0,T155&gt;0,AND(P155&lt;&gt;"DIMENSIONES",P155&lt;&gt;"DIRECTA",P155&lt;&gt;"SIN LÍNEAS",P155&lt;&gt;"CABECERA"),AND(OR(P155="DIRECTA",P155="DIMENSIONES"),U155=0),AND(OR(P155="SIN LÍNEAS",P155="CABECERA"),COUNTA(G155:J155)&gt;0)),2,IF(OR(P155="SIN LÍNEAS",Y155&gt;0,Z155&gt;0,AA155&gt;0,SUMPRODUCT(--('LÉEME'!$B$65:$B$86=AC155))&lt;&gt;1),1,0)))</f>
      </c>
      <c r="Y155" s="0" t="n">
        <f>IF(AND(P155="DIMENSIONES",S155="m²",COUNT(H155:J155)=3),1,0)</f>
        <v>0</v>
      </c>
      <c r="Z155" s="0" t="n">
        <f>IF(IF(ISNUMBER($E$6),AND($E$6&gt;=0,$E$6&lt;=6,$E$6=INT($E$6)),FALSE),IF(SUM(IF(ISNUMBER(F155),IF(ABS(F155-ROUND(F155,$E$6))&gt;0.00000001,1,0),0),IF(ISNUMBER(G155),IF(ABS(G155-ROUND(G155,$E$6))&gt;0.00000001,1,0),0),IF(ISNUMBER(H155),IF(ABS(H155-ROUND(H155,$E$6))&gt;0.00000001,1,0),0),IF(ISNUMBER(I155),IF(ABS(I155-ROUND(I155,$E$6))&gt;0.00000001,1,0),0),IF(ISNUMBER(J155),IF(ABS(J155-ROUND(J155,$E$6))&gt;0.00000001,1,0),0),IF(ISNUMBER(M155),IF(ABS(M155-ROUND(M155,$E$6))&gt;0.00000001,1,0),0))&gt;0,1,0),0)</f>
        <v>0</v>
      </c>
      <c r="AA155" s="0" t="n">
        <f>IF(COUNTA(B155:L155)=0,0,IF(OR(AND(ISNUMBER(F155),F155&lt;0),AND(U155=1,OR(SUM(IF(ISNUMBER(G155),IF(G155=0,1,0),0),IF(ISNUMBER(H155),IF(H155=0,1,0),0),IF(ISNUMBER(I155),IF(I155=0,1,0),0),IF(ISNUMBER(J155),IF(J155=0,1,0),0))&gt;0,COUNTIFS(G155:J155,"&lt;0")&gt;0)),AND(P155="DIMENSIONES",U155=1,OR(AND(S155="m",COUNT(H155:J155)&lt;&gt;1),AND(S155="m²",COUNT(H155:J155)&lt;&gt;2,Y155=0),AND(S155="m³",COUNT(H155:J155)&lt;&gt;3),AND(S155="ud",COUNT(H155:J155)&gt;0))),AND(P155="DIRECTA",OR(S155="m",S155="m²",S155="m³"))),1,0))</f>
        <v>0</v>
      </c>
      <c r="AB155" s="0">
        <f>IF(LEN(TRIM(E155&amp;""))&gt;0,E155,IF(R155&gt;0,INDEX($E$13:$E$512,R155),""))</f>
      </c>
      <c r="AC155" s="0">
        <f>UPPER(SUBSTITUTE(SUBSTITUTE(SUBSTITUTE(SUBSTITUTE(SUBSTITUTE(TRIM(AB155),"²","2"),"³","3"),"^",""),".","")," ",""))</f>
      </c>
    </row>
    <row r="156" ht="35" customHeight="1">
      <c r="B156" s="35"/>
      <c r="C156" s="35"/>
      <c r="D156" s="37"/>
      <c r="E156" s="35"/>
      <c r="F156" s="38"/>
      <c r="G156" s="38"/>
      <c r="H156" s="38"/>
      <c r="I156" s="38"/>
      <c r="J156" s="38"/>
      <c r="K156" s="35"/>
      <c r="L156" s="35"/>
      <c r="M156" s="39">
        <f>IF(U156&lt;&gt;1,"",IF(P156="DIRECTA",G156,IF(ISNUMBER(G156),G156,1)*IF(ISNUMBER(H156),H156,1)*IF(ISNUMBER(I156),I156,1)*IF(ISNUMBER(J156),J156,1)))</f>
      </c>
      <c r="N156" s="30">
        <f>IF(COUNTA(B156:L156)=0,"",IF(X156=0,IF(P156="CABECERA","VERDE · Fila descriptiva; la suma usa las líneas del ID","VERDE · Datos numéricos interpretables"),IF(X156=2,"ROJO · ","ÁMBAR · ")&amp;IF(NOT(IF(ISNUMBER($E$6),AND($E$6&gt;=0,$E$6&lt;=6,$E$6=INT($E$6)),FALSE)),"Indicamos entre 0 y 6 decimales en E6. ","")&amp;IF(O156=0,"Falta un ID numérico. ","")&amp;IF(R156=0,"Faltan capítulo, código, unidad o total numérico del ID. ","")&amp;IF(T156&gt;0,"Los datos o el total del ID se contradicen. ","")&amp;IF(AND(P156&lt;&gt;"DIMENSIONES",P156&lt;&gt;"DIRECTA",P156&lt;&gt;"SIN LÍNEAS",P156&lt;&gt;"CABECERA"),"Tipo de fila no reconocido. ","")&amp;IF(AND(OR(P156="SIN LÍNEAS",P156="CABECERA"),COUNTA(G156:J156)&gt;0),"La fila dice que no mide, pero contiene medidas. ","")&amp;IF(AND(OR(P156="DIRECTA",P156="DIMENSIONES"),U156=0),"Línea incompleta o con medidas no numéricas. ","")&amp;IF(P156="SIN LÍNEAS","No constan medidas de esta fila. ","")&amp;IF(Y156&gt;0,"Parece m³: tres dimensiones bajo m². ","")&amp;IF(AND(AB156&lt;&gt;"",SUMPRODUCT(--('LÉEME'!$B$65:$B$86=AC156))&lt;&gt;1),"Revisamos el significado de la unidad. ","")&amp;IF(Z156&gt;0,"Más precisión que los decimales indicados: cotejamos el original. ","")&amp;IF(AA156&gt;0,"Revisamos dimensiones, cantidad directa, ceros o deducción. ","")))</f>
      </c>
      <c r="O156" s="0" t="n">
        <f>IF(ISNUMBER(K156),IF(AND(K156&gt;0,K156=INT(K156),K156&lt;=999999),K156,0),0)</f>
        <v>0</v>
      </c>
      <c r="P156" s="0">
        <f>IF(COUNTA(B156:L156)=0,"",IF(L156="",IF(COUNTA(G156:J156)&gt;0,"DIMENSIONES","SIN LÍNEAS"),UPPER(TRIM(L156))))</f>
      </c>
      <c r="Q156" s="0">
        <f>IF(AND(O156&gt;0,LEN(TRIM(B156&amp;""))&gt;0,LEN(TRIM(C156&amp;""))&gt;0,LEN(TRIM(E156&amp;""))&gt;0,ISNUMBER(F156)),O156,"")</f>
      </c>
      <c r="R156" s="0" t="n">
        <f>IF(O156=0,0,IF(COUNTIFS($Q$13:$Q$512,O156)&gt;0,MATCH(O156,$Q$13:$Q$512,0),0))</f>
        <v>0</v>
      </c>
      <c r="S156" s="0">
        <f>IF(AB156="","",IF(SUMPRODUCT(--('LÉEME'!$B$65:$B$86=AC156))=1,INDEX('LÉEME'!$C$65:$C$86,MATCH(AC156,'LÉEME'!$B$65:$B$86,0)),UPPER(TRIM(AB156))))</f>
      </c>
      <c r="T156" s="0" t="n">
        <f>IF(R156=0,0,IF(OR(AND(LEN(TRIM(B156&amp;""))&gt;0,UPPER(TRIM(B156&amp;""))&lt;&gt;UPPER(TRIM(INDEX($B$13:$B$512,R156)&amp;""))),AND(LEN(TRIM(C156&amp;""))&gt;0,UPPER(TRIM(C156&amp;""))&lt;&gt;UPPER(TRIM(INDEX($C$13:$C$512,R156)&amp;""))),AND(LEN(TRIM(E156&amp;""))&gt;0,S156&lt;&gt;INDEX($S$13:$S$512,R156)),AND(F156&lt;&gt;"",NOT(ISNUMBER(F156)))),1,IF(ISNUMBER(F156),IF(ABS(F156-INDEX($F$13:$F$512,R156))&gt;0.00000001,1,0),0)))</f>
        <v>0</v>
      </c>
      <c r="U156" s="0" t="n">
        <f>IF(P156="DIRECTA",IF(AND(ISNUMBER(G156),COUNTA(H156:J156)=0),1,0),IF(P156="DIMENSIONES",IF(AND(COUNT(G156:J156)&gt;0,COUNTA(G156:J156)=COUNT(G156:J156)),1,0),0))</f>
        <v>0</v>
      </c>
      <c r="V156" s="0" t="n">
        <f>IF(O156=0,0,IF(COUNTIFS($O$13:O156,O156)=1,1,0))</f>
        <v>0</v>
      </c>
      <c r="W156" s="0">
        <f>IF(V156=1,COUNTIFS($V$13:V156,1),"")</f>
      </c>
      <c r="X156" s="0">
        <f>IF(COUNTA(B156:L156)=0,"",IF(OR(NOT(IF(ISNUMBER($E$6),AND($E$6&gt;=0,$E$6&lt;=6,$E$6=INT($E$6)),FALSE)),O156=0,R156=0,T156&gt;0,AND(P156&lt;&gt;"DIMENSIONES",P156&lt;&gt;"DIRECTA",P156&lt;&gt;"SIN LÍNEAS",P156&lt;&gt;"CABECERA"),AND(OR(P156="DIRECTA",P156="DIMENSIONES"),U156=0),AND(OR(P156="SIN LÍNEAS",P156="CABECERA"),COUNTA(G156:J156)&gt;0)),2,IF(OR(P156="SIN LÍNEAS",Y156&gt;0,Z156&gt;0,AA156&gt;0,SUMPRODUCT(--('LÉEME'!$B$65:$B$86=AC156))&lt;&gt;1),1,0)))</f>
      </c>
      <c r="Y156" s="0" t="n">
        <f>IF(AND(P156="DIMENSIONES",S156="m²",COUNT(H156:J156)=3),1,0)</f>
        <v>0</v>
      </c>
      <c r="Z156" s="0" t="n">
        <f>IF(IF(ISNUMBER($E$6),AND($E$6&gt;=0,$E$6&lt;=6,$E$6=INT($E$6)),FALSE),IF(SUM(IF(ISNUMBER(F156),IF(ABS(F156-ROUND(F156,$E$6))&gt;0.00000001,1,0),0),IF(ISNUMBER(G156),IF(ABS(G156-ROUND(G156,$E$6))&gt;0.00000001,1,0),0),IF(ISNUMBER(H156),IF(ABS(H156-ROUND(H156,$E$6))&gt;0.00000001,1,0),0),IF(ISNUMBER(I156),IF(ABS(I156-ROUND(I156,$E$6))&gt;0.00000001,1,0),0),IF(ISNUMBER(J156),IF(ABS(J156-ROUND(J156,$E$6))&gt;0.00000001,1,0),0),IF(ISNUMBER(M156),IF(ABS(M156-ROUND(M156,$E$6))&gt;0.00000001,1,0),0))&gt;0,1,0),0)</f>
        <v>0</v>
      </c>
      <c r="AA156" s="0" t="n">
        <f>IF(COUNTA(B156:L156)=0,0,IF(OR(AND(ISNUMBER(F156),F156&lt;0),AND(U156=1,OR(SUM(IF(ISNUMBER(G156),IF(G156=0,1,0),0),IF(ISNUMBER(H156),IF(H156=0,1,0),0),IF(ISNUMBER(I156),IF(I156=0,1,0),0),IF(ISNUMBER(J156),IF(J156=0,1,0),0))&gt;0,COUNTIFS(G156:J156,"&lt;0")&gt;0)),AND(P156="DIMENSIONES",U156=1,OR(AND(S156="m",COUNT(H156:J156)&lt;&gt;1),AND(S156="m²",COUNT(H156:J156)&lt;&gt;2,Y156=0),AND(S156="m³",COUNT(H156:J156)&lt;&gt;3),AND(S156="ud",COUNT(H156:J156)&gt;0))),AND(P156="DIRECTA",OR(S156="m",S156="m²",S156="m³"))),1,0))</f>
        <v>0</v>
      </c>
      <c r="AB156" s="0">
        <f>IF(LEN(TRIM(E156&amp;""))&gt;0,E156,IF(R156&gt;0,INDEX($E$13:$E$512,R156),""))</f>
      </c>
      <c r="AC156" s="0">
        <f>UPPER(SUBSTITUTE(SUBSTITUTE(SUBSTITUTE(SUBSTITUTE(SUBSTITUTE(TRIM(AB156),"²","2"),"³","3"),"^",""),".","")," ",""))</f>
      </c>
    </row>
    <row r="157" ht="35" customHeight="1">
      <c r="B157" s="35"/>
      <c r="C157" s="35"/>
      <c r="D157" s="37"/>
      <c r="E157" s="35"/>
      <c r="F157" s="38"/>
      <c r="G157" s="38"/>
      <c r="H157" s="38"/>
      <c r="I157" s="38"/>
      <c r="J157" s="38"/>
      <c r="K157" s="35"/>
      <c r="L157" s="35"/>
      <c r="M157" s="39">
        <f>IF(U157&lt;&gt;1,"",IF(P157="DIRECTA",G157,IF(ISNUMBER(G157),G157,1)*IF(ISNUMBER(H157),H157,1)*IF(ISNUMBER(I157),I157,1)*IF(ISNUMBER(J157),J157,1)))</f>
      </c>
      <c r="N157" s="30">
        <f>IF(COUNTA(B157:L157)=0,"",IF(X157=0,IF(P157="CABECERA","VERDE · Fila descriptiva; la suma usa las líneas del ID","VERDE · Datos numéricos interpretables"),IF(X157=2,"ROJO · ","ÁMBAR · ")&amp;IF(NOT(IF(ISNUMBER($E$6),AND($E$6&gt;=0,$E$6&lt;=6,$E$6=INT($E$6)),FALSE)),"Indicamos entre 0 y 6 decimales en E6. ","")&amp;IF(O157=0,"Falta un ID numérico. ","")&amp;IF(R157=0,"Faltan capítulo, código, unidad o total numérico del ID. ","")&amp;IF(T157&gt;0,"Los datos o el total del ID se contradicen. ","")&amp;IF(AND(P157&lt;&gt;"DIMENSIONES",P157&lt;&gt;"DIRECTA",P157&lt;&gt;"SIN LÍNEAS",P157&lt;&gt;"CABECERA"),"Tipo de fila no reconocido. ","")&amp;IF(AND(OR(P157="SIN LÍNEAS",P157="CABECERA"),COUNTA(G157:J157)&gt;0),"La fila dice que no mide, pero contiene medidas. ","")&amp;IF(AND(OR(P157="DIRECTA",P157="DIMENSIONES"),U157=0),"Línea incompleta o con medidas no numéricas. ","")&amp;IF(P157="SIN LÍNEAS","No constan medidas de esta fila. ","")&amp;IF(Y157&gt;0,"Parece m³: tres dimensiones bajo m². ","")&amp;IF(AND(AB157&lt;&gt;"",SUMPRODUCT(--('LÉEME'!$B$65:$B$86=AC157))&lt;&gt;1),"Revisamos el significado de la unidad. ","")&amp;IF(Z157&gt;0,"Más precisión que los decimales indicados: cotejamos el original. ","")&amp;IF(AA157&gt;0,"Revisamos dimensiones, cantidad directa, ceros o deducción. ","")))</f>
      </c>
      <c r="O157" s="0" t="n">
        <f>IF(ISNUMBER(K157),IF(AND(K157&gt;0,K157=INT(K157),K157&lt;=999999),K157,0),0)</f>
        <v>0</v>
      </c>
      <c r="P157" s="0">
        <f>IF(COUNTA(B157:L157)=0,"",IF(L157="",IF(COUNTA(G157:J157)&gt;0,"DIMENSIONES","SIN LÍNEAS"),UPPER(TRIM(L157))))</f>
      </c>
      <c r="Q157" s="0">
        <f>IF(AND(O157&gt;0,LEN(TRIM(B157&amp;""))&gt;0,LEN(TRIM(C157&amp;""))&gt;0,LEN(TRIM(E157&amp;""))&gt;0,ISNUMBER(F157)),O157,"")</f>
      </c>
      <c r="R157" s="0" t="n">
        <f>IF(O157=0,0,IF(COUNTIFS($Q$13:$Q$512,O157)&gt;0,MATCH(O157,$Q$13:$Q$512,0),0))</f>
        <v>0</v>
      </c>
      <c r="S157" s="0">
        <f>IF(AB157="","",IF(SUMPRODUCT(--('LÉEME'!$B$65:$B$86=AC157))=1,INDEX('LÉEME'!$C$65:$C$86,MATCH(AC157,'LÉEME'!$B$65:$B$86,0)),UPPER(TRIM(AB157))))</f>
      </c>
      <c r="T157" s="0" t="n">
        <f>IF(R157=0,0,IF(OR(AND(LEN(TRIM(B157&amp;""))&gt;0,UPPER(TRIM(B157&amp;""))&lt;&gt;UPPER(TRIM(INDEX($B$13:$B$512,R157)&amp;""))),AND(LEN(TRIM(C157&amp;""))&gt;0,UPPER(TRIM(C157&amp;""))&lt;&gt;UPPER(TRIM(INDEX($C$13:$C$512,R157)&amp;""))),AND(LEN(TRIM(E157&amp;""))&gt;0,S157&lt;&gt;INDEX($S$13:$S$512,R157)),AND(F157&lt;&gt;"",NOT(ISNUMBER(F157)))),1,IF(ISNUMBER(F157),IF(ABS(F157-INDEX($F$13:$F$512,R157))&gt;0.00000001,1,0),0)))</f>
        <v>0</v>
      </c>
      <c r="U157" s="0" t="n">
        <f>IF(P157="DIRECTA",IF(AND(ISNUMBER(G157),COUNTA(H157:J157)=0),1,0),IF(P157="DIMENSIONES",IF(AND(COUNT(G157:J157)&gt;0,COUNTA(G157:J157)=COUNT(G157:J157)),1,0),0))</f>
        <v>0</v>
      </c>
      <c r="V157" s="0" t="n">
        <f>IF(O157=0,0,IF(COUNTIFS($O$13:O157,O157)=1,1,0))</f>
        <v>0</v>
      </c>
      <c r="W157" s="0">
        <f>IF(V157=1,COUNTIFS($V$13:V157,1),"")</f>
      </c>
      <c r="X157" s="0">
        <f>IF(COUNTA(B157:L157)=0,"",IF(OR(NOT(IF(ISNUMBER($E$6),AND($E$6&gt;=0,$E$6&lt;=6,$E$6=INT($E$6)),FALSE)),O157=0,R157=0,T157&gt;0,AND(P157&lt;&gt;"DIMENSIONES",P157&lt;&gt;"DIRECTA",P157&lt;&gt;"SIN LÍNEAS",P157&lt;&gt;"CABECERA"),AND(OR(P157="DIRECTA",P157="DIMENSIONES"),U157=0),AND(OR(P157="SIN LÍNEAS",P157="CABECERA"),COUNTA(G157:J157)&gt;0)),2,IF(OR(P157="SIN LÍNEAS",Y157&gt;0,Z157&gt;0,AA157&gt;0,SUMPRODUCT(--('LÉEME'!$B$65:$B$86=AC157))&lt;&gt;1),1,0)))</f>
      </c>
      <c r="Y157" s="0" t="n">
        <f>IF(AND(P157="DIMENSIONES",S157="m²",COUNT(H157:J157)=3),1,0)</f>
        <v>0</v>
      </c>
      <c r="Z157" s="0" t="n">
        <f>IF(IF(ISNUMBER($E$6),AND($E$6&gt;=0,$E$6&lt;=6,$E$6=INT($E$6)),FALSE),IF(SUM(IF(ISNUMBER(F157),IF(ABS(F157-ROUND(F157,$E$6))&gt;0.00000001,1,0),0),IF(ISNUMBER(G157),IF(ABS(G157-ROUND(G157,$E$6))&gt;0.00000001,1,0),0),IF(ISNUMBER(H157),IF(ABS(H157-ROUND(H157,$E$6))&gt;0.00000001,1,0),0),IF(ISNUMBER(I157),IF(ABS(I157-ROUND(I157,$E$6))&gt;0.00000001,1,0),0),IF(ISNUMBER(J157),IF(ABS(J157-ROUND(J157,$E$6))&gt;0.00000001,1,0),0),IF(ISNUMBER(M157),IF(ABS(M157-ROUND(M157,$E$6))&gt;0.00000001,1,0),0))&gt;0,1,0),0)</f>
        <v>0</v>
      </c>
      <c r="AA157" s="0" t="n">
        <f>IF(COUNTA(B157:L157)=0,0,IF(OR(AND(ISNUMBER(F157),F157&lt;0),AND(U157=1,OR(SUM(IF(ISNUMBER(G157),IF(G157=0,1,0),0),IF(ISNUMBER(H157),IF(H157=0,1,0),0),IF(ISNUMBER(I157),IF(I157=0,1,0),0),IF(ISNUMBER(J157),IF(J157=0,1,0),0))&gt;0,COUNTIFS(G157:J157,"&lt;0")&gt;0)),AND(P157="DIMENSIONES",U157=1,OR(AND(S157="m",COUNT(H157:J157)&lt;&gt;1),AND(S157="m²",COUNT(H157:J157)&lt;&gt;2,Y157=0),AND(S157="m³",COUNT(H157:J157)&lt;&gt;3),AND(S157="ud",COUNT(H157:J157)&gt;0))),AND(P157="DIRECTA",OR(S157="m",S157="m²",S157="m³"))),1,0))</f>
        <v>0</v>
      </c>
      <c r="AB157" s="0">
        <f>IF(LEN(TRIM(E157&amp;""))&gt;0,E157,IF(R157&gt;0,INDEX($E$13:$E$512,R157),""))</f>
      </c>
      <c r="AC157" s="0">
        <f>UPPER(SUBSTITUTE(SUBSTITUTE(SUBSTITUTE(SUBSTITUTE(SUBSTITUTE(TRIM(AB157),"²","2"),"³","3"),"^",""),".","")," ",""))</f>
      </c>
    </row>
    <row r="158" ht="35" customHeight="1">
      <c r="B158" s="35"/>
      <c r="C158" s="35"/>
      <c r="D158" s="37"/>
      <c r="E158" s="35"/>
      <c r="F158" s="38"/>
      <c r="G158" s="38"/>
      <c r="H158" s="38"/>
      <c r="I158" s="38"/>
      <c r="J158" s="38"/>
      <c r="K158" s="35"/>
      <c r="L158" s="35"/>
      <c r="M158" s="39">
        <f>IF(U158&lt;&gt;1,"",IF(P158="DIRECTA",G158,IF(ISNUMBER(G158),G158,1)*IF(ISNUMBER(H158),H158,1)*IF(ISNUMBER(I158),I158,1)*IF(ISNUMBER(J158),J158,1)))</f>
      </c>
      <c r="N158" s="30">
        <f>IF(COUNTA(B158:L158)=0,"",IF(X158=0,IF(P158="CABECERA","VERDE · Fila descriptiva; la suma usa las líneas del ID","VERDE · Datos numéricos interpretables"),IF(X158=2,"ROJO · ","ÁMBAR · ")&amp;IF(NOT(IF(ISNUMBER($E$6),AND($E$6&gt;=0,$E$6&lt;=6,$E$6=INT($E$6)),FALSE)),"Indicamos entre 0 y 6 decimales en E6. ","")&amp;IF(O158=0,"Falta un ID numérico. ","")&amp;IF(R158=0,"Faltan capítulo, código, unidad o total numérico del ID. ","")&amp;IF(T158&gt;0,"Los datos o el total del ID se contradicen. ","")&amp;IF(AND(P158&lt;&gt;"DIMENSIONES",P158&lt;&gt;"DIRECTA",P158&lt;&gt;"SIN LÍNEAS",P158&lt;&gt;"CABECERA"),"Tipo de fila no reconocido. ","")&amp;IF(AND(OR(P158="SIN LÍNEAS",P158="CABECERA"),COUNTA(G158:J158)&gt;0),"La fila dice que no mide, pero contiene medidas. ","")&amp;IF(AND(OR(P158="DIRECTA",P158="DIMENSIONES"),U158=0),"Línea incompleta o con medidas no numéricas. ","")&amp;IF(P158="SIN LÍNEAS","No constan medidas de esta fila. ","")&amp;IF(Y158&gt;0,"Parece m³: tres dimensiones bajo m². ","")&amp;IF(AND(AB158&lt;&gt;"",SUMPRODUCT(--('LÉEME'!$B$65:$B$86=AC158))&lt;&gt;1),"Revisamos el significado de la unidad. ","")&amp;IF(Z158&gt;0,"Más precisión que los decimales indicados: cotejamos el original. ","")&amp;IF(AA158&gt;0,"Revisamos dimensiones, cantidad directa, ceros o deducción. ","")))</f>
      </c>
      <c r="O158" s="0" t="n">
        <f>IF(ISNUMBER(K158),IF(AND(K158&gt;0,K158=INT(K158),K158&lt;=999999),K158,0),0)</f>
        <v>0</v>
      </c>
      <c r="P158" s="0">
        <f>IF(COUNTA(B158:L158)=0,"",IF(L158="",IF(COUNTA(G158:J158)&gt;0,"DIMENSIONES","SIN LÍNEAS"),UPPER(TRIM(L158))))</f>
      </c>
      <c r="Q158" s="0">
        <f>IF(AND(O158&gt;0,LEN(TRIM(B158&amp;""))&gt;0,LEN(TRIM(C158&amp;""))&gt;0,LEN(TRIM(E158&amp;""))&gt;0,ISNUMBER(F158)),O158,"")</f>
      </c>
      <c r="R158" s="0" t="n">
        <f>IF(O158=0,0,IF(COUNTIFS($Q$13:$Q$512,O158)&gt;0,MATCH(O158,$Q$13:$Q$512,0),0))</f>
        <v>0</v>
      </c>
      <c r="S158" s="0">
        <f>IF(AB158="","",IF(SUMPRODUCT(--('LÉEME'!$B$65:$B$86=AC158))=1,INDEX('LÉEME'!$C$65:$C$86,MATCH(AC158,'LÉEME'!$B$65:$B$86,0)),UPPER(TRIM(AB158))))</f>
      </c>
      <c r="T158" s="0" t="n">
        <f>IF(R158=0,0,IF(OR(AND(LEN(TRIM(B158&amp;""))&gt;0,UPPER(TRIM(B158&amp;""))&lt;&gt;UPPER(TRIM(INDEX($B$13:$B$512,R158)&amp;""))),AND(LEN(TRIM(C158&amp;""))&gt;0,UPPER(TRIM(C158&amp;""))&lt;&gt;UPPER(TRIM(INDEX($C$13:$C$512,R158)&amp;""))),AND(LEN(TRIM(E158&amp;""))&gt;0,S158&lt;&gt;INDEX($S$13:$S$512,R158)),AND(F158&lt;&gt;"",NOT(ISNUMBER(F158)))),1,IF(ISNUMBER(F158),IF(ABS(F158-INDEX($F$13:$F$512,R158))&gt;0.00000001,1,0),0)))</f>
        <v>0</v>
      </c>
      <c r="U158" s="0" t="n">
        <f>IF(P158="DIRECTA",IF(AND(ISNUMBER(G158),COUNTA(H158:J158)=0),1,0),IF(P158="DIMENSIONES",IF(AND(COUNT(G158:J158)&gt;0,COUNTA(G158:J158)=COUNT(G158:J158)),1,0),0))</f>
        <v>0</v>
      </c>
      <c r="V158" s="0" t="n">
        <f>IF(O158=0,0,IF(COUNTIFS($O$13:O158,O158)=1,1,0))</f>
        <v>0</v>
      </c>
      <c r="W158" s="0">
        <f>IF(V158=1,COUNTIFS($V$13:V158,1),"")</f>
      </c>
      <c r="X158" s="0">
        <f>IF(COUNTA(B158:L158)=0,"",IF(OR(NOT(IF(ISNUMBER($E$6),AND($E$6&gt;=0,$E$6&lt;=6,$E$6=INT($E$6)),FALSE)),O158=0,R158=0,T158&gt;0,AND(P158&lt;&gt;"DIMENSIONES",P158&lt;&gt;"DIRECTA",P158&lt;&gt;"SIN LÍNEAS",P158&lt;&gt;"CABECERA"),AND(OR(P158="DIRECTA",P158="DIMENSIONES"),U158=0),AND(OR(P158="SIN LÍNEAS",P158="CABECERA"),COUNTA(G158:J158)&gt;0)),2,IF(OR(P158="SIN LÍNEAS",Y158&gt;0,Z158&gt;0,AA158&gt;0,SUMPRODUCT(--('LÉEME'!$B$65:$B$86=AC158))&lt;&gt;1),1,0)))</f>
      </c>
      <c r="Y158" s="0" t="n">
        <f>IF(AND(P158="DIMENSIONES",S158="m²",COUNT(H158:J158)=3),1,0)</f>
        <v>0</v>
      </c>
      <c r="Z158" s="0" t="n">
        <f>IF(IF(ISNUMBER($E$6),AND($E$6&gt;=0,$E$6&lt;=6,$E$6=INT($E$6)),FALSE),IF(SUM(IF(ISNUMBER(F158),IF(ABS(F158-ROUND(F158,$E$6))&gt;0.00000001,1,0),0),IF(ISNUMBER(G158),IF(ABS(G158-ROUND(G158,$E$6))&gt;0.00000001,1,0),0),IF(ISNUMBER(H158),IF(ABS(H158-ROUND(H158,$E$6))&gt;0.00000001,1,0),0),IF(ISNUMBER(I158),IF(ABS(I158-ROUND(I158,$E$6))&gt;0.00000001,1,0),0),IF(ISNUMBER(J158),IF(ABS(J158-ROUND(J158,$E$6))&gt;0.00000001,1,0),0),IF(ISNUMBER(M158),IF(ABS(M158-ROUND(M158,$E$6))&gt;0.00000001,1,0),0))&gt;0,1,0),0)</f>
        <v>0</v>
      </c>
      <c r="AA158" s="0" t="n">
        <f>IF(COUNTA(B158:L158)=0,0,IF(OR(AND(ISNUMBER(F158),F158&lt;0),AND(U158=1,OR(SUM(IF(ISNUMBER(G158),IF(G158=0,1,0),0),IF(ISNUMBER(H158),IF(H158=0,1,0),0),IF(ISNUMBER(I158),IF(I158=0,1,0),0),IF(ISNUMBER(J158),IF(J158=0,1,0),0))&gt;0,COUNTIFS(G158:J158,"&lt;0")&gt;0)),AND(P158="DIMENSIONES",U158=1,OR(AND(S158="m",COUNT(H158:J158)&lt;&gt;1),AND(S158="m²",COUNT(H158:J158)&lt;&gt;2,Y158=0),AND(S158="m³",COUNT(H158:J158)&lt;&gt;3),AND(S158="ud",COUNT(H158:J158)&gt;0))),AND(P158="DIRECTA",OR(S158="m",S158="m²",S158="m³"))),1,0))</f>
        <v>0</v>
      </c>
      <c r="AB158" s="0">
        <f>IF(LEN(TRIM(E158&amp;""))&gt;0,E158,IF(R158&gt;0,INDEX($E$13:$E$512,R158),""))</f>
      </c>
      <c r="AC158" s="0">
        <f>UPPER(SUBSTITUTE(SUBSTITUTE(SUBSTITUTE(SUBSTITUTE(SUBSTITUTE(TRIM(AB158),"²","2"),"³","3"),"^",""),".","")," ",""))</f>
      </c>
    </row>
    <row r="159" ht="35" customHeight="1">
      <c r="B159" s="35"/>
      <c r="C159" s="35"/>
      <c r="D159" s="37"/>
      <c r="E159" s="35"/>
      <c r="F159" s="38"/>
      <c r="G159" s="38"/>
      <c r="H159" s="38"/>
      <c r="I159" s="38"/>
      <c r="J159" s="38"/>
      <c r="K159" s="35"/>
      <c r="L159" s="35"/>
      <c r="M159" s="39">
        <f>IF(U159&lt;&gt;1,"",IF(P159="DIRECTA",G159,IF(ISNUMBER(G159),G159,1)*IF(ISNUMBER(H159),H159,1)*IF(ISNUMBER(I159),I159,1)*IF(ISNUMBER(J159),J159,1)))</f>
      </c>
      <c r="N159" s="30">
        <f>IF(COUNTA(B159:L159)=0,"",IF(X159=0,IF(P159="CABECERA","VERDE · Fila descriptiva; la suma usa las líneas del ID","VERDE · Datos numéricos interpretables"),IF(X159=2,"ROJO · ","ÁMBAR · ")&amp;IF(NOT(IF(ISNUMBER($E$6),AND($E$6&gt;=0,$E$6&lt;=6,$E$6=INT($E$6)),FALSE)),"Indicamos entre 0 y 6 decimales en E6. ","")&amp;IF(O159=0,"Falta un ID numérico. ","")&amp;IF(R159=0,"Faltan capítulo, código, unidad o total numérico del ID. ","")&amp;IF(T159&gt;0,"Los datos o el total del ID se contradicen. ","")&amp;IF(AND(P159&lt;&gt;"DIMENSIONES",P159&lt;&gt;"DIRECTA",P159&lt;&gt;"SIN LÍNEAS",P159&lt;&gt;"CABECERA"),"Tipo de fila no reconocido. ","")&amp;IF(AND(OR(P159="SIN LÍNEAS",P159="CABECERA"),COUNTA(G159:J159)&gt;0),"La fila dice que no mide, pero contiene medidas. ","")&amp;IF(AND(OR(P159="DIRECTA",P159="DIMENSIONES"),U159=0),"Línea incompleta o con medidas no numéricas. ","")&amp;IF(P159="SIN LÍNEAS","No constan medidas de esta fila. ","")&amp;IF(Y159&gt;0,"Parece m³: tres dimensiones bajo m². ","")&amp;IF(AND(AB159&lt;&gt;"",SUMPRODUCT(--('LÉEME'!$B$65:$B$86=AC159))&lt;&gt;1),"Revisamos el significado de la unidad. ","")&amp;IF(Z159&gt;0,"Más precisión que los decimales indicados: cotejamos el original. ","")&amp;IF(AA159&gt;0,"Revisamos dimensiones, cantidad directa, ceros o deducción. ","")))</f>
      </c>
      <c r="O159" s="0" t="n">
        <f>IF(ISNUMBER(K159),IF(AND(K159&gt;0,K159=INT(K159),K159&lt;=999999),K159,0),0)</f>
        <v>0</v>
      </c>
      <c r="P159" s="0">
        <f>IF(COUNTA(B159:L159)=0,"",IF(L159="",IF(COUNTA(G159:J159)&gt;0,"DIMENSIONES","SIN LÍNEAS"),UPPER(TRIM(L159))))</f>
      </c>
      <c r="Q159" s="0">
        <f>IF(AND(O159&gt;0,LEN(TRIM(B159&amp;""))&gt;0,LEN(TRIM(C159&amp;""))&gt;0,LEN(TRIM(E159&amp;""))&gt;0,ISNUMBER(F159)),O159,"")</f>
      </c>
      <c r="R159" s="0" t="n">
        <f>IF(O159=0,0,IF(COUNTIFS($Q$13:$Q$512,O159)&gt;0,MATCH(O159,$Q$13:$Q$512,0),0))</f>
        <v>0</v>
      </c>
      <c r="S159" s="0">
        <f>IF(AB159="","",IF(SUMPRODUCT(--('LÉEME'!$B$65:$B$86=AC159))=1,INDEX('LÉEME'!$C$65:$C$86,MATCH(AC159,'LÉEME'!$B$65:$B$86,0)),UPPER(TRIM(AB159))))</f>
      </c>
      <c r="T159" s="0" t="n">
        <f>IF(R159=0,0,IF(OR(AND(LEN(TRIM(B159&amp;""))&gt;0,UPPER(TRIM(B159&amp;""))&lt;&gt;UPPER(TRIM(INDEX($B$13:$B$512,R159)&amp;""))),AND(LEN(TRIM(C159&amp;""))&gt;0,UPPER(TRIM(C159&amp;""))&lt;&gt;UPPER(TRIM(INDEX($C$13:$C$512,R159)&amp;""))),AND(LEN(TRIM(E159&amp;""))&gt;0,S159&lt;&gt;INDEX($S$13:$S$512,R159)),AND(F159&lt;&gt;"",NOT(ISNUMBER(F159)))),1,IF(ISNUMBER(F159),IF(ABS(F159-INDEX($F$13:$F$512,R159))&gt;0.00000001,1,0),0)))</f>
        <v>0</v>
      </c>
      <c r="U159" s="0" t="n">
        <f>IF(P159="DIRECTA",IF(AND(ISNUMBER(G159),COUNTA(H159:J159)=0),1,0),IF(P159="DIMENSIONES",IF(AND(COUNT(G159:J159)&gt;0,COUNTA(G159:J159)=COUNT(G159:J159)),1,0),0))</f>
        <v>0</v>
      </c>
      <c r="V159" s="0" t="n">
        <f>IF(O159=0,0,IF(COUNTIFS($O$13:O159,O159)=1,1,0))</f>
        <v>0</v>
      </c>
      <c r="W159" s="0">
        <f>IF(V159=1,COUNTIFS($V$13:V159,1),"")</f>
      </c>
      <c r="X159" s="0">
        <f>IF(COUNTA(B159:L159)=0,"",IF(OR(NOT(IF(ISNUMBER($E$6),AND($E$6&gt;=0,$E$6&lt;=6,$E$6=INT($E$6)),FALSE)),O159=0,R159=0,T159&gt;0,AND(P159&lt;&gt;"DIMENSIONES",P159&lt;&gt;"DIRECTA",P159&lt;&gt;"SIN LÍNEAS",P159&lt;&gt;"CABECERA"),AND(OR(P159="DIRECTA",P159="DIMENSIONES"),U159=0),AND(OR(P159="SIN LÍNEAS",P159="CABECERA"),COUNTA(G159:J159)&gt;0)),2,IF(OR(P159="SIN LÍNEAS",Y159&gt;0,Z159&gt;0,AA159&gt;0,SUMPRODUCT(--('LÉEME'!$B$65:$B$86=AC159))&lt;&gt;1),1,0)))</f>
      </c>
      <c r="Y159" s="0" t="n">
        <f>IF(AND(P159="DIMENSIONES",S159="m²",COUNT(H159:J159)=3),1,0)</f>
        <v>0</v>
      </c>
      <c r="Z159" s="0" t="n">
        <f>IF(IF(ISNUMBER($E$6),AND($E$6&gt;=0,$E$6&lt;=6,$E$6=INT($E$6)),FALSE),IF(SUM(IF(ISNUMBER(F159),IF(ABS(F159-ROUND(F159,$E$6))&gt;0.00000001,1,0),0),IF(ISNUMBER(G159),IF(ABS(G159-ROUND(G159,$E$6))&gt;0.00000001,1,0),0),IF(ISNUMBER(H159),IF(ABS(H159-ROUND(H159,$E$6))&gt;0.00000001,1,0),0),IF(ISNUMBER(I159),IF(ABS(I159-ROUND(I159,$E$6))&gt;0.00000001,1,0),0),IF(ISNUMBER(J159),IF(ABS(J159-ROUND(J159,$E$6))&gt;0.00000001,1,0),0),IF(ISNUMBER(M159),IF(ABS(M159-ROUND(M159,$E$6))&gt;0.00000001,1,0),0))&gt;0,1,0),0)</f>
        <v>0</v>
      </c>
      <c r="AA159" s="0" t="n">
        <f>IF(COUNTA(B159:L159)=0,0,IF(OR(AND(ISNUMBER(F159),F159&lt;0),AND(U159=1,OR(SUM(IF(ISNUMBER(G159),IF(G159=0,1,0),0),IF(ISNUMBER(H159),IF(H159=0,1,0),0),IF(ISNUMBER(I159),IF(I159=0,1,0),0),IF(ISNUMBER(J159),IF(J159=0,1,0),0))&gt;0,COUNTIFS(G159:J159,"&lt;0")&gt;0)),AND(P159="DIMENSIONES",U159=1,OR(AND(S159="m",COUNT(H159:J159)&lt;&gt;1),AND(S159="m²",COUNT(H159:J159)&lt;&gt;2,Y159=0),AND(S159="m³",COUNT(H159:J159)&lt;&gt;3),AND(S159="ud",COUNT(H159:J159)&gt;0))),AND(P159="DIRECTA",OR(S159="m",S159="m²",S159="m³"))),1,0))</f>
        <v>0</v>
      </c>
      <c r="AB159" s="0">
        <f>IF(LEN(TRIM(E159&amp;""))&gt;0,E159,IF(R159&gt;0,INDEX($E$13:$E$512,R159),""))</f>
      </c>
      <c r="AC159" s="0">
        <f>UPPER(SUBSTITUTE(SUBSTITUTE(SUBSTITUTE(SUBSTITUTE(SUBSTITUTE(TRIM(AB159),"²","2"),"³","3"),"^",""),".","")," ",""))</f>
      </c>
    </row>
    <row r="160" ht="35" customHeight="1">
      <c r="B160" s="35"/>
      <c r="C160" s="35"/>
      <c r="D160" s="37"/>
      <c r="E160" s="35"/>
      <c r="F160" s="38"/>
      <c r="G160" s="38"/>
      <c r="H160" s="38"/>
      <c r="I160" s="38"/>
      <c r="J160" s="38"/>
      <c r="K160" s="35"/>
      <c r="L160" s="35"/>
      <c r="M160" s="39">
        <f>IF(U160&lt;&gt;1,"",IF(P160="DIRECTA",G160,IF(ISNUMBER(G160),G160,1)*IF(ISNUMBER(H160),H160,1)*IF(ISNUMBER(I160),I160,1)*IF(ISNUMBER(J160),J160,1)))</f>
      </c>
      <c r="N160" s="30">
        <f>IF(COUNTA(B160:L160)=0,"",IF(X160=0,IF(P160="CABECERA","VERDE · Fila descriptiva; la suma usa las líneas del ID","VERDE · Datos numéricos interpretables"),IF(X160=2,"ROJO · ","ÁMBAR · ")&amp;IF(NOT(IF(ISNUMBER($E$6),AND($E$6&gt;=0,$E$6&lt;=6,$E$6=INT($E$6)),FALSE)),"Indicamos entre 0 y 6 decimales en E6. ","")&amp;IF(O160=0,"Falta un ID numérico. ","")&amp;IF(R160=0,"Faltan capítulo, código, unidad o total numérico del ID. ","")&amp;IF(T160&gt;0,"Los datos o el total del ID se contradicen. ","")&amp;IF(AND(P160&lt;&gt;"DIMENSIONES",P160&lt;&gt;"DIRECTA",P160&lt;&gt;"SIN LÍNEAS",P160&lt;&gt;"CABECERA"),"Tipo de fila no reconocido. ","")&amp;IF(AND(OR(P160="SIN LÍNEAS",P160="CABECERA"),COUNTA(G160:J160)&gt;0),"La fila dice que no mide, pero contiene medidas. ","")&amp;IF(AND(OR(P160="DIRECTA",P160="DIMENSIONES"),U160=0),"Línea incompleta o con medidas no numéricas. ","")&amp;IF(P160="SIN LÍNEAS","No constan medidas de esta fila. ","")&amp;IF(Y160&gt;0,"Parece m³: tres dimensiones bajo m². ","")&amp;IF(AND(AB160&lt;&gt;"",SUMPRODUCT(--('LÉEME'!$B$65:$B$86=AC160))&lt;&gt;1),"Revisamos el significado de la unidad. ","")&amp;IF(Z160&gt;0,"Más precisión que los decimales indicados: cotejamos el original. ","")&amp;IF(AA160&gt;0,"Revisamos dimensiones, cantidad directa, ceros o deducción. ","")))</f>
      </c>
      <c r="O160" s="0" t="n">
        <f>IF(ISNUMBER(K160),IF(AND(K160&gt;0,K160=INT(K160),K160&lt;=999999),K160,0),0)</f>
        <v>0</v>
      </c>
      <c r="P160" s="0">
        <f>IF(COUNTA(B160:L160)=0,"",IF(L160="",IF(COUNTA(G160:J160)&gt;0,"DIMENSIONES","SIN LÍNEAS"),UPPER(TRIM(L160))))</f>
      </c>
      <c r="Q160" s="0">
        <f>IF(AND(O160&gt;0,LEN(TRIM(B160&amp;""))&gt;0,LEN(TRIM(C160&amp;""))&gt;0,LEN(TRIM(E160&amp;""))&gt;0,ISNUMBER(F160)),O160,"")</f>
      </c>
      <c r="R160" s="0" t="n">
        <f>IF(O160=0,0,IF(COUNTIFS($Q$13:$Q$512,O160)&gt;0,MATCH(O160,$Q$13:$Q$512,0),0))</f>
        <v>0</v>
      </c>
      <c r="S160" s="0">
        <f>IF(AB160="","",IF(SUMPRODUCT(--('LÉEME'!$B$65:$B$86=AC160))=1,INDEX('LÉEME'!$C$65:$C$86,MATCH(AC160,'LÉEME'!$B$65:$B$86,0)),UPPER(TRIM(AB160))))</f>
      </c>
      <c r="T160" s="0" t="n">
        <f>IF(R160=0,0,IF(OR(AND(LEN(TRIM(B160&amp;""))&gt;0,UPPER(TRIM(B160&amp;""))&lt;&gt;UPPER(TRIM(INDEX($B$13:$B$512,R160)&amp;""))),AND(LEN(TRIM(C160&amp;""))&gt;0,UPPER(TRIM(C160&amp;""))&lt;&gt;UPPER(TRIM(INDEX($C$13:$C$512,R160)&amp;""))),AND(LEN(TRIM(E160&amp;""))&gt;0,S160&lt;&gt;INDEX($S$13:$S$512,R160)),AND(F160&lt;&gt;"",NOT(ISNUMBER(F160)))),1,IF(ISNUMBER(F160),IF(ABS(F160-INDEX($F$13:$F$512,R160))&gt;0.00000001,1,0),0)))</f>
        <v>0</v>
      </c>
      <c r="U160" s="0" t="n">
        <f>IF(P160="DIRECTA",IF(AND(ISNUMBER(G160),COUNTA(H160:J160)=0),1,0),IF(P160="DIMENSIONES",IF(AND(COUNT(G160:J160)&gt;0,COUNTA(G160:J160)=COUNT(G160:J160)),1,0),0))</f>
        <v>0</v>
      </c>
      <c r="V160" s="0" t="n">
        <f>IF(O160=0,0,IF(COUNTIFS($O$13:O160,O160)=1,1,0))</f>
        <v>0</v>
      </c>
      <c r="W160" s="0">
        <f>IF(V160=1,COUNTIFS($V$13:V160,1),"")</f>
      </c>
      <c r="X160" s="0">
        <f>IF(COUNTA(B160:L160)=0,"",IF(OR(NOT(IF(ISNUMBER($E$6),AND($E$6&gt;=0,$E$6&lt;=6,$E$6=INT($E$6)),FALSE)),O160=0,R160=0,T160&gt;0,AND(P160&lt;&gt;"DIMENSIONES",P160&lt;&gt;"DIRECTA",P160&lt;&gt;"SIN LÍNEAS",P160&lt;&gt;"CABECERA"),AND(OR(P160="DIRECTA",P160="DIMENSIONES"),U160=0),AND(OR(P160="SIN LÍNEAS",P160="CABECERA"),COUNTA(G160:J160)&gt;0)),2,IF(OR(P160="SIN LÍNEAS",Y160&gt;0,Z160&gt;0,AA160&gt;0,SUMPRODUCT(--('LÉEME'!$B$65:$B$86=AC160))&lt;&gt;1),1,0)))</f>
      </c>
      <c r="Y160" s="0" t="n">
        <f>IF(AND(P160="DIMENSIONES",S160="m²",COUNT(H160:J160)=3),1,0)</f>
        <v>0</v>
      </c>
      <c r="Z160" s="0" t="n">
        <f>IF(IF(ISNUMBER($E$6),AND($E$6&gt;=0,$E$6&lt;=6,$E$6=INT($E$6)),FALSE),IF(SUM(IF(ISNUMBER(F160),IF(ABS(F160-ROUND(F160,$E$6))&gt;0.00000001,1,0),0),IF(ISNUMBER(G160),IF(ABS(G160-ROUND(G160,$E$6))&gt;0.00000001,1,0),0),IF(ISNUMBER(H160),IF(ABS(H160-ROUND(H160,$E$6))&gt;0.00000001,1,0),0),IF(ISNUMBER(I160),IF(ABS(I160-ROUND(I160,$E$6))&gt;0.00000001,1,0),0),IF(ISNUMBER(J160),IF(ABS(J160-ROUND(J160,$E$6))&gt;0.00000001,1,0),0),IF(ISNUMBER(M160),IF(ABS(M160-ROUND(M160,$E$6))&gt;0.00000001,1,0),0))&gt;0,1,0),0)</f>
        <v>0</v>
      </c>
      <c r="AA160" s="0" t="n">
        <f>IF(COUNTA(B160:L160)=0,0,IF(OR(AND(ISNUMBER(F160),F160&lt;0),AND(U160=1,OR(SUM(IF(ISNUMBER(G160),IF(G160=0,1,0),0),IF(ISNUMBER(H160),IF(H160=0,1,0),0),IF(ISNUMBER(I160),IF(I160=0,1,0),0),IF(ISNUMBER(J160),IF(J160=0,1,0),0))&gt;0,COUNTIFS(G160:J160,"&lt;0")&gt;0)),AND(P160="DIMENSIONES",U160=1,OR(AND(S160="m",COUNT(H160:J160)&lt;&gt;1),AND(S160="m²",COUNT(H160:J160)&lt;&gt;2,Y160=0),AND(S160="m³",COUNT(H160:J160)&lt;&gt;3),AND(S160="ud",COUNT(H160:J160)&gt;0))),AND(P160="DIRECTA",OR(S160="m",S160="m²",S160="m³"))),1,0))</f>
        <v>0</v>
      </c>
      <c r="AB160" s="0">
        <f>IF(LEN(TRIM(E160&amp;""))&gt;0,E160,IF(R160&gt;0,INDEX($E$13:$E$512,R160),""))</f>
      </c>
      <c r="AC160" s="0">
        <f>UPPER(SUBSTITUTE(SUBSTITUTE(SUBSTITUTE(SUBSTITUTE(SUBSTITUTE(TRIM(AB160),"²","2"),"³","3"),"^",""),".","")," ",""))</f>
      </c>
    </row>
    <row r="161" ht="35" customHeight="1">
      <c r="B161" s="35"/>
      <c r="C161" s="35"/>
      <c r="D161" s="37"/>
      <c r="E161" s="35"/>
      <c r="F161" s="38"/>
      <c r="G161" s="38"/>
      <c r="H161" s="38"/>
      <c r="I161" s="38"/>
      <c r="J161" s="38"/>
      <c r="K161" s="35"/>
      <c r="L161" s="35"/>
      <c r="M161" s="39">
        <f>IF(U161&lt;&gt;1,"",IF(P161="DIRECTA",G161,IF(ISNUMBER(G161),G161,1)*IF(ISNUMBER(H161),H161,1)*IF(ISNUMBER(I161),I161,1)*IF(ISNUMBER(J161),J161,1)))</f>
      </c>
      <c r="N161" s="30">
        <f>IF(COUNTA(B161:L161)=0,"",IF(X161=0,IF(P161="CABECERA","VERDE · Fila descriptiva; la suma usa las líneas del ID","VERDE · Datos numéricos interpretables"),IF(X161=2,"ROJO · ","ÁMBAR · ")&amp;IF(NOT(IF(ISNUMBER($E$6),AND($E$6&gt;=0,$E$6&lt;=6,$E$6=INT($E$6)),FALSE)),"Indicamos entre 0 y 6 decimales en E6. ","")&amp;IF(O161=0,"Falta un ID numérico. ","")&amp;IF(R161=0,"Faltan capítulo, código, unidad o total numérico del ID. ","")&amp;IF(T161&gt;0,"Los datos o el total del ID se contradicen. ","")&amp;IF(AND(P161&lt;&gt;"DIMENSIONES",P161&lt;&gt;"DIRECTA",P161&lt;&gt;"SIN LÍNEAS",P161&lt;&gt;"CABECERA"),"Tipo de fila no reconocido. ","")&amp;IF(AND(OR(P161="SIN LÍNEAS",P161="CABECERA"),COUNTA(G161:J161)&gt;0),"La fila dice que no mide, pero contiene medidas. ","")&amp;IF(AND(OR(P161="DIRECTA",P161="DIMENSIONES"),U161=0),"Línea incompleta o con medidas no numéricas. ","")&amp;IF(P161="SIN LÍNEAS","No constan medidas de esta fila. ","")&amp;IF(Y161&gt;0,"Parece m³: tres dimensiones bajo m². ","")&amp;IF(AND(AB161&lt;&gt;"",SUMPRODUCT(--('LÉEME'!$B$65:$B$86=AC161))&lt;&gt;1),"Revisamos el significado de la unidad. ","")&amp;IF(Z161&gt;0,"Más precisión que los decimales indicados: cotejamos el original. ","")&amp;IF(AA161&gt;0,"Revisamos dimensiones, cantidad directa, ceros o deducción. ","")))</f>
      </c>
      <c r="O161" s="0" t="n">
        <f>IF(ISNUMBER(K161),IF(AND(K161&gt;0,K161=INT(K161),K161&lt;=999999),K161,0),0)</f>
        <v>0</v>
      </c>
      <c r="P161" s="0">
        <f>IF(COUNTA(B161:L161)=0,"",IF(L161="",IF(COUNTA(G161:J161)&gt;0,"DIMENSIONES","SIN LÍNEAS"),UPPER(TRIM(L161))))</f>
      </c>
      <c r="Q161" s="0">
        <f>IF(AND(O161&gt;0,LEN(TRIM(B161&amp;""))&gt;0,LEN(TRIM(C161&amp;""))&gt;0,LEN(TRIM(E161&amp;""))&gt;0,ISNUMBER(F161)),O161,"")</f>
      </c>
      <c r="R161" s="0" t="n">
        <f>IF(O161=0,0,IF(COUNTIFS($Q$13:$Q$512,O161)&gt;0,MATCH(O161,$Q$13:$Q$512,0),0))</f>
        <v>0</v>
      </c>
      <c r="S161" s="0">
        <f>IF(AB161="","",IF(SUMPRODUCT(--('LÉEME'!$B$65:$B$86=AC161))=1,INDEX('LÉEME'!$C$65:$C$86,MATCH(AC161,'LÉEME'!$B$65:$B$86,0)),UPPER(TRIM(AB161))))</f>
      </c>
      <c r="T161" s="0" t="n">
        <f>IF(R161=0,0,IF(OR(AND(LEN(TRIM(B161&amp;""))&gt;0,UPPER(TRIM(B161&amp;""))&lt;&gt;UPPER(TRIM(INDEX($B$13:$B$512,R161)&amp;""))),AND(LEN(TRIM(C161&amp;""))&gt;0,UPPER(TRIM(C161&amp;""))&lt;&gt;UPPER(TRIM(INDEX($C$13:$C$512,R161)&amp;""))),AND(LEN(TRIM(E161&amp;""))&gt;0,S161&lt;&gt;INDEX($S$13:$S$512,R161)),AND(F161&lt;&gt;"",NOT(ISNUMBER(F161)))),1,IF(ISNUMBER(F161),IF(ABS(F161-INDEX($F$13:$F$512,R161))&gt;0.00000001,1,0),0)))</f>
        <v>0</v>
      </c>
      <c r="U161" s="0" t="n">
        <f>IF(P161="DIRECTA",IF(AND(ISNUMBER(G161),COUNTA(H161:J161)=0),1,0),IF(P161="DIMENSIONES",IF(AND(COUNT(G161:J161)&gt;0,COUNTA(G161:J161)=COUNT(G161:J161)),1,0),0))</f>
        <v>0</v>
      </c>
      <c r="V161" s="0" t="n">
        <f>IF(O161=0,0,IF(COUNTIFS($O$13:O161,O161)=1,1,0))</f>
        <v>0</v>
      </c>
      <c r="W161" s="0">
        <f>IF(V161=1,COUNTIFS($V$13:V161,1),"")</f>
      </c>
      <c r="X161" s="0">
        <f>IF(COUNTA(B161:L161)=0,"",IF(OR(NOT(IF(ISNUMBER($E$6),AND($E$6&gt;=0,$E$6&lt;=6,$E$6=INT($E$6)),FALSE)),O161=0,R161=0,T161&gt;0,AND(P161&lt;&gt;"DIMENSIONES",P161&lt;&gt;"DIRECTA",P161&lt;&gt;"SIN LÍNEAS",P161&lt;&gt;"CABECERA"),AND(OR(P161="DIRECTA",P161="DIMENSIONES"),U161=0),AND(OR(P161="SIN LÍNEAS",P161="CABECERA"),COUNTA(G161:J161)&gt;0)),2,IF(OR(P161="SIN LÍNEAS",Y161&gt;0,Z161&gt;0,AA161&gt;0,SUMPRODUCT(--('LÉEME'!$B$65:$B$86=AC161))&lt;&gt;1),1,0)))</f>
      </c>
      <c r="Y161" s="0" t="n">
        <f>IF(AND(P161="DIMENSIONES",S161="m²",COUNT(H161:J161)=3),1,0)</f>
        <v>0</v>
      </c>
      <c r="Z161" s="0" t="n">
        <f>IF(IF(ISNUMBER($E$6),AND($E$6&gt;=0,$E$6&lt;=6,$E$6=INT($E$6)),FALSE),IF(SUM(IF(ISNUMBER(F161),IF(ABS(F161-ROUND(F161,$E$6))&gt;0.00000001,1,0),0),IF(ISNUMBER(G161),IF(ABS(G161-ROUND(G161,$E$6))&gt;0.00000001,1,0),0),IF(ISNUMBER(H161),IF(ABS(H161-ROUND(H161,$E$6))&gt;0.00000001,1,0),0),IF(ISNUMBER(I161),IF(ABS(I161-ROUND(I161,$E$6))&gt;0.00000001,1,0),0),IF(ISNUMBER(J161),IF(ABS(J161-ROUND(J161,$E$6))&gt;0.00000001,1,0),0),IF(ISNUMBER(M161),IF(ABS(M161-ROUND(M161,$E$6))&gt;0.00000001,1,0),0))&gt;0,1,0),0)</f>
        <v>0</v>
      </c>
      <c r="AA161" s="0" t="n">
        <f>IF(COUNTA(B161:L161)=0,0,IF(OR(AND(ISNUMBER(F161),F161&lt;0),AND(U161=1,OR(SUM(IF(ISNUMBER(G161),IF(G161=0,1,0),0),IF(ISNUMBER(H161),IF(H161=0,1,0),0),IF(ISNUMBER(I161),IF(I161=0,1,0),0),IF(ISNUMBER(J161),IF(J161=0,1,0),0))&gt;0,COUNTIFS(G161:J161,"&lt;0")&gt;0)),AND(P161="DIMENSIONES",U161=1,OR(AND(S161="m",COUNT(H161:J161)&lt;&gt;1),AND(S161="m²",COUNT(H161:J161)&lt;&gt;2,Y161=0),AND(S161="m³",COUNT(H161:J161)&lt;&gt;3),AND(S161="ud",COUNT(H161:J161)&gt;0))),AND(P161="DIRECTA",OR(S161="m",S161="m²",S161="m³"))),1,0))</f>
        <v>0</v>
      </c>
      <c r="AB161" s="0">
        <f>IF(LEN(TRIM(E161&amp;""))&gt;0,E161,IF(R161&gt;0,INDEX($E$13:$E$512,R161),""))</f>
      </c>
      <c r="AC161" s="0">
        <f>UPPER(SUBSTITUTE(SUBSTITUTE(SUBSTITUTE(SUBSTITUTE(SUBSTITUTE(TRIM(AB161),"²","2"),"³","3"),"^",""),".","")," ",""))</f>
      </c>
    </row>
    <row r="162" ht="35" customHeight="1">
      <c r="B162" s="35"/>
      <c r="C162" s="35"/>
      <c r="D162" s="37"/>
      <c r="E162" s="35"/>
      <c r="F162" s="38"/>
      <c r="G162" s="38"/>
      <c r="H162" s="38"/>
      <c r="I162" s="38"/>
      <c r="J162" s="38"/>
      <c r="K162" s="35"/>
      <c r="L162" s="35"/>
      <c r="M162" s="39">
        <f>IF(U162&lt;&gt;1,"",IF(P162="DIRECTA",G162,IF(ISNUMBER(G162),G162,1)*IF(ISNUMBER(H162),H162,1)*IF(ISNUMBER(I162),I162,1)*IF(ISNUMBER(J162),J162,1)))</f>
      </c>
      <c r="N162" s="30">
        <f>IF(COUNTA(B162:L162)=0,"",IF(X162=0,IF(P162="CABECERA","VERDE · Fila descriptiva; la suma usa las líneas del ID","VERDE · Datos numéricos interpretables"),IF(X162=2,"ROJO · ","ÁMBAR · ")&amp;IF(NOT(IF(ISNUMBER($E$6),AND($E$6&gt;=0,$E$6&lt;=6,$E$6=INT($E$6)),FALSE)),"Indicamos entre 0 y 6 decimales en E6. ","")&amp;IF(O162=0,"Falta un ID numérico. ","")&amp;IF(R162=0,"Faltan capítulo, código, unidad o total numérico del ID. ","")&amp;IF(T162&gt;0,"Los datos o el total del ID se contradicen. ","")&amp;IF(AND(P162&lt;&gt;"DIMENSIONES",P162&lt;&gt;"DIRECTA",P162&lt;&gt;"SIN LÍNEAS",P162&lt;&gt;"CABECERA"),"Tipo de fila no reconocido. ","")&amp;IF(AND(OR(P162="SIN LÍNEAS",P162="CABECERA"),COUNTA(G162:J162)&gt;0),"La fila dice que no mide, pero contiene medidas. ","")&amp;IF(AND(OR(P162="DIRECTA",P162="DIMENSIONES"),U162=0),"Línea incompleta o con medidas no numéricas. ","")&amp;IF(P162="SIN LÍNEAS","No constan medidas de esta fila. ","")&amp;IF(Y162&gt;0,"Parece m³: tres dimensiones bajo m². ","")&amp;IF(AND(AB162&lt;&gt;"",SUMPRODUCT(--('LÉEME'!$B$65:$B$86=AC162))&lt;&gt;1),"Revisamos el significado de la unidad. ","")&amp;IF(Z162&gt;0,"Más precisión que los decimales indicados: cotejamos el original. ","")&amp;IF(AA162&gt;0,"Revisamos dimensiones, cantidad directa, ceros o deducción. ","")))</f>
      </c>
      <c r="O162" s="0" t="n">
        <f>IF(ISNUMBER(K162),IF(AND(K162&gt;0,K162=INT(K162),K162&lt;=999999),K162,0),0)</f>
        <v>0</v>
      </c>
      <c r="P162" s="0">
        <f>IF(COUNTA(B162:L162)=0,"",IF(L162="",IF(COUNTA(G162:J162)&gt;0,"DIMENSIONES","SIN LÍNEAS"),UPPER(TRIM(L162))))</f>
      </c>
      <c r="Q162" s="0">
        <f>IF(AND(O162&gt;0,LEN(TRIM(B162&amp;""))&gt;0,LEN(TRIM(C162&amp;""))&gt;0,LEN(TRIM(E162&amp;""))&gt;0,ISNUMBER(F162)),O162,"")</f>
      </c>
      <c r="R162" s="0" t="n">
        <f>IF(O162=0,0,IF(COUNTIFS($Q$13:$Q$512,O162)&gt;0,MATCH(O162,$Q$13:$Q$512,0),0))</f>
        <v>0</v>
      </c>
      <c r="S162" s="0">
        <f>IF(AB162="","",IF(SUMPRODUCT(--('LÉEME'!$B$65:$B$86=AC162))=1,INDEX('LÉEME'!$C$65:$C$86,MATCH(AC162,'LÉEME'!$B$65:$B$86,0)),UPPER(TRIM(AB162))))</f>
      </c>
      <c r="T162" s="0" t="n">
        <f>IF(R162=0,0,IF(OR(AND(LEN(TRIM(B162&amp;""))&gt;0,UPPER(TRIM(B162&amp;""))&lt;&gt;UPPER(TRIM(INDEX($B$13:$B$512,R162)&amp;""))),AND(LEN(TRIM(C162&amp;""))&gt;0,UPPER(TRIM(C162&amp;""))&lt;&gt;UPPER(TRIM(INDEX($C$13:$C$512,R162)&amp;""))),AND(LEN(TRIM(E162&amp;""))&gt;0,S162&lt;&gt;INDEX($S$13:$S$512,R162)),AND(F162&lt;&gt;"",NOT(ISNUMBER(F162)))),1,IF(ISNUMBER(F162),IF(ABS(F162-INDEX($F$13:$F$512,R162))&gt;0.00000001,1,0),0)))</f>
        <v>0</v>
      </c>
      <c r="U162" s="0" t="n">
        <f>IF(P162="DIRECTA",IF(AND(ISNUMBER(G162),COUNTA(H162:J162)=0),1,0),IF(P162="DIMENSIONES",IF(AND(COUNT(G162:J162)&gt;0,COUNTA(G162:J162)=COUNT(G162:J162)),1,0),0))</f>
        <v>0</v>
      </c>
      <c r="V162" s="0" t="n">
        <f>IF(O162=0,0,IF(COUNTIFS($O$13:O162,O162)=1,1,0))</f>
        <v>0</v>
      </c>
      <c r="W162" s="0">
        <f>IF(V162=1,COUNTIFS($V$13:V162,1),"")</f>
      </c>
      <c r="X162" s="0">
        <f>IF(COUNTA(B162:L162)=0,"",IF(OR(NOT(IF(ISNUMBER($E$6),AND($E$6&gt;=0,$E$6&lt;=6,$E$6=INT($E$6)),FALSE)),O162=0,R162=0,T162&gt;0,AND(P162&lt;&gt;"DIMENSIONES",P162&lt;&gt;"DIRECTA",P162&lt;&gt;"SIN LÍNEAS",P162&lt;&gt;"CABECERA"),AND(OR(P162="DIRECTA",P162="DIMENSIONES"),U162=0),AND(OR(P162="SIN LÍNEAS",P162="CABECERA"),COUNTA(G162:J162)&gt;0)),2,IF(OR(P162="SIN LÍNEAS",Y162&gt;0,Z162&gt;0,AA162&gt;0,SUMPRODUCT(--('LÉEME'!$B$65:$B$86=AC162))&lt;&gt;1),1,0)))</f>
      </c>
      <c r="Y162" s="0" t="n">
        <f>IF(AND(P162="DIMENSIONES",S162="m²",COUNT(H162:J162)=3),1,0)</f>
        <v>0</v>
      </c>
      <c r="Z162" s="0" t="n">
        <f>IF(IF(ISNUMBER($E$6),AND($E$6&gt;=0,$E$6&lt;=6,$E$6=INT($E$6)),FALSE),IF(SUM(IF(ISNUMBER(F162),IF(ABS(F162-ROUND(F162,$E$6))&gt;0.00000001,1,0),0),IF(ISNUMBER(G162),IF(ABS(G162-ROUND(G162,$E$6))&gt;0.00000001,1,0),0),IF(ISNUMBER(H162),IF(ABS(H162-ROUND(H162,$E$6))&gt;0.00000001,1,0),0),IF(ISNUMBER(I162),IF(ABS(I162-ROUND(I162,$E$6))&gt;0.00000001,1,0),0),IF(ISNUMBER(J162),IF(ABS(J162-ROUND(J162,$E$6))&gt;0.00000001,1,0),0),IF(ISNUMBER(M162),IF(ABS(M162-ROUND(M162,$E$6))&gt;0.00000001,1,0),0))&gt;0,1,0),0)</f>
        <v>0</v>
      </c>
      <c r="AA162" s="0" t="n">
        <f>IF(COUNTA(B162:L162)=0,0,IF(OR(AND(ISNUMBER(F162),F162&lt;0),AND(U162=1,OR(SUM(IF(ISNUMBER(G162),IF(G162=0,1,0),0),IF(ISNUMBER(H162),IF(H162=0,1,0),0),IF(ISNUMBER(I162),IF(I162=0,1,0),0),IF(ISNUMBER(J162),IF(J162=0,1,0),0))&gt;0,COUNTIFS(G162:J162,"&lt;0")&gt;0)),AND(P162="DIMENSIONES",U162=1,OR(AND(S162="m",COUNT(H162:J162)&lt;&gt;1),AND(S162="m²",COUNT(H162:J162)&lt;&gt;2,Y162=0),AND(S162="m³",COUNT(H162:J162)&lt;&gt;3),AND(S162="ud",COUNT(H162:J162)&gt;0))),AND(P162="DIRECTA",OR(S162="m",S162="m²",S162="m³"))),1,0))</f>
        <v>0</v>
      </c>
      <c r="AB162" s="0">
        <f>IF(LEN(TRIM(E162&amp;""))&gt;0,E162,IF(R162&gt;0,INDEX($E$13:$E$512,R162),""))</f>
      </c>
      <c r="AC162" s="0">
        <f>UPPER(SUBSTITUTE(SUBSTITUTE(SUBSTITUTE(SUBSTITUTE(SUBSTITUTE(TRIM(AB162),"²","2"),"³","3"),"^",""),".","")," ",""))</f>
      </c>
    </row>
    <row r="163" ht="35" customHeight="1">
      <c r="B163" s="35"/>
      <c r="C163" s="35"/>
      <c r="D163" s="37"/>
      <c r="E163" s="35"/>
      <c r="F163" s="38"/>
      <c r="G163" s="38"/>
      <c r="H163" s="38"/>
      <c r="I163" s="38"/>
      <c r="J163" s="38"/>
      <c r="K163" s="35"/>
      <c r="L163" s="35"/>
      <c r="M163" s="39">
        <f>IF(U163&lt;&gt;1,"",IF(P163="DIRECTA",G163,IF(ISNUMBER(G163),G163,1)*IF(ISNUMBER(H163),H163,1)*IF(ISNUMBER(I163),I163,1)*IF(ISNUMBER(J163),J163,1)))</f>
      </c>
      <c r="N163" s="30">
        <f>IF(COUNTA(B163:L163)=0,"",IF(X163=0,IF(P163="CABECERA","VERDE · Fila descriptiva; la suma usa las líneas del ID","VERDE · Datos numéricos interpretables"),IF(X163=2,"ROJO · ","ÁMBAR · ")&amp;IF(NOT(IF(ISNUMBER($E$6),AND($E$6&gt;=0,$E$6&lt;=6,$E$6=INT($E$6)),FALSE)),"Indicamos entre 0 y 6 decimales en E6. ","")&amp;IF(O163=0,"Falta un ID numérico. ","")&amp;IF(R163=0,"Faltan capítulo, código, unidad o total numérico del ID. ","")&amp;IF(T163&gt;0,"Los datos o el total del ID se contradicen. ","")&amp;IF(AND(P163&lt;&gt;"DIMENSIONES",P163&lt;&gt;"DIRECTA",P163&lt;&gt;"SIN LÍNEAS",P163&lt;&gt;"CABECERA"),"Tipo de fila no reconocido. ","")&amp;IF(AND(OR(P163="SIN LÍNEAS",P163="CABECERA"),COUNTA(G163:J163)&gt;0),"La fila dice que no mide, pero contiene medidas. ","")&amp;IF(AND(OR(P163="DIRECTA",P163="DIMENSIONES"),U163=0),"Línea incompleta o con medidas no numéricas. ","")&amp;IF(P163="SIN LÍNEAS","No constan medidas de esta fila. ","")&amp;IF(Y163&gt;0,"Parece m³: tres dimensiones bajo m². ","")&amp;IF(AND(AB163&lt;&gt;"",SUMPRODUCT(--('LÉEME'!$B$65:$B$86=AC163))&lt;&gt;1),"Revisamos el significado de la unidad. ","")&amp;IF(Z163&gt;0,"Más precisión que los decimales indicados: cotejamos el original. ","")&amp;IF(AA163&gt;0,"Revisamos dimensiones, cantidad directa, ceros o deducción. ","")))</f>
      </c>
      <c r="O163" s="0" t="n">
        <f>IF(ISNUMBER(K163),IF(AND(K163&gt;0,K163=INT(K163),K163&lt;=999999),K163,0),0)</f>
        <v>0</v>
      </c>
      <c r="P163" s="0">
        <f>IF(COUNTA(B163:L163)=0,"",IF(L163="",IF(COUNTA(G163:J163)&gt;0,"DIMENSIONES","SIN LÍNEAS"),UPPER(TRIM(L163))))</f>
      </c>
      <c r="Q163" s="0">
        <f>IF(AND(O163&gt;0,LEN(TRIM(B163&amp;""))&gt;0,LEN(TRIM(C163&amp;""))&gt;0,LEN(TRIM(E163&amp;""))&gt;0,ISNUMBER(F163)),O163,"")</f>
      </c>
      <c r="R163" s="0" t="n">
        <f>IF(O163=0,0,IF(COUNTIFS($Q$13:$Q$512,O163)&gt;0,MATCH(O163,$Q$13:$Q$512,0),0))</f>
        <v>0</v>
      </c>
      <c r="S163" s="0">
        <f>IF(AB163="","",IF(SUMPRODUCT(--('LÉEME'!$B$65:$B$86=AC163))=1,INDEX('LÉEME'!$C$65:$C$86,MATCH(AC163,'LÉEME'!$B$65:$B$86,0)),UPPER(TRIM(AB163))))</f>
      </c>
      <c r="T163" s="0" t="n">
        <f>IF(R163=0,0,IF(OR(AND(LEN(TRIM(B163&amp;""))&gt;0,UPPER(TRIM(B163&amp;""))&lt;&gt;UPPER(TRIM(INDEX($B$13:$B$512,R163)&amp;""))),AND(LEN(TRIM(C163&amp;""))&gt;0,UPPER(TRIM(C163&amp;""))&lt;&gt;UPPER(TRIM(INDEX($C$13:$C$512,R163)&amp;""))),AND(LEN(TRIM(E163&amp;""))&gt;0,S163&lt;&gt;INDEX($S$13:$S$512,R163)),AND(F163&lt;&gt;"",NOT(ISNUMBER(F163)))),1,IF(ISNUMBER(F163),IF(ABS(F163-INDEX($F$13:$F$512,R163))&gt;0.00000001,1,0),0)))</f>
        <v>0</v>
      </c>
      <c r="U163" s="0" t="n">
        <f>IF(P163="DIRECTA",IF(AND(ISNUMBER(G163),COUNTA(H163:J163)=0),1,0),IF(P163="DIMENSIONES",IF(AND(COUNT(G163:J163)&gt;0,COUNTA(G163:J163)=COUNT(G163:J163)),1,0),0))</f>
        <v>0</v>
      </c>
      <c r="V163" s="0" t="n">
        <f>IF(O163=0,0,IF(COUNTIFS($O$13:O163,O163)=1,1,0))</f>
        <v>0</v>
      </c>
      <c r="W163" s="0">
        <f>IF(V163=1,COUNTIFS($V$13:V163,1),"")</f>
      </c>
      <c r="X163" s="0">
        <f>IF(COUNTA(B163:L163)=0,"",IF(OR(NOT(IF(ISNUMBER($E$6),AND($E$6&gt;=0,$E$6&lt;=6,$E$6=INT($E$6)),FALSE)),O163=0,R163=0,T163&gt;0,AND(P163&lt;&gt;"DIMENSIONES",P163&lt;&gt;"DIRECTA",P163&lt;&gt;"SIN LÍNEAS",P163&lt;&gt;"CABECERA"),AND(OR(P163="DIRECTA",P163="DIMENSIONES"),U163=0),AND(OR(P163="SIN LÍNEAS",P163="CABECERA"),COUNTA(G163:J163)&gt;0)),2,IF(OR(P163="SIN LÍNEAS",Y163&gt;0,Z163&gt;0,AA163&gt;0,SUMPRODUCT(--('LÉEME'!$B$65:$B$86=AC163))&lt;&gt;1),1,0)))</f>
      </c>
      <c r="Y163" s="0" t="n">
        <f>IF(AND(P163="DIMENSIONES",S163="m²",COUNT(H163:J163)=3),1,0)</f>
        <v>0</v>
      </c>
      <c r="Z163" s="0" t="n">
        <f>IF(IF(ISNUMBER($E$6),AND($E$6&gt;=0,$E$6&lt;=6,$E$6=INT($E$6)),FALSE),IF(SUM(IF(ISNUMBER(F163),IF(ABS(F163-ROUND(F163,$E$6))&gt;0.00000001,1,0),0),IF(ISNUMBER(G163),IF(ABS(G163-ROUND(G163,$E$6))&gt;0.00000001,1,0),0),IF(ISNUMBER(H163),IF(ABS(H163-ROUND(H163,$E$6))&gt;0.00000001,1,0),0),IF(ISNUMBER(I163),IF(ABS(I163-ROUND(I163,$E$6))&gt;0.00000001,1,0),0),IF(ISNUMBER(J163),IF(ABS(J163-ROUND(J163,$E$6))&gt;0.00000001,1,0),0),IF(ISNUMBER(M163),IF(ABS(M163-ROUND(M163,$E$6))&gt;0.00000001,1,0),0))&gt;0,1,0),0)</f>
        <v>0</v>
      </c>
      <c r="AA163" s="0" t="n">
        <f>IF(COUNTA(B163:L163)=0,0,IF(OR(AND(ISNUMBER(F163),F163&lt;0),AND(U163=1,OR(SUM(IF(ISNUMBER(G163),IF(G163=0,1,0),0),IF(ISNUMBER(H163),IF(H163=0,1,0),0),IF(ISNUMBER(I163),IF(I163=0,1,0),0),IF(ISNUMBER(J163),IF(J163=0,1,0),0))&gt;0,COUNTIFS(G163:J163,"&lt;0")&gt;0)),AND(P163="DIMENSIONES",U163=1,OR(AND(S163="m",COUNT(H163:J163)&lt;&gt;1),AND(S163="m²",COUNT(H163:J163)&lt;&gt;2,Y163=0),AND(S163="m³",COUNT(H163:J163)&lt;&gt;3),AND(S163="ud",COUNT(H163:J163)&gt;0))),AND(P163="DIRECTA",OR(S163="m",S163="m²",S163="m³"))),1,0))</f>
        <v>0</v>
      </c>
      <c r="AB163" s="0">
        <f>IF(LEN(TRIM(E163&amp;""))&gt;0,E163,IF(R163&gt;0,INDEX($E$13:$E$512,R163),""))</f>
      </c>
      <c r="AC163" s="0">
        <f>UPPER(SUBSTITUTE(SUBSTITUTE(SUBSTITUTE(SUBSTITUTE(SUBSTITUTE(TRIM(AB163),"²","2"),"³","3"),"^",""),".","")," ",""))</f>
      </c>
    </row>
    <row r="164" ht="35" customHeight="1">
      <c r="B164" s="35"/>
      <c r="C164" s="35"/>
      <c r="D164" s="37"/>
      <c r="E164" s="35"/>
      <c r="F164" s="38"/>
      <c r="G164" s="38"/>
      <c r="H164" s="38"/>
      <c r="I164" s="38"/>
      <c r="J164" s="38"/>
      <c r="K164" s="35"/>
      <c r="L164" s="35"/>
      <c r="M164" s="39">
        <f>IF(U164&lt;&gt;1,"",IF(P164="DIRECTA",G164,IF(ISNUMBER(G164),G164,1)*IF(ISNUMBER(H164),H164,1)*IF(ISNUMBER(I164),I164,1)*IF(ISNUMBER(J164),J164,1)))</f>
      </c>
      <c r="N164" s="30">
        <f>IF(COUNTA(B164:L164)=0,"",IF(X164=0,IF(P164="CABECERA","VERDE · Fila descriptiva; la suma usa las líneas del ID","VERDE · Datos numéricos interpretables"),IF(X164=2,"ROJO · ","ÁMBAR · ")&amp;IF(NOT(IF(ISNUMBER($E$6),AND($E$6&gt;=0,$E$6&lt;=6,$E$6=INT($E$6)),FALSE)),"Indicamos entre 0 y 6 decimales en E6. ","")&amp;IF(O164=0,"Falta un ID numérico. ","")&amp;IF(R164=0,"Faltan capítulo, código, unidad o total numérico del ID. ","")&amp;IF(T164&gt;0,"Los datos o el total del ID se contradicen. ","")&amp;IF(AND(P164&lt;&gt;"DIMENSIONES",P164&lt;&gt;"DIRECTA",P164&lt;&gt;"SIN LÍNEAS",P164&lt;&gt;"CABECERA"),"Tipo de fila no reconocido. ","")&amp;IF(AND(OR(P164="SIN LÍNEAS",P164="CABECERA"),COUNTA(G164:J164)&gt;0),"La fila dice que no mide, pero contiene medidas. ","")&amp;IF(AND(OR(P164="DIRECTA",P164="DIMENSIONES"),U164=0),"Línea incompleta o con medidas no numéricas. ","")&amp;IF(P164="SIN LÍNEAS","No constan medidas de esta fila. ","")&amp;IF(Y164&gt;0,"Parece m³: tres dimensiones bajo m². ","")&amp;IF(AND(AB164&lt;&gt;"",SUMPRODUCT(--('LÉEME'!$B$65:$B$86=AC164))&lt;&gt;1),"Revisamos el significado de la unidad. ","")&amp;IF(Z164&gt;0,"Más precisión que los decimales indicados: cotejamos el original. ","")&amp;IF(AA164&gt;0,"Revisamos dimensiones, cantidad directa, ceros o deducción. ","")))</f>
      </c>
      <c r="O164" s="0" t="n">
        <f>IF(ISNUMBER(K164),IF(AND(K164&gt;0,K164=INT(K164),K164&lt;=999999),K164,0),0)</f>
        <v>0</v>
      </c>
      <c r="P164" s="0">
        <f>IF(COUNTA(B164:L164)=0,"",IF(L164="",IF(COUNTA(G164:J164)&gt;0,"DIMENSIONES","SIN LÍNEAS"),UPPER(TRIM(L164))))</f>
      </c>
      <c r="Q164" s="0">
        <f>IF(AND(O164&gt;0,LEN(TRIM(B164&amp;""))&gt;0,LEN(TRIM(C164&amp;""))&gt;0,LEN(TRIM(E164&amp;""))&gt;0,ISNUMBER(F164)),O164,"")</f>
      </c>
      <c r="R164" s="0" t="n">
        <f>IF(O164=0,0,IF(COUNTIFS($Q$13:$Q$512,O164)&gt;0,MATCH(O164,$Q$13:$Q$512,0),0))</f>
        <v>0</v>
      </c>
      <c r="S164" s="0">
        <f>IF(AB164="","",IF(SUMPRODUCT(--('LÉEME'!$B$65:$B$86=AC164))=1,INDEX('LÉEME'!$C$65:$C$86,MATCH(AC164,'LÉEME'!$B$65:$B$86,0)),UPPER(TRIM(AB164))))</f>
      </c>
      <c r="T164" s="0" t="n">
        <f>IF(R164=0,0,IF(OR(AND(LEN(TRIM(B164&amp;""))&gt;0,UPPER(TRIM(B164&amp;""))&lt;&gt;UPPER(TRIM(INDEX($B$13:$B$512,R164)&amp;""))),AND(LEN(TRIM(C164&amp;""))&gt;0,UPPER(TRIM(C164&amp;""))&lt;&gt;UPPER(TRIM(INDEX($C$13:$C$512,R164)&amp;""))),AND(LEN(TRIM(E164&amp;""))&gt;0,S164&lt;&gt;INDEX($S$13:$S$512,R164)),AND(F164&lt;&gt;"",NOT(ISNUMBER(F164)))),1,IF(ISNUMBER(F164),IF(ABS(F164-INDEX($F$13:$F$512,R164))&gt;0.00000001,1,0),0)))</f>
        <v>0</v>
      </c>
      <c r="U164" s="0" t="n">
        <f>IF(P164="DIRECTA",IF(AND(ISNUMBER(G164),COUNTA(H164:J164)=0),1,0),IF(P164="DIMENSIONES",IF(AND(COUNT(G164:J164)&gt;0,COUNTA(G164:J164)=COUNT(G164:J164)),1,0),0))</f>
        <v>0</v>
      </c>
      <c r="V164" s="0" t="n">
        <f>IF(O164=0,0,IF(COUNTIFS($O$13:O164,O164)=1,1,0))</f>
        <v>0</v>
      </c>
      <c r="W164" s="0">
        <f>IF(V164=1,COUNTIFS($V$13:V164,1),"")</f>
      </c>
      <c r="X164" s="0">
        <f>IF(COUNTA(B164:L164)=0,"",IF(OR(NOT(IF(ISNUMBER($E$6),AND($E$6&gt;=0,$E$6&lt;=6,$E$6=INT($E$6)),FALSE)),O164=0,R164=0,T164&gt;0,AND(P164&lt;&gt;"DIMENSIONES",P164&lt;&gt;"DIRECTA",P164&lt;&gt;"SIN LÍNEAS",P164&lt;&gt;"CABECERA"),AND(OR(P164="DIRECTA",P164="DIMENSIONES"),U164=0),AND(OR(P164="SIN LÍNEAS",P164="CABECERA"),COUNTA(G164:J164)&gt;0)),2,IF(OR(P164="SIN LÍNEAS",Y164&gt;0,Z164&gt;0,AA164&gt;0,SUMPRODUCT(--('LÉEME'!$B$65:$B$86=AC164))&lt;&gt;1),1,0)))</f>
      </c>
      <c r="Y164" s="0" t="n">
        <f>IF(AND(P164="DIMENSIONES",S164="m²",COUNT(H164:J164)=3),1,0)</f>
        <v>0</v>
      </c>
      <c r="Z164" s="0" t="n">
        <f>IF(IF(ISNUMBER($E$6),AND($E$6&gt;=0,$E$6&lt;=6,$E$6=INT($E$6)),FALSE),IF(SUM(IF(ISNUMBER(F164),IF(ABS(F164-ROUND(F164,$E$6))&gt;0.00000001,1,0),0),IF(ISNUMBER(G164),IF(ABS(G164-ROUND(G164,$E$6))&gt;0.00000001,1,0),0),IF(ISNUMBER(H164),IF(ABS(H164-ROUND(H164,$E$6))&gt;0.00000001,1,0),0),IF(ISNUMBER(I164),IF(ABS(I164-ROUND(I164,$E$6))&gt;0.00000001,1,0),0),IF(ISNUMBER(J164),IF(ABS(J164-ROUND(J164,$E$6))&gt;0.00000001,1,0),0),IF(ISNUMBER(M164),IF(ABS(M164-ROUND(M164,$E$6))&gt;0.00000001,1,0),0))&gt;0,1,0),0)</f>
        <v>0</v>
      </c>
      <c r="AA164" s="0" t="n">
        <f>IF(COUNTA(B164:L164)=0,0,IF(OR(AND(ISNUMBER(F164),F164&lt;0),AND(U164=1,OR(SUM(IF(ISNUMBER(G164),IF(G164=0,1,0),0),IF(ISNUMBER(H164),IF(H164=0,1,0),0),IF(ISNUMBER(I164),IF(I164=0,1,0),0),IF(ISNUMBER(J164),IF(J164=0,1,0),0))&gt;0,COUNTIFS(G164:J164,"&lt;0")&gt;0)),AND(P164="DIMENSIONES",U164=1,OR(AND(S164="m",COUNT(H164:J164)&lt;&gt;1),AND(S164="m²",COUNT(H164:J164)&lt;&gt;2,Y164=0),AND(S164="m³",COUNT(H164:J164)&lt;&gt;3),AND(S164="ud",COUNT(H164:J164)&gt;0))),AND(P164="DIRECTA",OR(S164="m",S164="m²",S164="m³"))),1,0))</f>
        <v>0</v>
      </c>
      <c r="AB164" s="0">
        <f>IF(LEN(TRIM(E164&amp;""))&gt;0,E164,IF(R164&gt;0,INDEX($E$13:$E$512,R164),""))</f>
      </c>
      <c r="AC164" s="0">
        <f>UPPER(SUBSTITUTE(SUBSTITUTE(SUBSTITUTE(SUBSTITUTE(SUBSTITUTE(TRIM(AB164),"²","2"),"³","3"),"^",""),".","")," ",""))</f>
      </c>
    </row>
    <row r="165" ht="35" customHeight="1">
      <c r="B165" s="35"/>
      <c r="C165" s="35"/>
      <c r="D165" s="37"/>
      <c r="E165" s="35"/>
      <c r="F165" s="38"/>
      <c r="G165" s="38"/>
      <c r="H165" s="38"/>
      <c r="I165" s="38"/>
      <c r="J165" s="38"/>
      <c r="K165" s="35"/>
      <c r="L165" s="35"/>
      <c r="M165" s="39">
        <f>IF(U165&lt;&gt;1,"",IF(P165="DIRECTA",G165,IF(ISNUMBER(G165),G165,1)*IF(ISNUMBER(H165),H165,1)*IF(ISNUMBER(I165),I165,1)*IF(ISNUMBER(J165),J165,1)))</f>
      </c>
      <c r="N165" s="30">
        <f>IF(COUNTA(B165:L165)=0,"",IF(X165=0,IF(P165="CABECERA","VERDE · Fila descriptiva; la suma usa las líneas del ID","VERDE · Datos numéricos interpretables"),IF(X165=2,"ROJO · ","ÁMBAR · ")&amp;IF(NOT(IF(ISNUMBER($E$6),AND($E$6&gt;=0,$E$6&lt;=6,$E$6=INT($E$6)),FALSE)),"Indicamos entre 0 y 6 decimales en E6. ","")&amp;IF(O165=0,"Falta un ID numérico. ","")&amp;IF(R165=0,"Faltan capítulo, código, unidad o total numérico del ID. ","")&amp;IF(T165&gt;0,"Los datos o el total del ID se contradicen. ","")&amp;IF(AND(P165&lt;&gt;"DIMENSIONES",P165&lt;&gt;"DIRECTA",P165&lt;&gt;"SIN LÍNEAS",P165&lt;&gt;"CABECERA"),"Tipo de fila no reconocido. ","")&amp;IF(AND(OR(P165="SIN LÍNEAS",P165="CABECERA"),COUNTA(G165:J165)&gt;0),"La fila dice que no mide, pero contiene medidas. ","")&amp;IF(AND(OR(P165="DIRECTA",P165="DIMENSIONES"),U165=0),"Línea incompleta o con medidas no numéricas. ","")&amp;IF(P165="SIN LÍNEAS","No constan medidas de esta fila. ","")&amp;IF(Y165&gt;0,"Parece m³: tres dimensiones bajo m². ","")&amp;IF(AND(AB165&lt;&gt;"",SUMPRODUCT(--('LÉEME'!$B$65:$B$86=AC165))&lt;&gt;1),"Revisamos el significado de la unidad. ","")&amp;IF(Z165&gt;0,"Más precisión que los decimales indicados: cotejamos el original. ","")&amp;IF(AA165&gt;0,"Revisamos dimensiones, cantidad directa, ceros o deducción. ","")))</f>
      </c>
      <c r="O165" s="0" t="n">
        <f>IF(ISNUMBER(K165),IF(AND(K165&gt;0,K165=INT(K165),K165&lt;=999999),K165,0),0)</f>
        <v>0</v>
      </c>
      <c r="P165" s="0">
        <f>IF(COUNTA(B165:L165)=0,"",IF(L165="",IF(COUNTA(G165:J165)&gt;0,"DIMENSIONES","SIN LÍNEAS"),UPPER(TRIM(L165))))</f>
      </c>
      <c r="Q165" s="0">
        <f>IF(AND(O165&gt;0,LEN(TRIM(B165&amp;""))&gt;0,LEN(TRIM(C165&amp;""))&gt;0,LEN(TRIM(E165&amp;""))&gt;0,ISNUMBER(F165)),O165,"")</f>
      </c>
      <c r="R165" s="0" t="n">
        <f>IF(O165=0,0,IF(COUNTIFS($Q$13:$Q$512,O165)&gt;0,MATCH(O165,$Q$13:$Q$512,0),0))</f>
        <v>0</v>
      </c>
      <c r="S165" s="0">
        <f>IF(AB165="","",IF(SUMPRODUCT(--('LÉEME'!$B$65:$B$86=AC165))=1,INDEX('LÉEME'!$C$65:$C$86,MATCH(AC165,'LÉEME'!$B$65:$B$86,0)),UPPER(TRIM(AB165))))</f>
      </c>
      <c r="T165" s="0" t="n">
        <f>IF(R165=0,0,IF(OR(AND(LEN(TRIM(B165&amp;""))&gt;0,UPPER(TRIM(B165&amp;""))&lt;&gt;UPPER(TRIM(INDEX($B$13:$B$512,R165)&amp;""))),AND(LEN(TRIM(C165&amp;""))&gt;0,UPPER(TRIM(C165&amp;""))&lt;&gt;UPPER(TRIM(INDEX($C$13:$C$512,R165)&amp;""))),AND(LEN(TRIM(E165&amp;""))&gt;0,S165&lt;&gt;INDEX($S$13:$S$512,R165)),AND(F165&lt;&gt;"",NOT(ISNUMBER(F165)))),1,IF(ISNUMBER(F165),IF(ABS(F165-INDEX($F$13:$F$512,R165))&gt;0.00000001,1,0),0)))</f>
        <v>0</v>
      </c>
      <c r="U165" s="0" t="n">
        <f>IF(P165="DIRECTA",IF(AND(ISNUMBER(G165),COUNTA(H165:J165)=0),1,0),IF(P165="DIMENSIONES",IF(AND(COUNT(G165:J165)&gt;0,COUNTA(G165:J165)=COUNT(G165:J165)),1,0),0))</f>
        <v>0</v>
      </c>
      <c r="V165" s="0" t="n">
        <f>IF(O165=0,0,IF(COUNTIFS($O$13:O165,O165)=1,1,0))</f>
        <v>0</v>
      </c>
      <c r="W165" s="0">
        <f>IF(V165=1,COUNTIFS($V$13:V165,1),"")</f>
      </c>
      <c r="X165" s="0">
        <f>IF(COUNTA(B165:L165)=0,"",IF(OR(NOT(IF(ISNUMBER($E$6),AND($E$6&gt;=0,$E$6&lt;=6,$E$6=INT($E$6)),FALSE)),O165=0,R165=0,T165&gt;0,AND(P165&lt;&gt;"DIMENSIONES",P165&lt;&gt;"DIRECTA",P165&lt;&gt;"SIN LÍNEAS",P165&lt;&gt;"CABECERA"),AND(OR(P165="DIRECTA",P165="DIMENSIONES"),U165=0),AND(OR(P165="SIN LÍNEAS",P165="CABECERA"),COUNTA(G165:J165)&gt;0)),2,IF(OR(P165="SIN LÍNEAS",Y165&gt;0,Z165&gt;0,AA165&gt;0,SUMPRODUCT(--('LÉEME'!$B$65:$B$86=AC165))&lt;&gt;1),1,0)))</f>
      </c>
      <c r="Y165" s="0" t="n">
        <f>IF(AND(P165="DIMENSIONES",S165="m²",COUNT(H165:J165)=3),1,0)</f>
        <v>0</v>
      </c>
      <c r="Z165" s="0" t="n">
        <f>IF(IF(ISNUMBER($E$6),AND($E$6&gt;=0,$E$6&lt;=6,$E$6=INT($E$6)),FALSE),IF(SUM(IF(ISNUMBER(F165),IF(ABS(F165-ROUND(F165,$E$6))&gt;0.00000001,1,0),0),IF(ISNUMBER(G165),IF(ABS(G165-ROUND(G165,$E$6))&gt;0.00000001,1,0),0),IF(ISNUMBER(H165),IF(ABS(H165-ROUND(H165,$E$6))&gt;0.00000001,1,0),0),IF(ISNUMBER(I165),IF(ABS(I165-ROUND(I165,$E$6))&gt;0.00000001,1,0),0),IF(ISNUMBER(J165),IF(ABS(J165-ROUND(J165,$E$6))&gt;0.00000001,1,0),0),IF(ISNUMBER(M165),IF(ABS(M165-ROUND(M165,$E$6))&gt;0.00000001,1,0),0))&gt;0,1,0),0)</f>
        <v>0</v>
      </c>
      <c r="AA165" s="0" t="n">
        <f>IF(COUNTA(B165:L165)=0,0,IF(OR(AND(ISNUMBER(F165),F165&lt;0),AND(U165=1,OR(SUM(IF(ISNUMBER(G165),IF(G165=0,1,0),0),IF(ISNUMBER(H165),IF(H165=0,1,0),0),IF(ISNUMBER(I165),IF(I165=0,1,0),0),IF(ISNUMBER(J165),IF(J165=0,1,0),0))&gt;0,COUNTIFS(G165:J165,"&lt;0")&gt;0)),AND(P165="DIMENSIONES",U165=1,OR(AND(S165="m",COUNT(H165:J165)&lt;&gt;1),AND(S165="m²",COUNT(H165:J165)&lt;&gt;2,Y165=0),AND(S165="m³",COUNT(H165:J165)&lt;&gt;3),AND(S165="ud",COUNT(H165:J165)&gt;0))),AND(P165="DIRECTA",OR(S165="m",S165="m²",S165="m³"))),1,0))</f>
        <v>0</v>
      </c>
      <c r="AB165" s="0">
        <f>IF(LEN(TRIM(E165&amp;""))&gt;0,E165,IF(R165&gt;0,INDEX($E$13:$E$512,R165),""))</f>
      </c>
      <c r="AC165" s="0">
        <f>UPPER(SUBSTITUTE(SUBSTITUTE(SUBSTITUTE(SUBSTITUTE(SUBSTITUTE(TRIM(AB165),"²","2"),"³","3"),"^",""),".","")," ",""))</f>
      </c>
    </row>
    <row r="166" ht="35" customHeight="1">
      <c r="B166" s="35"/>
      <c r="C166" s="35"/>
      <c r="D166" s="37"/>
      <c r="E166" s="35"/>
      <c r="F166" s="38"/>
      <c r="G166" s="38"/>
      <c r="H166" s="38"/>
      <c r="I166" s="38"/>
      <c r="J166" s="38"/>
      <c r="K166" s="35"/>
      <c r="L166" s="35"/>
      <c r="M166" s="39">
        <f>IF(U166&lt;&gt;1,"",IF(P166="DIRECTA",G166,IF(ISNUMBER(G166),G166,1)*IF(ISNUMBER(H166),H166,1)*IF(ISNUMBER(I166),I166,1)*IF(ISNUMBER(J166),J166,1)))</f>
      </c>
      <c r="N166" s="30">
        <f>IF(COUNTA(B166:L166)=0,"",IF(X166=0,IF(P166="CABECERA","VERDE · Fila descriptiva; la suma usa las líneas del ID","VERDE · Datos numéricos interpretables"),IF(X166=2,"ROJO · ","ÁMBAR · ")&amp;IF(NOT(IF(ISNUMBER($E$6),AND($E$6&gt;=0,$E$6&lt;=6,$E$6=INT($E$6)),FALSE)),"Indicamos entre 0 y 6 decimales en E6. ","")&amp;IF(O166=0,"Falta un ID numérico. ","")&amp;IF(R166=0,"Faltan capítulo, código, unidad o total numérico del ID. ","")&amp;IF(T166&gt;0,"Los datos o el total del ID se contradicen. ","")&amp;IF(AND(P166&lt;&gt;"DIMENSIONES",P166&lt;&gt;"DIRECTA",P166&lt;&gt;"SIN LÍNEAS",P166&lt;&gt;"CABECERA"),"Tipo de fila no reconocido. ","")&amp;IF(AND(OR(P166="SIN LÍNEAS",P166="CABECERA"),COUNTA(G166:J166)&gt;0),"La fila dice que no mide, pero contiene medidas. ","")&amp;IF(AND(OR(P166="DIRECTA",P166="DIMENSIONES"),U166=0),"Línea incompleta o con medidas no numéricas. ","")&amp;IF(P166="SIN LÍNEAS","No constan medidas de esta fila. ","")&amp;IF(Y166&gt;0,"Parece m³: tres dimensiones bajo m². ","")&amp;IF(AND(AB166&lt;&gt;"",SUMPRODUCT(--('LÉEME'!$B$65:$B$86=AC166))&lt;&gt;1),"Revisamos el significado de la unidad. ","")&amp;IF(Z166&gt;0,"Más precisión que los decimales indicados: cotejamos el original. ","")&amp;IF(AA166&gt;0,"Revisamos dimensiones, cantidad directa, ceros o deducción. ","")))</f>
      </c>
      <c r="O166" s="0" t="n">
        <f>IF(ISNUMBER(K166),IF(AND(K166&gt;0,K166=INT(K166),K166&lt;=999999),K166,0),0)</f>
        <v>0</v>
      </c>
      <c r="P166" s="0">
        <f>IF(COUNTA(B166:L166)=0,"",IF(L166="",IF(COUNTA(G166:J166)&gt;0,"DIMENSIONES","SIN LÍNEAS"),UPPER(TRIM(L166))))</f>
      </c>
      <c r="Q166" s="0">
        <f>IF(AND(O166&gt;0,LEN(TRIM(B166&amp;""))&gt;0,LEN(TRIM(C166&amp;""))&gt;0,LEN(TRIM(E166&amp;""))&gt;0,ISNUMBER(F166)),O166,"")</f>
      </c>
      <c r="R166" s="0" t="n">
        <f>IF(O166=0,0,IF(COUNTIFS($Q$13:$Q$512,O166)&gt;0,MATCH(O166,$Q$13:$Q$512,0),0))</f>
        <v>0</v>
      </c>
      <c r="S166" s="0">
        <f>IF(AB166="","",IF(SUMPRODUCT(--('LÉEME'!$B$65:$B$86=AC166))=1,INDEX('LÉEME'!$C$65:$C$86,MATCH(AC166,'LÉEME'!$B$65:$B$86,0)),UPPER(TRIM(AB166))))</f>
      </c>
      <c r="T166" s="0" t="n">
        <f>IF(R166=0,0,IF(OR(AND(LEN(TRIM(B166&amp;""))&gt;0,UPPER(TRIM(B166&amp;""))&lt;&gt;UPPER(TRIM(INDEX($B$13:$B$512,R166)&amp;""))),AND(LEN(TRIM(C166&amp;""))&gt;0,UPPER(TRIM(C166&amp;""))&lt;&gt;UPPER(TRIM(INDEX($C$13:$C$512,R166)&amp;""))),AND(LEN(TRIM(E166&amp;""))&gt;0,S166&lt;&gt;INDEX($S$13:$S$512,R166)),AND(F166&lt;&gt;"",NOT(ISNUMBER(F166)))),1,IF(ISNUMBER(F166),IF(ABS(F166-INDEX($F$13:$F$512,R166))&gt;0.00000001,1,0),0)))</f>
        <v>0</v>
      </c>
      <c r="U166" s="0" t="n">
        <f>IF(P166="DIRECTA",IF(AND(ISNUMBER(G166),COUNTA(H166:J166)=0),1,0),IF(P166="DIMENSIONES",IF(AND(COUNT(G166:J166)&gt;0,COUNTA(G166:J166)=COUNT(G166:J166)),1,0),0))</f>
        <v>0</v>
      </c>
      <c r="V166" s="0" t="n">
        <f>IF(O166=0,0,IF(COUNTIFS($O$13:O166,O166)=1,1,0))</f>
        <v>0</v>
      </c>
      <c r="W166" s="0">
        <f>IF(V166=1,COUNTIFS($V$13:V166,1),"")</f>
      </c>
      <c r="X166" s="0">
        <f>IF(COUNTA(B166:L166)=0,"",IF(OR(NOT(IF(ISNUMBER($E$6),AND($E$6&gt;=0,$E$6&lt;=6,$E$6=INT($E$6)),FALSE)),O166=0,R166=0,T166&gt;0,AND(P166&lt;&gt;"DIMENSIONES",P166&lt;&gt;"DIRECTA",P166&lt;&gt;"SIN LÍNEAS",P166&lt;&gt;"CABECERA"),AND(OR(P166="DIRECTA",P166="DIMENSIONES"),U166=0),AND(OR(P166="SIN LÍNEAS",P166="CABECERA"),COUNTA(G166:J166)&gt;0)),2,IF(OR(P166="SIN LÍNEAS",Y166&gt;0,Z166&gt;0,AA166&gt;0,SUMPRODUCT(--('LÉEME'!$B$65:$B$86=AC166))&lt;&gt;1),1,0)))</f>
      </c>
      <c r="Y166" s="0" t="n">
        <f>IF(AND(P166="DIMENSIONES",S166="m²",COUNT(H166:J166)=3),1,0)</f>
        <v>0</v>
      </c>
      <c r="Z166" s="0" t="n">
        <f>IF(IF(ISNUMBER($E$6),AND($E$6&gt;=0,$E$6&lt;=6,$E$6=INT($E$6)),FALSE),IF(SUM(IF(ISNUMBER(F166),IF(ABS(F166-ROUND(F166,$E$6))&gt;0.00000001,1,0),0),IF(ISNUMBER(G166),IF(ABS(G166-ROUND(G166,$E$6))&gt;0.00000001,1,0),0),IF(ISNUMBER(H166),IF(ABS(H166-ROUND(H166,$E$6))&gt;0.00000001,1,0),0),IF(ISNUMBER(I166),IF(ABS(I166-ROUND(I166,$E$6))&gt;0.00000001,1,0),0),IF(ISNUMBER(J166),IF(ABS(J166-ROUND(J166,$E$6))&gt;0.00000001,1,0),0),IF(ISNUMBER(M166),IF(ABS(M166-ROUND(M166,$E$6))&gt;0.00000001,1,0),0))&gt;0,1,0),0)</f>
        <v>0</v>
      </c>
      <c r="AA166" s="0" t="n">
        <f>IF(COUNTA(B166:L166)=0,0,IF(OR(AND(ISNUMBER(F166),F166&lt;0),AND(U166=1,OR(SUM(IF(ISNUMBER(G166),IF(G166=0,1,0),0),IF(ISNUMBER(H166),IF(H166=0,1,0),0),IF(ISNUMBER(I166),IF(I166=0,1,0),0),IF(ISNUMBER(J166),IF(J166=0,1,0),0))&gt;0,COUNTIFS(G166:J166,"&lt;0")&gt;0)),AND(P166="DIMENSIONES",U166=1,OR(AND(S166="m",COUNT(H166:J166)&lt;&gt;1),AND(S166="m²",COUNT(H166:J166)&lt;&gt;2,Y166=0),AND(S166="m³",COUNT(H166:J166)&lt;&gt;3),AND(S166="ud",COUNT(H166:J166)&gt;0))),AND(P166="DIRECTA",OR(S166="m",S166="m²",S166="m³"))),1,0))</f>
        <v>0</v>
      </c>
      <c r="AB166" s="0">
        <f>IF(LEN(TRIM(E166&amp;""))&gt;0,E166,IF(R166&gt;0,INDEX($E$13:$E$512,R166),""))</f>
      </c>
      <c r="AC166" s="0">
        <f>UPPER(SUBSTITUTE(SUBSTITUTE(SUBSTITUTE(SUBSTITUTE(SUBSTITUTE(TRIM(AB166),"²","2"),"³","3"),"^",""),".","")," ",""))</f>
      </c>
    </row>
    <row r="167" ht="35" customHeight="1">
      <c r="B167" s="35"/>
      <c r="C167" s="35"/>
      <c r="D167" s="37"/>
      <c r="E167" s="35"/>
      <c r="F167" s="38"/>
      <c r="G167" s="38"/>
      <c r="H167" s="38"/>
      <c r="I167" s="38"/>
      <c r="J167" s="38"/>
      <c r="K167" s="35"/>
      <c r="L167" s="35"/>
      <c r="M167" s="39">
        <f>IF(U167&lt;&gt;1,"",IF(P167="DIRECTA",G167,IF(ISNUMBER(G167),G167,1)*IF(ISNUMBER(H167),H167,1)*IF(ISNUMBER(I167),I167,1)*IF(ISNUMBER(J167),J167,1)))</f>
      </c>
      <c r="N167" s="30">
        <f>IF(COUNTA(B167:L167)=0,"",IF(X167=0,IF(P167="CABECERA","VERDE · Fila descriptiva; la suma usa las líneas del ID","VERDE · Datos numéricos interpretables"),IF(X167=2,"ROJO · ","ÁMBAR · ")&amp;IF(NOT(IF(ISNUMBER($E$6),AND($E$6&gt;=0,$E$6&lt;=6,$E$6=INT($E$6)),FALSE)),"Indicamos entre 0 y 6 decimales en E6. ","")&amp;IF(O167=0,"Falta un ID numérico. ","")&amp;IF(R167=0,"Faltan capítulo, código, unidad o total numérico del ID. ","")&amp;IF(T167&gt;0,"Los datos o el total del ID se contradicen. ","")&amp;IF(AND(P167&lt;&gt;"DIMENSIONES",P167&lt;&gt;"DIRECTA",P167&lt;&gt;"SIN LÍNEAS",P167&lt;&gt;"CABECERA"),"Tipo de fila no reconocido. ","")&amp;IF(AND(OR(P167="SIN LÍNEAS",P167="CABECERA"),COUNTA(G167:J167)&gt;0),"La fila dice que no mide, pero contiene medidas. ","")&amp;IF(AND(OR(P167="DIRECTA",P167="DIMENSIONES"),U167=0),"Línea incompleta o con medidas no numéricas. ","")&amp;IF(P167="SIN LÍNEAS","No constan medidas de esta fila. ","")&amp;IF(Y167&gt;0,"Parece m³: tres dimensiones bajo m². ","")&amp;IF(AND(AB167&lt;&gt;"",SUMPRODUCT(--('LÉEME'!$B$65:$B$86=AC167))&lt;&gt;1),"Revisamos el significado de la unidad. ","")&amp;IF(Z167&gt;0,"Más precisión que los decimales indicados: cotejamos el original. ","")&amp;IF(AA167&gt;0,"Revisamos dimensiones, cantidad directa, ceros o deducción. ","")))</f>
      </c>
      <c r="O167" s="0" t="n">
        <f>IF(ISNUMBER(K167),IF(AND(K167&gt;0,K167=INT(K167),K167&lt;=999999),K167,0),0)</f>
        <v>0</v>
      </c>
      <c r="P167" s="0">
        <f>IF(COUNTA(B167:L167)=0,"",IF(L167="",IF(COUNTA(G167:J167)&gt;0,"DIMENSIONES","SIN LÍNEAS"),UPPER(TRIM(L167))))</f>
      </c>
      <c r="Q167" s="0">
        <f>IF(AND(O167&gt;0,LEN(TRIM(B167&amp;""))&gt;0,LEN(TRIM(C167&amp;""))&gt;0,LEN(TRIM(E167&amp;""))&gt;0,ISNUMBER(F167)),O167,"")</f>
      </c>
      <c r="R167" s="0" t="n">
        <f>IF(O167=0,0,IF(COUNTIFS($Q$13:$Q$512,O167)&gt;0,MATCH(O167,$Q$13:$Q$512,0),0))</f>
        <v>0</v>
      </c>
      <c r="S167" s="0">
        <f>IF(AB167="","",IF(SUMPRODUCT(--('LÉEME'!$B$65:$B$86=AC167))=1,INDEX('LÉEME'!$C$65:$C$86,MATCH(AC167,'LÉEME'!$B$65:$B$86,0)),UPPER(TRIM(AB167))))</f>
      </c>
      <c r="T167" s="0" t="n">
        <f>IF(R167=0,0,IF(OR(AND(LEN(TRIM(B167&amp;""))&gt;0,UPPER(TRIM(B167&amp;""))&lt;&gt;UPPER(TRIM(INDEX($B$13:$B$512,R167)&amp;""))),AND(LEN(TRIM(C167&amp;""))&gt;0,UPPER(TRIM(C167&amp;""))&lt;&gt;UPPER(TRIM(INDEX($C$13:$C$512,R167)&amp;""))),AND(LEN(TRIM(E167&amp;""))&gt;0,S167&lt;&gt;INDEX($S$13:$S$512,R167)),AND(F167&lt;&gt;"",NOT(ISNUMBER(F167)))),1,IF(ISNUMBER(F167),IF(ABS(F167-INDEX($F$13:$F$512,R167))&gt;0.00000001,1,0),0)))</f>
        <v>0</v>
      </c>
      <c r="U167" s="0" t="n">
        <f>IF(P167="DIRECTA",IF(AND(ISNUMBER(G167),COUNTA(H167:J167)=0),1,0),IF(P167="DIMENSIONES",IF(AND(COUNT(G167:J167)&gt;0,COUNTA(G167:J167)=COUNT(G167:J167)),1,0),0))</f>
        <v>0</v>
      </c>
      <c r="V167" s="0" t="n">
        <f>IF(O167=0,0,IF(COUNTIFS($O$13:O167,O167)=1,1,0))</f>
        <v>0</v>
      </c>
      <c r="W167" s="0">
        <f>IF(V167=1,COUNTIFS($V$13:V167,1),"")</f>
      </c>
      <c r="X167" s="0">
        <f>IF(COUNTA(B167:L167)=0,"",IF(OR(NOT(IF(ISNUMBER($E$6),AND($E$6&gt;=0,$E$6&lt;=6,$E$6=INT($E$6)),FALSE)),O167=0,R167=0,T167&gt;0,AND(P167&lt;&gt;"DIMENSIONES",P167&lt;&gt;"DIRECTA",P167&lt;&gt;"SIN LÍNEAS",P167&lt;&gt;"CABECERA"),AND(OR(P167="DIRECTA",P167="DIMENSIONES"),U167=0),AND(OR(P167="SIN LÍNEAS",P167="CABECERA"),COUNTA(G167:J167)&gt;0)),2,IF(OR(P167="SIN LÍNEAS",Y167&gt;0,Z167&gt;0,AA167&gt;0,SUMPRODUCT(--('LÉEME'!$B$65:$B$86=AC167))&lt;&gt;1),1,0)))</f>
      </c>
      <c r="Y167" s="0" t="n">
        <f>IF(AND(P167="DIMENSIONES",S167="m²",COUNT(H167:J167)=3),1,0)</f>
        <v>0</v>
      </c>
      <c r="Z167" s="0" t="n">
        <f>IF(IF(ISNUMBER($E$6),AND($E$6&gt;=0,$E$6&lt;=6,$E$6=INT($E$6)),FALSE),IF(SUM(IF(ISNUMBER(F167),IF(ABS(F167-ROUND(F167,$E$6))&gt;0.00000001,1,0),0),IF(ISNUMBER(G167),IF(ABS(G167-ROUND(G167,$E$6))&gt;0.00000001,1,0),0),IF(ISNUMBER(H167),IF(ABS(H167-ROUND(H167,$E$6))&gt;0.00000001,1,0),0),IF(ISNUMBER(I167),IF(ABS(I167-ROUND(I167,$E$6))&gt;0.00000001,1,0),0),IF(ISNUMBER(J167),IF(ABS(J167-ROUND(J167,$E$6))&gt;0.00000001,1,0),0),IF(ISNUMBER(M167),IF(ABS(M167-ROUND(M167,$E$6))&gt;0.00000001,1,0),0))&gt;0,1,0),0)</f>
        <v>0</v>
      </c>
      <c r="AA167" s="0" t="n">
        <f>IF(COUNTA(B167:L167)=0,0,IF(OR(AND(ISNUMBER(F167),F167&lt;0),AND(U167=1,OR(SUM(IF(ISNUMBER(G167),IF(G167=0,1,0),0),IF(ISNUMBER(H167),IF(H167=0,1,0),0),IF(ISNUMBER(I167),IF(I167=0,1,0),0),IF(ISNUMBER(J167),IF(J167=0,1,0),0))&gt;0,COUNTIFS(G167:J167,"&lt;0")&gt;0)),AND(P167="DIMENSIONES",U167=1,OR(AND(S167="m",COUNT(H167:J167)&lt;&gt;1),AND(S167="m²",COUNT(H167:J167)&lt;&gt;2,Y167=0),AND(S167="m³",COUNT(H167:J167)&lt;&gt;3),AND(S167="ud",COUNT(H167:J167)&gt;0))),AND(P167="DIRECTA",OR(S167="m",S167="m²",S167="m³"))),1,0))</f>
        <v>0</v>
      </c>
      <c r="AB167" s="0">
        <f>IF(LEN(TRIM(E167&amp;""))&gt;0,E167,IF(R167&gt;0,INDEX($E$13:$E$512,R167),""))</f>
      </c>
      <c r="AC167" s="0">
        <f>UPPER(SUBSTITUTE(SUBSTITUTE(SUBSTITUTE(SUBSTITUTE(SUBSTITUTE(TRIM(AB167),"²","2"),"³","3"),"^",""),".","")," ",""))</f>
      </c>
    </row>
    <row r="168" ht="35" customHeight="1">
      <c r="B168" s="35"/>
      <c r="C168" s="35"/>
      <c r="D168" s="37"/>
      <c r="E168" s="35"/>
      <c r="F168" s="38"/>
      <c r="G168" s="38"/>
      <c r="H168" s="38"/>
      <c r="I168" s="38"/>
      <c r="J168" s="38"/>
      <c r="K168" s="35"/>
      <c r="L168" s="35"/>
      <c r="M168" s="39">
        <f>IF(U168&lt;&gt;1,"",IF(P168="DIRECTA",G168,IF(ISNUMBER(G168),G168,1)*IF(ISNUMBER(H168),H168,1)*IF(ISNUMBER(I168),I168,1)*IF(ISNUMBER(J168),J168,1)))</f>
      </c>
      <c r="N168" s="30">
        <f>IF(COUNTA(B168:L168)=0,"",IF(X168=0,IF(P168="CABECERA","VERDE · Fila descriptiva; la suma usa las líneas del ID","VERDE · Datos numéricos interpretables"),IF(X168=2,"ROJO · ","ÁMBAR · ")&amp;IF(NOT(IF(ISNUMBER($E$6),AND($E$6&gt;=0,$E$6&lt;=6,$E$6=INT($E$6)),FALSE)),"Indicamos entre 0 y 6 decimales en E6. ","")&amp;IF(O168=0,"Falta un ID numérico. ","")&amp;IF(R168=0,"Faltan capítulo, código, unidad o total numérico del ID. ","")&amp;IF(T168&gt;0,"Los datos o el total del ID se contradicen. ","")&amp;IF(AND(P168&lt;&gt;"DIMENSIONES",P168&lt;&gt;"DIRECTA",P168&lt;&gt;"SIN LÍNEAS",P168&lt;&gt;"CABECERA"),"Tipo de fila no reconocido. ","")&amp;IF(AND(OR(P168="SIN LÍNEAS",P168="CABECERA"),COUNTA(G168:J168)&gt;0),"La fila dice que no mide, pero contiene medidas. ","")&amp;IF(AND(OR(P168="DIRECTA",P168="DIMENSIONES"),U168=0),"Línea incompleta o con medidas no numéricas. ","")&amp;IF(P168="SIN LÍNEAS","No constan medidas de esta fila. ","")&amp;IF(Y168&gt;0,"Parece m³: tres dimensiones bajo m². ","")&amp;IF(AND(AB168&lt;&gt;"",SUMPRODUCT(--('LÉEME'!$B$65:$B$86=AC168))&lt;&gt;1),"Revisamos el significado de la unidad. ","")&amp;IF(Z168&gt;0,"Más precisión que los decimales indicados: cotejamos el original. ","")&amp;IF(AA168&gt;0,"Revisamos dimensiones, cantidad directa, ceros o deducción. ","")))</f>
      </c>
      <c r="O168" s="0" t="n">
        <f>IF(ISNUMBER(K168),IF(AND(K168&gt;0,K168=INT(K168),K168&lt;=999999),K168,0),0)</f>
        <v>0</v>
      </c>
      <c r="P168" s="0">
        <f>IF(COUNTA(B168:L168)=0,"",IF(L168="",IF(COUNTA(G168:J168)&gt;0,"DIMENSIONES","SIN LÍNEAS"),UPPER(TRIM(L168))))</f>
      </c>
      <c r="Q168" s="0">
        <f>IF(AND(O168&gt;0,LEN(TRIM(B168&amp;""))&gt;0,LEN(TRIM(C168&amp;""))&gt;0,LEN(TRIM(E168&amp;""))&gt;0,ISNUMBER(F168)),O168,"")</f>
      </c>
      <c r="R168" s="0" t="n">
        <f>IF(O168=0,0,IF(COUNTIFS($Q$13:$Q$512,O168)&gt;0,MATCH(O168,$Q$13:$Q$512,0),0))</f>
        <v>0</v>
      </c>
      <c r="S168" s="0">
        <f>IF(AB168="","",IF(SUMPRODUCT(--('LÉEME'!$B$65:$B$86=AC168))=1,INDEX('LÉEME'!$C$65:$C$86,MATCH(AC168,'LÉEME'!$B$65:$B$86,0)),UPPER(TRIM(AB168))))</f>
      </c>
      <c r="T168" s="0" t="n">
        <f>IF(R168=0,0,IF(OR(AND(LEN(TRIM(B168&amp;""))&gt;0,UPPER(TRIM(B168&amp;""))&lt;&gt;UPPER(TRIM(INDEX($B$13:$B$512,R168)&amp;""))),AND(LEN(TRIM(C168&amp;""))&gt;0,UPPER(TRIM(C168&amp;""))&lt;&gt;UPPER(TRIM(INDEX($C$13:$C$512,R168)&amp;""))),AND(LEN(TRIM(E168&amp;""))&gt;0,S168&lt;&gt;INDEX($S$13:$S$512,R168)),AND(F168&lt;&gt;"",NOT(ISNUMBER(F168)))),1,IF(ISNUMBER(F168),IF(ABS(F168-INDEX($F$13:$F$512,R168))&gt;0.00000001,1,0),0)))</f>
        <v>0</v>
      </c>
      <c r="U168" s="0" t="n">
        <f>IF(P168="DIRECTA",IF(AND(ISNUMBER(G168),COUNTA(H168:J168)=0),1,0),IF(P168="DIMENSIONES",IF(AND(COUNT(G168:J168)&gt;0,COUNTA(G168:J168)=COUNT(G168:J168)),1,0),0))</f>
        <v>0</v>
      </c>
      <c r="V168" s="0" t="n">
        <f>IF(O168=0,0,IF(COUNTIFS($O$13:O168,O168)=1,1,0))</f>
        <v>0</v>
      </c>
      <c r="W168" s="0">
        <f>IF(V168=1,COUNTIFS($V$13:V168,1),"")</f>
      </c>
      <c r="X168" s="0">
        <f>IF(COUNTA(B168:L168)=0,"",IF(OR(NOT(IF(ISNUMBER($E$6),AND($E$6&gt;=0,$E$6&lt;=6,$E$6=INT($E$6)),FALSE)),O168=0,R168=0,T168&gt;0,AND(P168&lt;&gt;"DIMENSIONES",P168&lt;&gt;"DIRECTA",P168&lt;&gt;"SIN LÍNEAS",P168&lt;&gt;"CABECERA"),AND(OR(P168="DIRECTA",P168="DIMENSIONES"),U168=0),AND(OR(P168="SIN LÍNEAS",P168="CABECERA"),COUNTA(G168:J168)&gt;0)),2,IF(OR(P168="SIN LÍNEAS",Y168&gt;0,Z168&gt;0,AA168&gt;0,SUMPRODUCT(--('LÉEME'!$B$65:$B$86=AC168))&lt;&gt;1),1,0)))</f>
      </c>
      <c r="Y168" s="0" t="n">
        <f>IF(AND(P168="DIMENSIONES",S168="m²",COUNT(H168:J168)=3),1,0)</f>
        <v>0</v>
      </c>
      <c r="Z168" s="0" t="n">
        <f>IF(IF(ISNUMBER($E$6),AND($E$6&gt;=0,$E$6&lt;=6,$E$6=INT($E$6)),FALSE),IF(SUM(IF(ISNUMBER(F168),IF(ABS(F168-ROUND(F168,$E$6))&gt;0.00000001,1,0),0),IF(ISNUMBER(G168),IF(ABS(G168-ROUND(G168,$E$6))&gt;0.00000001,1,0),0),IF(ISNUMBER(H168),IF(ABS(H168-ROUND(H168,$E$6))&gt;0.00000001,1,0),0),IF(ISNUMBER(I168),IF(ABS(I168-ROUND(I168,$E$6))&gt;0.00000001,1,0),0),IF(ISNUMBER(J168),IF(ABS(J168-ROUND(J168,$E$6))&gt;0.00000001,1,0),0),IF(ISNUMBER(M168),IF(ABS(M168-ROUND(M168,$E$6))&gt;0.00000001,1,0),0))&gt;0,1,0),0)</f>
        <v>0</v>
      </c>
      <c r="AA168" s="0" t="n">
        <f>IF(COUNTA(B168:L168)=0,0,IF(OR(AND(ISNUMBER(F168),F168&lt;0),AND(U168=1,OR(SUM(IF(ISNUMBER(G168),IF(G168=0,1,0),0),IF(ISNUMBER(H168),IF(H168=0,1,0),0),IF(ISNUMBER(I168),IF(I168=0,1,0),0),IF(ISNUMBER(J168),IF(J168=0,1,0),0))&gt;0,COUNTIFS(G168:J168,"&lt;0")&gt;0)),AND(P168="DIMENSIONES",U168=1,OR(AND(S168="m",COUNT(H168:J168)&lt;&gt;1),AND(S168="m²",COUNT(H168:J168)&lt;&gt;2,Y168=0),AND(S168="m³",COUNT(H168:J168)&lt;&gt;3),AND(S168="ud",COUNT(H168:J168)&gt;0))),AND(P168="DIRECTA",OR(S168="m",S168="m²",S168="m³"))),1,0))</f>
        <v>0</v>
      </c>
      <c r="AB168" s="0">
        <f>IF(LEN(TRIM(E168&amp;""))&gt;0,E168,IF(R168&gt;0,INDEX($E$13:$E$512,R168),""))</f>
      </c>
      <c r="AC168" s="0">
        <f>UPPER(SUBSTITUTE(SUBSTITUTE(SUBSTITUTE(SUBSTITUTE(SUBSTITUTE(TRIM(AB168),"²","2"),"³","3"),"^",""),".","")," ",""))</f>
      </c>
    </row>
    <row r="169" ht="35" customHeight="1">
      <c r="B169" s="35"/>
      <c r="C169" s="35"/>
      <c r="D169" s="37"/>
      <c r="E169" s="35"/>
      <c r="F169" s="38"/>
      <c r="G169" s="38"/>
      <c r="H169" s="38"/>
      <c r="I169" s="38"/>
      <c r="J169" s="38"/>
      <c r="K169" s="35"/>
      <c r="L169" s="35"/>
      <c r="M169" s="39">
        <f>IF(U169&lt;&gt;1,"",IF(P169="DIRECTA",G169,IF(ISNUMBER(G169),G169,1)*IF(ISNUMBER(H169),H169,1)*IF(ISNUMBER(I169),I169,1)*IF(ISNUMBER(J169),J169,1)))</f>
      </c>
      <c r="N169" s="30">
        <f>IF(COUNTA(B169:L169)=0,"",IF(X169=0,IF(P169="CABECERA","VERDE · Fila descriptiva; la suma usa las líneas del ID","VERDE · Datos numéricos interpretables"),IF(X169=2,"ROJO · ","ÁMBAR · ")&amp;IF(NOT(IF(ISNUMBER($E$6),AND($E$6&gt;=0,$E$6&lt;=6,$E$6=INT($E$6)),FALSE)),"Indicamos entre 0 y 6 decimales en E6. ","")&amp;IF(O169=0,"Falta un ID numérico. ","")&amp;IF(R169=0,"Faltan capítulo, código, unidad o total numérico del ID. ","")&amp;IF(T169&gt;0,"Los datos o el total del ID se contradicen. ","")&amp;IF(AND(P169&lt;&gt;"DIMENSIONES",P169&lt;&gt;"DIRECTA",P169&lt;&gt;"SIN LÍNEAS",P169&lt;&gt;"CABECERA"),"Tipo de fila no reconocido. ","")&amp;IF(AND(OR(P169="SIN LÍNEAS",P169="CABECERA"),COUNTA(G169:J169)&gt;0),"La fila dice que no mide, pero contiene medidas. ","")&amp;IF(AND(OR(P169="DIRECTA",P169="DIMENSIONES"),U169=0),"Línea incompleta o con medidas no numéricas. ","")&amp;IF(P169="SIN LÍNEAS","No constan medidas de esta fila. ","")&amp;IF(Y169&gt;0,"Parece m³: tres dimensiones bajo m². ","")&amp;IF(AND(AB169&lt;&gt;"",SUMPRODUCT(--('LÉEME'!$B$65:$B$86=AC169))&lt;&gt;1),"Revisamos el significado de la unidad. ","")&amp;IF(Z169&gt;0,"Más precisión que los decimales indicados: cotejamos el original. ","")&amp;IF(AA169&gt;0,"Revisamos dimensiones, cantidad directa, ceros o deducción. ","")))</f>
      </c>
      <c r="O169" s="0" t="n">
        <f>IF(ISNUMBER(K169),IF(AND(K169&gt;0,K169=INT(K169),K169&lt;=999999),K169,0),0)</f>
        <v>0</v>
      </c>
      <c r="P169" s="0">
        <f>IF(COUNTA(B169:L169)=0,"",IF(L169="",IF(COUNTA(G169:J169)&gt;0,"DIMENSIONES","SIN LÍNEAS"),UPPER(TRIM(L169))))</f>
      </c>
      <c r="Q169" s="0">
        <f>IF(AND(O169&gt;0,LEN(TRIM(B169&amp;""))&gt;0,LEN(TRIM(C169&amp;""))&gt;0,LEN(TRIM(E169&amp;""))&gt;0,ISNUMBER(F169)),O169,"")</f>
      </c>
      <c r="R169" s="0" t="n">
        <f>IF(O169=0,0,IF(COUNTIFS($Q$13:$Q$512,O169)&gt;0,MATCH(O169,$Q$13:$Q$512,0),0))</f>
        <v>0</v>
      </c>
      <c r="S169" s="0">
        <f>IF(AB169="","",IF(SUMPRODUCT(--('LÉEME'!$B$65:$B$86=AC169))=1,INDEX('LÉEME'!$C$65:$C$86,MATCH(AC169,'LÉEME'!$B$65:$B$86,0)),UPPER(TRIM(AB169))))</f>
      </c>
      <c r="T169" s="0" t="n">
        <f>IF(R169=0,0,IF(OR(AND(LEN(TRIM(B169&amp;""))&gt;0,UPPER(TRIM(B169&amp;""))&lt;&gt;UPPER(TRIM(INDEX($B$13:$B$512,R169)&amp;""))),AND(LEN(TRIM(C169&amp;""))&gt;0,UPPER(TRIM(C169&amp;""))&lt;&gt;UPPER(TRIM(INDEX($C$13:$C$512,R169)&amp;""))),AND(LEN(TRIM(E169&amp;""))&gt;0,S169&lt;&gt;INDEX($S$13:$S$512,R169)),AND(F169&lt;&gt;"",NOT(ISNUMBER(F169)))),1,IF(ISNUMBER(F169),IF(ABS(F169-INDEX($F$13:$F$512,R169))&gt;0.00000001,1,0),0)))</f>
        <v>0</v>
      </c>
      <c r="U169" s="0" t="n">
        <f>IF(P169="DIRECTA",IF(AND(ISNUMBER(G169),COUNTA(H169:J169)=0),1,0),IF(P169="DIMENSIONES",IF(AND(COUNT(G169:J169)&gt;0,COUNTA(G169:J169)=COUNT(G169:J169)),1,0),0))</f>
        <v>0</v>
      </c>
      <c r="V169" s="0" t="n">
        <f>IF(O169=0,0,IF(COUNTIFS($O$13:O169,O169)=1,1,0))</f>
        <v>0</v>
      </c>
      <c r="W169" s="0">
        <f>IF(V169=1,COUNTIFS($V$13:V169,1),"")</f>
      </c>
      <c r="X169" s="0">
        <f>IF(COUNTA(B169:L169)=0,"",IF(OR(NOT(IF(ISNUMBER($E$6),AND($E$6&gt;=0,$E$6&lt;=6,$E$6=INT($E$6)),FALSE)),O169=0,R169=0,T169&gt;0,AND(P169&lt;&gt;"DIMENSIONES",P169&lt;&gt;"DIRECTA",P169&lt;&gt;"SIN LÍNEAS",P169&lt;&gt;"CABECERA"),AND(OR(P169="DIRECTA",P169="DIMENSIONES"),U169=0),AND(OR(P169="SIN LÍNEAS",P169="CABECERA"),COUNTA(G169:J169)&gt;0)),2,IF(OR(P169="SIN LÍNEAS",Y169&gt;0,Z169&gt;0,AA169&gt;0,SUMPRODUCT(--('LÉEME'!$B$65:$B$86=AC169))&lt;&gt;1),1,0)))</f>
      </c>
      <c r="Y169" s="0" t="n">
        <f>IF(AND(P169="DIMENSIONES",S169="m²",COUNT(H169:J169)=3),1,0)</f>
        <v>0</v>
      </c>
      <c r="Z169" s="0" t="n">
        <f>IF(IF(ISNUMBER($E$6),AND($E$6&gt;=0,$E$6&lt;=6,$E$6=INT($E$6)),FALSE),IF(SUM(IF(ISNUMBER(F169),IF(ABS(F169-ROUND(F169,$E$6))&gt;0.00000001,1,0),0),IF(ISNUMBER(G169),IF(ABS(G169-ROUND(G169,$E$6))&gt;0.00000001,1,0),0),IF(ISNUMBER(H169),IF(ABS(H169-ROUND(H169,$E$6))&gt;0.00000001,1,0),0),IF(ISNUMBER(I169),IF(ABS(I169-ROUND(I169,$E$6))&gt;0.00000001,1,0),0),IF(ISNUMBER(J169),IF(ABS(J169-ROUND(J169,$E$6))&gt;0.00000001,1,0),0),IF(ISNUMBER(M169),IF(ABS(M169-ROUND(M169,$E$6))&gt;0.00000001,1,0),0))&gt;0,1,0),0)</f>
        <v>0</v>
      </c>
      <c r="AA169" s="0" t="n">
        <f>IF(COUNTA(B169:L169)=0,0,IF(OR(AND(ISNUMBER(F169),F169&lt;0),AND(U169=1,OR(SUM(IF(ISNUMBER(G169),IF(G169=0,1,0),0),IF(ISNUMBER(H169),IF(H169=0,1,0),0),IF(ISNUMBER(I169),IF(I169=0,1,0),0),IF(ISNUMBER(J169),IF(J169=0,1,0),0))&gt;0,COUNTIFS(G169:J169,"&lt;0")&gt;0)),AND(P169="DIMENSIONES",U169=1,OR(AND(S169="m",COUNT(H169:J169)&lt;&gt;1),AND(S169="m²",COUNT(H169:J169)&lt;&gt;2,Y169=0),AND(S169="m³",COUNT(H169:J169)&lt;&gt;3),AND(S169="ud",COUNT(H169:J169)&gt;0))),AND(P169="DIRECTA",OR(S169="m",S169="m²",S169="m³"))),1,0))</f>
        <v>0</v>
      </c>
      <c r="AB169" s="0">
        <f>IF(LEN(TRIM(E169&amp;""))&gt;0,E169,IF(R169&gt;0,INDEX($E$13:$E$512,R169),""))</f>
      </c>
      <c r="AC169" s="0">
        <f>UPPER(SUBSTITUTE(SUBSTITUTE(SUBSTITUTE(SUBSTITUTE(SUBSTITUTE(TRIM(AB169),"²","2"),"³","3"),"^",""),".","")," ",""))</f>
      </c>
    </row>
    <row r="170" ht="35" customHeight="1">
      <c r="B170" s="35"/>
      <c r="C170" s="35"/>
      <c r="D170" s="37"/>
      <c r="E170" s="35"/>
      <c r="F170" s="38"/>
      <c r="G170" s="38"/>
      <c r="H170" s="38"/>
      <c r="I170" s="38"/>
      <c r="J170" s="38"/>
      <c r="K170" s="35"/>
      <c r="L170" s="35"/>
      <c r="M170" s="39">
        <f>IF(U170&lt;&gt;1,"",IF(P170="DIRECTA",G170,IF(ISNUMBER(G170),G170,1)*IF(ISNUMBER(H170),H170,1)*IF(ISNUMBER(I170),I170,1)*IF(ISNUMBER(J170),J170,1)))</f>
      </c>
      <c r="N170" s="30">
        <f>IF(COUNTA(B170:L170)=0,"",IF(X170=0,IF(P170="CABECERA","VERDE · Fila descriptiva; la suma usa las líneas del ID","VERDE · Datos numéricos interpretables"),IF(X170=2,"ROJO · ","ÁMBAR · ")&amp;IF(NOT(IF(ISNUMBER($E$6),AND($E$6&gt;=0,$E$6&lt;=6,$E$6=INT($E$6)),FALSE)),"Indicamos entre 0 y 6 decimales en E6. ","")&amp;IF(O170=0,"Falta un ID numérico. ","")&amp;IF(R170=0,"Faltan capítulo, código, unidad o total numérico del ID. ","")&amp;IF(T170&gt;0,"Los datos o el total del ID se contradicen. ","")&amp;IF(AND(P170&lt;&gt;"DIMENSIONES",P170&lt;&gt;"DIRECTA",P170&lt;&gt;"SIN LÍNEAS",P170&lt;&gt;"CABECERA"),"Tipo de fila no reconocido. ","")&amp;IF(AND(OR(P170="SIN LÍNEAS",P170="CABECERA"),COUNTA(G170:J170)&gt;0),"La fila dice que no mide, pero contiene medidas. ","")&amp;IF(AND(OR(P170="DIRECTA",P170="DIMENSIONES"),U170=0),"Línea incompleta o con medidas no numéricas. ","")&amp;IF(P170="SIN LÍNEAS","No constan medidas de esta fila. ","")&amp;IF(Y170&gt;0,"Parece m³: tres dimensiones bajo m². ","")&amp;IF(AND(AB170&lt;&gt;"",SUMPRODUCT(--('LÉEME'!$B$65:$B$86=AC170))&lt;&gt;1),"Revisamos el significado de la unidad. ","")&amp;IF(Z170&gt;0,"Más precisión que los decimales indicados: cotejamos el original. ","")&amp;IF(AA170&gt;0,"Revisamos dimensiones, cantidad directa, ceros o deducción. ","")))</f>
      </c>
      <c r="O170" s="0" t="n">
        <f>IF(ISNUMBER(K170),IF(AND(K170&gt;0,K170=INT(K170),K170&lt;=999999),K170,0),0)</f>
        <v>0</v>
      </c>
      <c r="P170" s="0">
        <f>IF(COUNTA(B170:L170)=0,"",IF(L170="",IF(COUNTA(G170:J170)&gt;0,"DIMENSIONES","SIN LÍNEAS"),UPPER(TRIM(L170))))</f>
      </c>
      <c r="Q170" s="0">
        <f>IF(AND(O170&gt;0,LEN(TRIM(B170&amp;""))&gt;0,LEN(TRIM(C170&amp;""))&gt;0,LEN(TRIM(E170&amp;""))&gt;0,ISNUMBER(F170)),O170,"")</f>
      </c>
      <c r="R170" s="0" t="n">
        <f>IF(O170=0,0,IF(COUNTIFS($Q$13:$Q$512,O170)&gt;0,MATCH(O170,$Q$13:$Q$512,0),0))</f>
        <v>0</v>
      </c>
      <c r="S170" s="0">
        <f>IF(AB170="","",IF(SUMPRODUCT(--('LÉEME'!$B$65:$B$86=AC170))=1,INDEX('LÉEME'!$C$65:$C$86,MATCH(AC170,'LÉEME'!$B$65:$B$86,0)),UPPER(TRIM(AB170))))</f>
      </c>
      <c r="T170" s="0" t="n">
        <f>IF(R170=0,0,IF(OR(AND(LEN(TRIM(B170&amp;""))&gt;0,UPPER(TRIM(B170&amp;""))&lt;&gt;UPPER(TRIM(INDEX($B$13:$B$512,R170)&amp;""))),AND(LEN(TRIM(C170&amp;""))&gt;0,UPPER(TRIM(C170&amp;""))&lt;&gt;UPPER(TRIM(INDEX($C$13:$C$512,R170)&amp;""))),AND(LEN(TRIM(E170&amp;""))&gt;0,S170&lt;&gt;INDEX($S$13:$S$512,R170)),AND(F170&lt;&gt;"",NOT(ISNUMBER(F170)))),1,IF(ISNUMBER(F170),IF(ABS(F170-INDEX($F$13:$F$512,R170))&gt;0.00000001,1,0),0)))</f>
        <v>0</v>
      </c>
      <c r="U170" s="0" t="n">
        <f>IF(P170="DIRECTA",IF(AND(ISNUMBER(G170),COUNTA(H170:J170)=0),1,0),IF(P170="DIMENSIONES",IF(AND(COUNT(G170:J170)&gt;0,COUNTA(G170:J170)=COUNT(G170:J170)),1,0),0))</f>
        <v>0</v>
      </c>
      <c r="V170" s="0" t="n">
        <f>IF(O170=0,0,IF(COUNTIFS($O$13:O170,O170)=1,1,0))</f>
        <v>0</v>
      </c>
      <c r="W170" s="0">
        <f>IF(V170=1,COUNTIFS($V$13:V170,1),"")</f>
      </c>
      <c r="X170" s="0">
        <f>IF(COUNTA(B170:L170)=0,"",IF(OR(NOT(IF(ISNUMBER($E$6),AND($E$6&gt;=0,$E$6&lt;=6,$E$6=INT($E$6)),FALSE)),O170=0,R170=0,T170&gt;0,AND(P170&lt;&gt;"DIMENSIONES",P170&lt;&gt;"DIRECTA",P170&lt;&gt;"SIN LÍNEAS",P170&lt;&gt;"CABECERA"),AND(OR(P170="DIRECTA",P170="DIMENSIONES"),U170=0),AND(OR(P170="SIN LÍNEAS",P170="CABECERA"),COUNTA(G170:J170)&gt;0)),2,IF(OR(P170="SIN LÍNEAS",Y170&gt;0,Z170&gt;0,AA170&gt;0,SUMPRODUCT(--('LÉEME'!$B$65:$B$86=AC170))&lt;&gt;1),1,0)))</f>
      </c>
      <c r="Y170" s="0" t="n">
        <f>IF(AND(P170="DIMENSIONES",S170="m²",COUNT(H170:J170)=3),1,0)</f>
        <v>0</v>
      </c>
      <c r="Z170" s="0" t="n">
        <f>IF(IF(ISNUMBER($E$6),AND($E$6&gt;=0,$E$6&lt;=6,$E$6=INT($E$6)),FALSE),IF(SUM(IF(ISNUMBER(F170),IF(ABS(F170-ROUND(F170,$E$6))&gt;0.00000001,1,0),0),IF(ISNUMBER(G170),IF(ABS(G170-ROUND(G170,$E$6))&gt;0.00000001,1,0),0),IF(ISNUMBER(H170),IF(ABS(H170-ROUND(H170,$E$6))&gt;0.00000001,1,0),0),IF(ISNUMBER(I170),IF(ABS(I170-ROUND(I170,$E$6))&gt;0.00000001,1,0),0),IF(ISNUMBER(J170),IF(ABS(J170-ROUND(J170,$E$6))&gt;0.00000001,1,0),0),IF(ISNUMBER(M170),IF(ABS(M170-ROUND(M170,$E$6))&gt;0.00000001,1,0),0))&gt;0,1,0),0)</f>
        <v>0</v>
      </c>
      <c r="AA170" s="0" t="n">
        <f>IF(COUNTA(B170:L170)=0,0,IF(OR(AND(ISNUMBER(F170),F170&lt;0),AND(U170=1,OR(SUM(IF(ISNUMBER(G170),IF(G170=0,1,0),0),IF(ISNUMBER(H170),IF(H170=0,1,0),0),IF(ISNUMBER(I170),IF(I170=0,1,0),0),IF(ISNUMBER(J170),IF(J170=0,1,0),0))&gt;0,COUNTIFS(G170:J170,"&lt;0")&gt;0)),AND(P170="DIMENSIONES",U170=1,OR(AND(S170="m",COUNT(H170:J170)&lt;&gt;1),AND(S170="m²",COUNT(H170:J170)&lt;&gt;2,Y170=0),AND(S170="m³",COUNT(H170:J170)&lt;&gt;3),AND(S170="ud",COUNT(H170:J170)&gt;0))),AND(P170="DIRECTA",OR(S170="m",S170="m²",S170="m³"))),1,0))</f>
        <v>0</v>
      </c>
      <c r="AB170" s="0">
        <f>IF(LEN(TRIM(E170&amp;""))&gt;0,E170,IF(R170&gt;0,INDEX($E$13:$E$512,R170),""))</f>
      </c>
      <c r="AC170" s="0">
        <f>UPPER(SUBSTITUTE(SUBSTITUTE(SUBSTITUTE(SUBSTITUTE(SUBSTITUTE(TRIM(AB170),"²","2"),"³","3"),"^",""),".","")," ",""))</f>
      </c>
    </row>
    <row r="171" ht="35" customHeight="1">
      <c r="B171" s="35"/>
      <c r="C171" s="35"/>
      <c r="D171" s="37"/>
      <c r="E171" s="35"/>
      <c r="F171" s="38"/>
      <c r="G171" s="38"/>
      <c r="H171" s="38"/>
      <c r="I171" s="38"/>
      <c r="J171" s="38"/>
      <c r="K171" s="35"/>
      <c r="L171" s="35"/>
      <c r="M171" s="39">
        <f>IF(U171&lt;&gt;1,"",IF(P171="DIRECTA",G171,IF(ISNUMBER(G171),G171,1)*IF(ISNUMBER(H171),H171,1)*IF(ISNUMBER(I171),I171,1)*IF(ISNUMBER(J171),J171,1)))</f>
      </c>
      <c r="N171" s="30">
        <f>IF(COUNTA(B171:L171)=0,"",IF(X171=0,IF(P171="CABECERA","VERDE · Fila descriptiva; la suma usa las líneas del ID","VERDE · Datos numéricos interpretables"),IF(X171=2,"ROJO · ","ÁMBAR · ")&amp;IF(NOT(IF(ISNUMBER($E$6),AND($E$6&gt;=0,$E$6&lt;=6,$E$6=INT($E$6)),FALSE)),"Indicamos entre 0 y 6 decimales en E6. ","")&amp;IF(O171=0,"Falta un ID numérico. ","")&amp;IF(R171=0,"Faltan capítulo, código, unidad o total numérico del ID. ","")&amp;IF(T171&gt;0,"Los datos o el total del ID se contradicen. ","")&amp;IF(AND(P171&lt;&gt;"DIMENSIONES",P171&lt;&gt;"DIRECTA",P171&lt;&gt;"SIN LÍNEAS",P171&lt;&gt;"CABECERA"),"Tipo de fila no reconocido. ","")&amp;IF(AND(OR(P171="SIN LÍNEAS",P171="CABECERA"),COUNTA(G171:J171)&gt;0),"La fila dice que no mide, pero contiene medidas. ","")&amp;IF(AND(OR(P171="DIRECTA",P171="DIMENSIONES"),U171=0),"Línea incompleta o con medidas no numéricas. ","")&amp;IF(P171="SIN LÍNEAS","No constan medidas de esta fila. ","")&amp;IF(Y171&gt;0,"Parece m³: tres dimensiones bajo m². ","")&amp;IF(AND(AB171&lt;&gt;"",SUMPRODUCT(--('LÉEME'!$B$65:$B$86=AC171))&lt;&gt;1),"Revisamos el significado de la unidad. ","")&amp;IF(Z171&gt;0,"Más precisión que los decimales indicados: cotejamos el original. ","")&amp;IF(AA171&gt;0,"Revisamos dimensiones, cantidad directa, ceros o deducción. ","")))</f>
      </c>
      <c r="O171" s="0" t="n">
        <f>IF(ISNUMBER(K171),IF(AND(K171&gt;0,K171=INT(K171),K171&lt;=999999),K171,0),0)</f>
        <v>0</v>
      </c>
      <c r="P171" s="0">
        <f>IF(COUNTA(B171:L171)=0,"",IF(L171="",IF(COUNTA(G171:J171)&gt;0,"DIMENSIONES","SIN LÍNEAS"),UPPER(TRIM(L171))))</f>
      </c>
      <c r="Q171" s="0">
        <f>IF(AND(O171&gt;0,LEN(TRIM(B171&amp;""))&gt;0,LEN(TRIM(C171&amp;""))&gt;0,LEN(TRIM(E171&amp;""))&gt;0,ISNUMBER(F171)),O171,"")</f>
      </c>
      <c r="R171" s="0" t="n">
        <f>IF(O171=0,0,IF(COUNTIFS($Q$13:$Q$512,O171)&gt;0,MATCH(O171,$Q$13:$Q$512,0),0))</f>
        <v>0</v>
      </c>
      <c r="S171" s="0">
        <f>IF(AB171="","",IF(SUMPRODUCT(--('LÉEME'!$B$65:$B$86=AC171))=1,INDEX('LÉEME'!$C$65:$C$86,MATCH(AC171,'LÉEME'!$B$65:$B$86,0)),UPPER(TRIM(AB171))))</f>
      </c>
      <c r="T171" s="0" t="n">
        <f>IF(R171=0,0,IF(OR(AND(LEN(TRIM(B171&amp;""))&gt;0,UPPER(TRIM(B171&amp;""))&lt;&gt;UPPER(TRIM(INDEX($B$13:$B$512,R171)&amp;""))),AND(LEN(TRIM(C171&amp;""))&gt;0,UPPER(TRIM(C171&amp;""))&lt;&gt;UPPER(TRIM(INDEX($C$13:$C$512,R171)&amp;""))),AND(LEN(TRIM(E171&amp;""))&gt;0,S171&lt;&gt;INDEX($S$13:$S$512,R171)),AND(F171&lt;&gt;"",NOT(ISNUMBER(F171)))),1,IF(ISNUMBER(F171),IF(ABS(F171-INDEX($F$13:$F$512,R171))&gt;0.00000001,1,0),0)))</f>
        <v>0</v>
      </c>
      <c r="U171" s="0" t="n">
        <f>IF(P171="DIRECTA",IF(AND(ISNUMBER(G171),COUNTA(H171:J171)=0),1,0),IF(P171="DIMENSIONES",IF(AND(COUNT(G171:J171)&gt;0,COUNTA(G171:J171)=COUNT(G171:J171)),1,0),0))</f>
        <v>0</v>
      </c>
      <c r="V171" s="0" t="n">
        <f>IF(O171=0,0,IF(COUNTIFS($O$13:O171,O171)=1,1,0))</f>
        <v>0</v>
      </c>
      <c r="W171" s="0">
        <f>IF(V171=1,COUNTIFS($V$13:V171,1),"")</f>
      </c>
      <c r="X171" s="0">
        <f>IF(COUNTA(B171:L171)=0,"",IF(OR(NOT(IF(ISNUMBER($E$6),AND($E$6&gt;=0,$E$6&lt;=6,$E$6=INT($E$6)),FALSE)),O171=0,R171=0,T171&gt;0,AND(P171&lt;&gt;"DIMENSIONES",P171&lt;&gt;"DIRECTA",P171&lt;&gt;"SIN LÍNEAS",P171&lt;&gt;"CABECERA"),AND(OR(P171="DIRECTA",P171="DIMENSIONES"),U171=0),AND(OR(P171="SIN LÍNEAS",P171="CABECERA"),COUNTA(G171:J171)&gt;0)),2,IF(OR(P171="SIN LÍNEAS",Y171&gt;0,Z171&gt;0,AA171&gt;0,SUMPRODUCT(--('LÉEME'!$B$65:$B$86=AC171))&lt;&gt;1),1,0)))</f>
      </c>
      <c r="Y171" s="0" t="n">
        <f>IF(AND(P171="DIMENSIONES",S171="m²",COUNT(H171:J171)=3),1,0)</f>
        <v>0</v>
      </c>
      <c r="Z171" s="0" t="n">
        <f>IF(IF(ISNUMBER($E$6),AND($E$6&gt;=0,$E$6&lt;=6,$E$6=INT($E$6)),FALSE),IF(SUM(IF(ISNUMBER(F171),IF(ABS(F171-ROUND(F171,$E$6))&gt;0.00000001,1,0),0),IF(ISNUMBER(G171),IF(ABS(G171-ROUND(G171,$E$6))&gt;0.00000001,1,0),0),IF(ISNUMBER(H171),IF(ABS(H171-ROUND(H171,$E$6))&gt;0.00000001,1,0),0),IF(ISNUMBER(I171),IF(ABS(I171-ROUND(I171,$E$6))&gt;0.00000001,1,0),0),IF(ISNUMBER(J171),IF(ABS(J171-ROUND(J171,$E$6))&gt;0.00000001,1,0),0),IF(ISNUMBER(M171),IF(ABS(M171-ROUND(M171,$E$6))&gt;0.00000001,1,0),0))&gt;0,1,0),0)</f>
        <v>0</v>
      </c>
      <c r="AA171" s="0" t="n">
        <f>IF(COUNTA(B171:L171)=0,0,IF(OR(AND(ISNUMBER(F171),F171&lt;0),AND(U171=1,OR(SUM(IF(ISNUMBER(G171),IF(G171=0,1,0),0),IF(ISNUMBER(H171),IF(H171=0,1,0),0),IF(ISNUMBER(I171),IF(I171=0,1,0),0),IF(ISNUMBER(J171),IF(J171=0,1,0),0))&gt;0,COUNTIFS(G171:J171,"&lt;0")&gt;0)),AND(P171="DIMENSIONES",U171=1,OR(AND(S171="m",COUNT(H171:J171)&lt;&gt;1),AND(S171="m²",COUNT(H171:J171)&lt;&gt;2,Y171=0),AND(S171="m³",COUNT(H171:J171)&lt;&gt;3),AND(S171="ud",COUNT(H171:J171)&gt;0))),AND(P171="DIRECTA",OR(S171="m",S171="m²",S171="m³"))),1,0))</f>
        <v>0</v>
      </c>
      <c r="AB171" s="0">
        <f>IF(LEN(TRIM(E171&amp;""))&gt;0,E171,IF(R171&gt;0,INDEX($E$13:$E$512,R171),""))</f>
      </c>
      <c r="AC171" s="0">
        <f>UPPER(SUBSTITUTE(SUBSTITUTE(SUBSTITUTE(SUBSTITUTE(SUBSTITUTE(TRIM(AB171),"²","2"),"³","3"),"^",""),".","")," ",""))</f>
      </c>
    </row>
    <row r="172" ht="35" customHeight="1">
      <c r="B172" s="35"/>
      <c r="C172" s="35"/>
      <c r="D172" s="37"/>
      <c r="E172" s="35"/>
      <c r="F172" s="38"/>
      <c r="G172" s="38"/>
      <c r="H172" s="38"/>
      <c r="I172" s="38"/>
      <c r="J172" s="38"/>
      <c r="K172" s="35"/>
      <c r="L172" s="35"/>
      <c r="M172" s="39">
        <f>IF(U172&lt;&gt;1,"",IF(P172="DIRECTA",G172,IF(ISNUMBER(G172),G172,1)*IF(ISNUMBER(H172),H172,1)*IF(ISNUMBER(I172),I172,1)*IF(ISNUMBER(J172),J172,1)))</f>
      </c>
      <c r="N172" s="30">
        <f>IF(COUNTA(B172:L172)=0,"",IF(X172=0,IF(P172="CABECERA","VERDE · Fila descriptiva; la suma usa las líneas del ID","VERDE · Datos numéricos interpretables"),IF(X172=2,"ROJO · ","ÁMBAR · ")&amp;IF(NOT(IF(ISNUMBER($E$6),AND($E$6&gt;=0,$E$6&lt;=6,$E$6=INT($E$6)),FALSE)),"Indicamos entre 0 y 6 decimales en E6. ","")&amp;IF(O172=0,"Falta un ID numérico. ","")&amp;IF(R172=0,"Faltan capítulo, código, unidad o total numérico del ID. ","")&amp;IF(T172&gt;0,"Los datos o el total del ID se contradicen. ","")&amp;IF(AND(P172&lt;&gt;"DIMENSIONES",P172&lt;&gt;"DIRECTA",P172&lt;&gt;"SIN LÍNEAS",P172&lt;&gt;"CABECERA"),"Tipo de fila no reconocido. ","")&amp;IF(AND(OR(P172="SIN LÍNEAS",P172="CABECERA"),COUNTA(G172:J172)&gt;0),"La fila dice que no mide, pero contiene medidas. ","")&amp;IF(AND(OR(P172="DIRECTA",P172="DIMENSIONES"),U172=0),"Línea incompleta o con medidas no numéricas. ","")&amp;IF(P172="SIN LÍNEAS","No constan medidas de esta fila. ","")&amp;IF(Y172&gt;0,"Parece m³: tres dimensiones bajo m². ","")&amp;IF(AND(AB172&lt;&gt;"",SUMPRODUCT(--('LÉEME'!$B$65:$B$86=AC172))&lt;&gt;1),"Revisamos el significado de la unidad. ","")&amp;IF(Z172&gt;0,"Más precisión que los decimales indicados: cotejamos el original. ","")&amp;IF(AA172&gt;0,"Revisamos dimensiones, cantidad directa, ceros o deducción. ","")))</f>
      </c>
      <c r="O172" s="0" t="n">
        <f>IF(ISNUMBER(K172),IF(AND(K172&gt;0,K172=INT(K172),K172&lt;=999999),K172,0),0)</f>
        <v>0</v>
      </c>
      <c r="P172" s="0">
        <f>IF(COUNTA(B172:L172)=0,"",IF(L172="",IF(COUNTA(G172:J172)&gt;0,"DIMENSIONES","SIN LÍNEAS"),UPPER(TRIM(L172))))</f>
      </c>
      <c r="Q172" s="0">
        <f>IF(AND(O172&gt;0,LEN(TRIM(B172&amp;""))&gt;0,LEN(TRIM(C172&amp;""))&gt;0,LEN(TRIM(E172&amp;""))&gt;0,ISNUMBER(F172)),O172,"")</f>
      </c>
      <c r="R172" s="0" t="n">
        <f>IF(O172=0,0,IF(COUNTIFS($Q$13:$Q$512,O172)&gt;0,MATCH(O172,$Q$13:$Q$512,0),0))</f>
        <v>0</v>
      </c>
      <c r="S172" s="0">
        <f>IF(AB172="","",IF(SUMPRODUCT(--('LÉEME'!$B$65:$B$86=AC172))=1,INDEX('LÉEME'!$C$65:$C$86,MATCH(AC172,'LÉEME'!$B$65:$B$86,0)),UPPER(TRIM(AB172))))</f>
      </c>
      <c r="T172" s="0" t="n">
        <f>IF(R172=0,0,IF(OR(AND(LEN(TRIM(B172&amp;""))&gt;0,UPPER(TRIM(B172&amp;""))&lt;&gt;UPPER(TRIM(INDEX($B$13:$B$512,R172)&amp;""))),AND(LEN(TRIM(C172&amp;""))&gt;0,UPPER(TRIM(C172&amp;""))&lt;&gt;UPPER(TRIM(INDEX($C$13:$C$512,R172)&amp;""))),AND(LEN(TRIM(E172&amp;""))&gt;0,S172&lt;&gt;INDEX($S$13:$S$512,R172)),AND(F172&lt;&gt;"",NOT(ISNUMBER(F172)))),1,IF(ISNUMBER(F172),IF(ABS(F172-INDEX($F$13:$F$512,R172))&gt;0.00000001,1,0),0)))</f>
        <v>0</v>
      </c>
      <c r="U172" s="0" t="n">
        <f>IF(P172="DIRECTA",IF(AND(ISNUMBER(G172),COUNTA(H172:J172)=0),1,0),IF(P172="DIMENSIONES",IF(AND(COUNT(G172:J172)&gt;0,COUNTA(G172:J172)=COUNT(G172:J172)),1,0),0))</f>
        <v>0</v>
      </c>
      <c r="V172" s="0" t="n">
        <f>IF(O172=0,0,IF(COUNTIFS($O$13:O172,O172)=1,1,0))</f>
        <v>0</v>
      </c>
      <c r="W172" s="0">
        <f>IF(V172=1,COUNTIFS($V$13:V172,1),"")</f>
      </c>
      <c r="X172" s="0">
        <f>IF(COUNTA(B172:L172)=0,"",IF(OR(NOT(IF(ISNUMBER($E$6),AND($E$6&gt;=0,$E$6&lt;=6,$E$6=INT($E$6)),FALSE)),O172=0,R172=0,T172&gt;0,AND(P172&lt;&gt;"DIMENSIONES",P172&lt;&gt;"DIRECTA",P172&lt;&gt;"SIN LÍNEAS",P172&lt;&gt;"CABECERA"),AND(OR(P172="DIRECTA",P172="DIMENSIONES"),U172=0),AND(OR(P172="SIN LÍNEAS",P172="CABECERA"),COUNTA(G172:J172)&gt;0)),2,IF(OR(P172="SIN LÍNEAS",Y172&gt;0,Z172&gt;0,AA172&gt;0,SUMPRODUCT(--('LÉEME'!$B$65:$B$86=AC172))&lt;&gt;1),1,0)))</f>
      </c>
      <c r="Y172" s="0" t="n">
        <f>IF(AND(P172="DIMENSIONES",S172="m²",COUNT(H172:J172)=3),1,0)</f>
        <v>0</v>
      </c>
      <c r="Z172" s="0" t="n">
        <f>IF(IF(ISNUMBER($E$6),AND($E$6&gt;=0,$E$6&lt;=6,$E$6=INT($E$6)),FALSE),IF(SUM(IF(ISNUMBER(F172),IF(ABS(F172-ROUND(F172,$E$6))&gt;0.00000001,1,0),0),IF(ISNUMBER(G172),IF(ABS(G172-ROUND(G172,$E$6))&gt;0.00000001,1,0),0),IF(ISNUMBER(H172),IF(ABS(H172-ROUND(H172,$E$6))&gt;0.00000001,1,0),0),IF(ISNUMBER(I172),IF(ABS(I172-ROUND(I172,$E$6))&gt;0.00000001,1,0),0),IF(ISNUMBER(J172),IF(ABS(J172-ROUND(J172,$E$6))&gt;0.00000001,1,0),0),IF(ISNUMBER(M172),IF(ABS(M172-ROUND(M172,$E$6))&gt;0.00000001,1,0),0))&gt;0,1,0),0)</f>
        <v>0</v>
      </c>
      <c r="AA172" s="0" t="n">
        <f>IF(COUNTA(B172:L172)=0,0,IF(OR(AND(ISNUMBER(F172),F172&lt;0),AND(U172=1,OR(SUM(IF(ISNUMBER(G172),IF(G172=0,1,0),0),IF(ISNUMBER(H172),IF(H172=0,1,0),0),IF(ISNUMBER(I172),IF(I172=0,1,0),0),IF(ISNUMBER(J172),IF(J172=0,1,0),0))&gt;0,COUNTIFS(G172:J172,"&lt;0")&gt;0)),AND(P172="DIMENSIONES",U172=1,OR(AND(S172="m",COUNT(H172:J172)&lt;&gt;1),AND(S172="m²",COUNT(H172:J172)&lt;&gt;2,Y172=0),AND(S172="m³",COUNT(H172:J172)&lt;&gt;3),AND(S172="ud",COUNT(H172:J172)&gt;0))),AND(P172="DIRECTA",OR(S172="m",S172="m²",S172="m³"))),1,0))</f>
        <v>0</v>
      </c>
      <c r="AB172" s="0">
        <f>IF(LEN(TRIM(E172&amp;""))&gt;0,E172,IF(R172&gt;0,INDEX($E$13:$E$512,R172),""))</f>
      </c>
      <c r="AC172" s="0">
        <f>UPPER(SUBSTITUTE(SUBSTITUTE(SUBSTITUTE(SUBSTITUTE(SUBSTITUTE(TRIM(AB172),"²","2"),"³","3"),"^",""),".","")," ",""))</f>
      </c>
    </row>
    <row r="173" ht="35" customHeight="1">
      <c r="B173" s="35"/>
      <c r="C173" s="35"/>
      <c r="D173" s="37"/>
      <c r="E173" s="35"/>
      <c r="F173" s="38"/>
      <c r="G173" s="38"/>
      <c r="H173" s="38"/>
      <c r="I173" s="38"/>
      <c r="J173" s="38"/>
      <c r="K173" s="35"/>
      <c r="L173" s="35"/>
      <c r="M173" s="39">
        <f>IF(U173&lt;&gt;1,"",IF(P173="DIRECTA",G173,IF(ISNUMBER(G173),G173,1)*IF(ISNUMBER(H173),H173,1)*IF(ISNUMBER(I173),I173,1)*IF(ISNUMBER(J173),J173,1)))</f>
      </c>
      <c r="N173" s="30">
        <f>IF(COUNTA(B173:L173)=0,"",IF(X173=0,IF(P173="CABECERA","VERDE · Fila descriptiva; la suma usa las líneas del ID","VERDE · Datos numéricos interpretables"),IF(X173=2,"ROJO · ","ÁMBAR · ")&amp;IF(NOT(IF(ISNUMBER($E$6),AND($E$6&gt;=0,$E$6&lt;=6,$E$6=INT($E$6)),FALSE)),"Indicamos entre 0 y 6 decimales en E6. ","")&amp;IF(O173=0,"Falta un ID numérico. ","")&amp;IF(R173=0,"Faltan capítulo, código, unidad o total numérico del ID. ","")&amp;IF(T173&gt;0,"Los datos o el total del ID se contradicen. ","")&amp;IF(AND(P173&lt;&gt;"DIMENSIONES",P173&lt;&gt;"DIRECTA",P173&lt;&gt;"SIN LÍNEAS",P173&lt;&gt;"CABECERA"),"Tipo de fila no reconocido. ","")&amp;IF(AND(OR(P173="SIN LÍNEAS",P173="CABECERA"),COUNTA(G173:J173)&gt;0),"La fila dice que no mide, pero contiene medidas. ","")&amp;IF(AND(OR(P173="DIRECTA",P173="DIMENSIONES"),U173=0),"Línea incompleta o con medidas no numéricas. ","")&amp;IF(P173="SIN LÍNEAS","No constan medidas de esta fila. ","")&amp;IF(Y173&gt;0,"Parece m³: tres dimensiones bajo m². ","")&amp;IF(AND(AB173&lt;&gt;"",SUMPRODUCT(--('LÉEME'!$B$65:$B$86=AC173))&lt;&gt;1),"Revisamos el significado de la unidad. ","")&amp;IF(Z173&gt;0,"Más precisión que los decimales indicados: cotejamos el original. ","")&amp;IF(AA173&gt;0,"Revisamos dimensiones, cantidad directa, ceros o deducción. ","")))</f>
      </c>
      <c r="O173" s="0" t="n">
        <f>IF(ISNUMBER(K173),IF(AND(K173&gt;0,K173=INT(K173),K173&lt;=999999),K173,0),0)</f>
        <v>0</v>
      </c>
      <c r="P173" s="0">
        <f>IF(COUNTA(B173:L173)=0,"",IF(L173="",IF(COUNTA(G173:J173)&gt;0,"DIMENSIONES","SIN LÍNEAS"),UPPER(TRIM(L173))))</f>
      </c>
      <c r="Q173" s="0">
        <f>IF(AND(O173&gt;0,LEN(TRIM(B173&amp;""))&gt;0,LEN(TRIM(C173&amp;""))&gt;0,LEN(TRIM(E173&amp;""))&gt;0,ISNUMBER(F173)),O173,"")</f>
      </c>
      <c r="R173" s="0" t="n">
        <f>IF(O173=0,0,IF(COUNTIFS($Q$13:$Q$512,O173)&gt;0,MATCH(O173,$Q$13:$Q$512,0),0))</f>
        <v>0</v>
      </c>
      <c r="S173" s="0">
        <f>IF(AB173="","",IF(SUMPRODUCT(--('LÉEME'!$B$65:$B$86=AC173))=1,INDEX('LÉEME'!$C$65:$C$86,MATCH(AC173,'LÉEME'!$B$65:$B$86,0)),UPPER(TRIM(AB173))))</f>
      </c>
      <c r="T173" s="0" t="n">
        <f>IF(R173=0,0,IF(OR(AND(LEN(TRIM(B173&amp;""))&gt;0,UPPER(TRIM(B173&amp;""))&lt;&gt;UPPER(TRIM(INDEX($B$13:$B$512,R173)&amp;""))),AND(LEN(TRIM(C173&amp;""))&gt;0,UPPER(TRIM(C173&amp;""))&lt;&gt;UPPER(TRIM(INDEX($C$13:$C$512,R173)&amp;""))),AND(LEN(TRIM(E173&amp;""))&gt;0,S173&lt;&gt;INDEX($S$13:$S$512,R173)),AND(F173&lt;&gt;"",NOT(ISNUMBER(F173)))),1,IF(ISNUMBER(F173),IF(ABS(F173-INDEX($F$13:$F$512,R173))&gt;0.00000001,1,0),0)))</f>
        <v>0</v>
      </c>
      <c r="U173" s="0" t="n">
        <f>IF(P173="DIRECTA",IF(AND(ISNUMBER(G173),COUNTA(H173:J173)=0),1,0),IF(P173="DIMENSIONES",IF(AND(COUNT(G173:J173)&gt;0,COUNTA(G173:J173)=COUNT(G173:J173)),1,0),0))</f>
        <v>0</v>
      </c>
      <c r="V173" s="0" t="n">
        <f>IF(O173=0,0,IF(COUNTIFS($O$13:O173,O173)=1,1,0))</f>
        <v>0</v>
      </c>
      <c r="W173" s="0">
        <f>IF(V173=1,COUNTIFS($V$13:V173,1),"")</f>
      </c>
      <c r="X173" s="0">
        <f>IF(COUNTA(B173:L173)=0,"",IF(OR(NOT(IF(ISNUMBER($E$6),AND($E$6&gt;=0,$E$6&lt;=6,$E$6=INT($E$6)),FALSE)),O173=0,R173=0,T173&gt;0,AND(P173&lt;&gt;"DIMENSIONES",P173&lt;&gt;"DIRECTA",P173&lt;&gt;"SIN LÍNEAS",P173&lt;&gt;"CABECERA"),AND(OR(P173="DIRECTA",P173="DIMENSIONES"),U173=0),AND(OR(P173="SIN LÍNEAS",P173="CABECERA"),COUNTA(G173:J173)&gt;0)),2,IF(OR(P173="SIN LÍNEAS",Y173&gt;0,Z173&gt;0,AA173&gt;0,SUMPRODUCT(--('LÉEME'!$B$65:$B$86=AC173))&lt;&gt;1),1,0)))</f>
      </c>
      <c r="Y173" s="0" t="n">
        <f>IF(AND(P173="DIMENSIONES",S173="m²",COUNT(H173:J173)=3),1,0)</f>
        <v>0</v>
      </c>
      <c r="Z173" s="0" t="n">
        <f>IF(IF(ISNUMBER($E$6),AND($E$6&gt;=0,$E$6&lt;=6,$E$6=INT($E$6)),FALSE),IF(SUM(IF(ISNUMBER(F173),IF(ABS(F173-ROUND(F173,$E$6))&gt;0.00000001,1,0),0),IF(ISNUMBER(G173),IF(ABS(G173-ROUND(G173,$E$6))&gt;0.00000001,1,0),0),IF(ISNUMBER(H173),IF(ABS(H173-ROUND(H173,$E$6))&gt;0.00000001,1,0),0),IF(ISNUMBER(I173),IF(ABS(I173-ROUND(I173,$E$6))&gt;0.00000001,1,0),0),IF(ISNUMBER(J173),IF(ABS(J173-ROUND(J173,$E$6))&gt;0.00000001,1,0),0),IF(ISNUMBER(M173),IF(ABS(M173-ROUND(M173,$E$6))&gt;0.00000001,1,0),0))&gt;0,1,0),0)</f>
        <v>0</v>
      </c>
      <c r="AA173" s="0" t="n">
        <f>IF(COUNTA(B173:L173)=0,0,IF(OR(AND(ISNUMBER(F173),F173&lt;0),AND(U173=1,OR(SUM(IF(ISNUMBER(G173),IF(G173=0,1,0),0),IF(ISNUMBER(H173),IF(H173=0,1,0),0),IF(ISNUMBER(I173),IF(I173=0,1,0),0),IF(ISNUMBER(J173),IF(J173=0,1,0),0))&gt;0,COUNTIFS(G173:J173,"&lt;0")&gt;0)),AND(P173="DIMENSIONES",U173=1,OR(AND(S173="m",COUNT(H173:J173)&lt;&gt;1),AND(S173="m²",COUNT(H173:J173)&lt;&gt;2,Y173=0),AND(S173="m³",COUNT(H173:J173)&lt;&gt;3),AND(S173="ud",COUNT(H173:J173)&gt;0))),AND(P173="DIRECTA",OR(S173="m",S173="m²",S173="m³"))),1,0))</f>
        <v>0</v>
      </c>
      <c r="AB173" s="0">
        <f>IF(LEN(TRIM(E173&amp;""))&gt;0,E173,IF(R173&gt;0,INDEX($E$13:$E$512,R173),""))</f>
      </c>
      <c r="AC173" s="0">
        <f>UPPER(SUBSTITUTE(SUBSTITUTE(SUBSTITUTE(SUBSTITUTE(SUBSTITUTE(TRIM(AB173),"²","2"),"³","3"),"^",""),".","")," ",""))</f>
      </c>
    </row>
    <row r="174" ht="35" customHeight="1">
      <c r="B174" s="35"/>
      <c r="C174" s="35"/>
      <c r="D174" s="37"/>
      <c r="E174" s="35"/>
      <c r="F174" s="38"/>
      <c r="G174" s="38"/>
      <c r="H174" s="38"/>
      <c r="I174" s="38"/>
      <c r="J174" s="38"/>
      <c r="K174" s="35"/>
      <c r="L174" s="35"/>
      <c r="M174" s="39">
        <f>IF(U174&lt;&gt;1,"",IF(P174="DIRECTA",G174,IF(ISNUMBER(G174),G174,1)*IF(ISNUMBER(H174),H174,1)*IF(ISNUMBER(I174),I174,1)*IF(ISNUMBER(J174),J174,1)))</f>
      </c>
      <c r="N174" s="30">
        <f>IF(COUNTA(B174:L174)=0,"",IF(X174=0,IF(P174="CABECERA","VERDE · Fila descriptiva; la suma usa las líneas del ID","VERDE · Datos numéricos interpretables"),IF(X174=2,"ROJO · ","ÁMBAR · ")&amp;IF(NOT(IF(ISNUMBER($E$6),AND($E$6&gt;=0,$E$6&lt;=6,$E$6=INT($E$6)),FALSE)),"Indicamos entre 0 y 6 decimales en E6. ","")&amp;IF(O174=0,"Falta un ID numérico. ","")&amp;IF(R174=0,"Faltan capítulo, código, unidad o total numérico del ID. ","")&amp;IF(T174&gt;0,"Los datos o el total del ID se contradicen. ","")&amp;IF(AND(P174&lt;&gt;"DIMENSIONES",P174&lt;&gt;"DIRECTA",P174&lt;&gt;"SIN LÍNEAS",P174&lt;&gt;"CABECERA"),"Tipo de fila no reconocido. ","")&amp;IF(AND(OR(P174="SIN LÍNEAS",P174="CABECERA"),COUNTA(G174:J174)&gt;0),"La fila dice que no mide, pero contiene medidas. ","")&amp;IF(AND(OR(P174="DIRECTA",P174="DIMENSIONES"),U174=0),"Línea incompleta o con medidas no numéricas. ","")&amp;IF(P174="SIN LÍNEAS","No constan medidas de esta fila. ","")&amp;IF(Y174&gt;0,"Parece m³: tres dimensiones bajo m². ","")&amp;IF(AND(AB174&lt;&gt;"",SUMPRODUCT(--('LÉEME'!$B$65:$B$86=AC174))&lt;&gt;1),"Revisamos el significado de la unidad. ","")&amp;IF(Z174&gt;0,"Más precisión que los decimales indicados: cotejamos el original. ","")&amp;IF(AA174&gt;0,"Revisamos dimensiones, cantidad directa, ceros o deducción. ","")))</f>
      </c>
      <c r="O174" s="0" t="n">
        <f>IF(ISNUMBER(K174),IF(AND(K174&gt;0,K174=INT(K174),K174&lt;=999999),K174,0),0)</f>
        <v>0</v>
      </c>
      <c r="P174" s="0">
        <f>IF(COUNTA(B174:L174)=0,"",IF(L174="",IF(COUNTA(G174:J174)&gt;0,"DIMENSIONES","SIN LÍNEAS"),UPPER(TRIM(L174))))</f>
      </c>
      <c r="Q174" s="0">
        <f>IF(AND(O174&gt;0,LEN(TRIM(B174&amp;""))&gt;0,LEN(TRIM(C174&amp;""))&gt;0,LEN(TRIM(E174&amp;""))&gt;0,ISNUMBER(F174)),O174,"")</f>
      </c>
      <c r="R174" s="0" t="n">
        <f>IF(O174=0,0,IF(COUNTIFS($Q$13:$Q$512,O174)&gt;0,MATCH(O174,$Q$13:$Q$512,0),0))</f>
        <v>0</v>
      </c>
      <c r="S174" s="0">
        <f>IF(AB174="","",IF(SUMPRODUCT(--('LÉEME'!$B$65:$B$86=AC174))=1,INDEX('LÉEME'!$C$65:$C$86,MATCH(AC174,'LÉEME'!$B$65:$B$86,0)),UPPER(TRIM(AB174))))</f>
      </c>
      <c r="T174" s="0" t="n">
        <f>IF(R174=0,0,IF(OR(AND(LEN(TRIM(B174&amp;""))&gt;0,UPPER(TRIM(B174&amp;""))&lt;&gt;UPPER(TRIM(INDEX($B$13:$B$512,R174)&amp;""))),AND(LEN(TRIM(C174&amp;""))&gt;0,UPPER(TRIM(C174&amp;""))&lt;&gt;UPPER(TRIM(INDEX($C$13:$C$512,R174)&amp;""))),AND(LEN(TRIM(E174&amp;""))&gt;0,S174&lt;&gt;INDEX($S$13:$S$512,R174)),AND(F174&lt;&gt;"",NOT(ISNUMBER(F174)))),1,IF(ISNUMBER(F174),IF(ABS(F174-INDEX($F$13:$F$512,R174))&gt;0.00000001,1,0),0)))</f>
        <v>0</v>
      </c>
      <c r="U174" s="0" t="n">
        <f>IF(P174="DIRECTA",IF(AND(ISNUMBER(G174),COUNTA(H174:J174)=0),1,0),IF(P174="DIMENSIONES",IF(AND(COUNT(G174:J174)&gt;0,COUNTA(G174:J174)=COUNT(G174:J174)),1,0),0))</f>
        <v>0</v>
      </c>
      <c r="V174" s="0" t="n">
        <f>IF(O174=0,0,IF(COUNTIFS($O$13:O174,O174)=1,1,0))</f>
        <v>0</v>
      </c>
      <c r="W174" s="0">
        <f>IF(V174=1,COUNTIFS($V$13:V174,1),"")</f>
      </c>
      <c r="X174" s="0">
        <f>IF(COUNTA(B174:L174)=0,"",IF(OR(NOT(IF(ISNUMBER($E$6),AND($E$6&gt;=0,$E$6&lt;=6,$E$6=INT($E$6)),FALSE)),O174=0,R174=0,T174&gt;0,AND(P174&lt;&gt;"DIMENSIONES",P174&lt;&gt;"DIRECTA",P174&lt;&gt;"SIN LÍNEAS",P174&lt;&gt;"CABECERA"),AND(OR(P174="DIRECTA",P174="DIMENSIONES"),U174=0),AND(OR(P174="SIN LÍNEAS",P174="CABECERA"),COUNTA(G174:J174)&gt;0)),2,IF(OR(P174="SIN LÍNEAS",Y174&gt;0,Z174&gt;0,AA174&gt;0,SUMPRODUCT(--('LÉEME'!$B$65:$B$86=AC174))&lt;&gt;1),1,0)))</f>
      </c>
      <c r="Y174" s="0" t="n">
        <f>IF(AND(P174="DIMENSIONES",S174="m²",COUNT(H174:J174)=3),1,0)</f>
        <v>0</v>
      </c>
      <c r="Z174" s="0" t="n">
        <f>IF(IF(ISNUMBER($E$6),AND($E$6&gt;=0,$E$6&lt;=6,$E$6=INT($E$6)),FALSE),IF(SUM(IF(ISNUMBER(F174),IF(ABS(F174-ROUND(F174,$E$6))&gt;0.00000001,1,0),0),IF(ISNUMBER(G174),IF(ABS(G174-ROUND(G174,$E$6))&gt;0.00000001,1,0),0),IF(ISNUMBER(H174),IF(ABS(H174-ROUND(H174,$E$6))&gt;0.00000001,1,0),0),IF(ISNUMBER(I174),IF(ABS(I174-ROUND(I174,$E$6))&gt;0.00000001,1,0),0),IF(ISNUMBER(J174),IF(ABS(J174-ROUND(J174,$E$6))&gt;0.00000001,1,0),0),IF(ISNUMBER(M174),IF(ABS(M174-ROUND(M174,$E$6))&gt;0.00000001,1,0),0))&gt;0,1,0),0)</f>
        <v>0</v>
      </c>
      <c r="AA174" s="0" t="n">
        <f>IF(COUNTA(B174:L174)=0,0,IF(OR(AND(ISNUMBER(F174),F174&lt;0),AND(U174=1,OR(SUM(IF(ISNUMBER(G174),IF(G174=0,1,0),0),IF(ISNUMBER(H174),IF(H174=0,1,0),0),IF(ISNUMBER(I174),IF(I174=0,1,0),0),IF(ISNUMBER(J174),IF(J174=0,1,0),0))&gt;0,COUNTIFS(G174:J174,"&lt;0")&gt;0)),AND(P174="DIMENSIONES",U174=1,OR(AND(S174="m",COUNT(H174:J174)&lt;&gt;1),AND(S174="m²",COUNT(H174:J174)&lt;&gt;2,Y174=0),AND(S174="m³",COUNT(H174:J174)&lt;&gt;3),AND(S174="ud",COUNT(H174:J174)&gt;0))),AND(P174="DIRECTA",OR(S174="m",S174="m²",S174="m³"))),1,0))</f>
        <v>0</v>
      </c>
      <c r="AB174" s="0">
        <f>IF(LEN(TRIM(E174&amp;""))&gt;0,E174,IF(R174&gt;0,INDEX($E$13:$E$512,R174),""))</f>
      </c>
      <c r="AC174" s="0">
        <f>UPPER(SUBSTITUTE(SUBSTITUTE(SUBSTITUTE(SUBSTITUTE(SUBSTITUTE(TRIM(AB174),"²","2"),"³","3"),"^",""),".","")," ",""))</f>
      </c>
    </row>
    <row r="175" ht="35" customHeight="1">
      <c r="B175" s="35"/>
      <c r="C175" s="35"/>
      <c r="D175" s="37"/>
      <c r="E175" s="35"/>
      <c r="F175" s="38"/>
      <c r="G175" s="38"/>
      <c r="H175" s="38"/>
      <c r="I175" s="38"/>
      <c r="J175" s="38"/>
      <c r="K175" s="35"/>
      <c r="L175" s="35"/>
      <c r="M175" s="39">
        <f>IF(U175&lt;&gt;1,"",IF(P175="DIRECTA",G175,IF(ISNUMBER(G175),G175,1)*IF(ISNUMBER(H175),H175,1)*IF(ISNUMBER(I175),I175,1)*IF(ISNUMBER(J175),J175,1)))</f>
      </c>
      <c r="N175" s="30">
        <f>IF(COUNTA(B175:L175)=0,"",IF(X175=0,IF(P175="CABECERA","VERDE · Fila descriptiva; la suma usa las líneas del ID","VERDE · Datos numéricos interpretables"),IF(X175=2,"ROJO · ","ÁMBAR · ")&amp;IF(NOT(IF(ISNUMBER($E$6),AND($E$6&gt;=0,$E$6&lt;=6,$E$6=INT($E$6)),FALSE)),"Indicamos entre 0 y 6 decimales en E6. ","")&amp;IF(O175=0,"Falta un ID numérico. ","")&amp;IF(R175=0,"Faltan capítulo, código, unidad o total numérico del ID. ","")&amp;IF(T175&gt;0,"Los datos o el total del ID se contradicen. ","")&amp;IF(AND(P175&lt;&gt;"DIMENSIONES",P175&lt;&gt;"DIRECTA",P175&lt;&gt;"SIN LÍNEAS",P175&lt;&gt;"CABECERA"),"Tipo de fila no reconocido. ","")&amp;IF(AND(OR(P175="SIN LÍNEAS",P175="CABECERA"),COUNTA(G175:J175)&gt;0),"La fila dice que no mide, pero contiene medidas. ","")&amp;IF(AND(OR(P175="DIRECTA",P175="DIMENSIONES"),U175=0),"Línea incompleta o con medidas no numéricas. ","")&amp;IF(P175="SIN LÍNEAS","No constan medidas de esta fila. ","")&amp;IF(Y175&gt;0,"Parece m³: tres dimensiones bajo m². ","")&amp;IF(AND(AB175&lt;&gt;"",SUMPRODUCT(--('LÉEME'!$B$65:$B$86=AC175))&lt;&gt;1),"Revisamos el significado de la unidad. ","")&amp;IF(Z175&gt;0,"Más precisión que los decimales indicados: cotejamos el original. ","")&amp;IF(AA175&gt;0,"Revisamos dimensiones, cantidad directa, ceros o deducción. ","")))</f>
      </c>
      <c r="O175" s="0" t="n">
        <f>IF(ISNUMBER(K175),IF(AND(K175&gt;0,K175=INT(K175),K175&lt;=999999),K175,0),0)</f>
        <v>0</v>
      </c>
      <c r="P175" s="0">
        <f>IF(COUNTA(B175:L175)=0,"",IF(L175="",IF(COUNTA(G175:J175)&gt;0,"DIMENSIONES","SIN LÍNEAS"),UPPER(TRIM(L175))))</f>
      </c>
      <c r="Q175" s="0">
        <f>IF(AND(O175&gt;0,LEN(TRIM(B175&amp;""))&gt;0,LEN(TRIM(C175&amp;""))&gt;0,LEN(TRIM(E175&amp;""))&gt;0,ISNUMBER(F175)),O175,"")</f>
      </c>
      <c r="R175" s="0" t="n">
        <f>IF(O175=0,0,IF(COUNTIFS($Q$13:$Q$512,O175)&gt;0,MATCH(O175,$Q$13:$Q$512,0),0))</f>
        <v>0</v>
      </c>
      <c r="S175" s="0">
        <f>IF(AB175="","",IF(SUMPRODUCT(--('LÉEME'!$B$65:$B$86=AC175))=1,INDEX('LÉEME'!$C$65:$C$86,MATCH(AC175,'LÉEME'!$B$65:$B$86,0)),UPPER(TRIM(AB175))))</f>
      </c>
      <c r="T175" s="0" t="n">
        <f>IF(R175=0,0,IF(OR(AND(LEN(TRIM(B175&amp;""))&gt;0,UPPER(TRIM(B175&amp;""))&lt;&gt;UPPER(TRIM(INDEX($B$13:$B$512,R175)&amp;""))),AND(LEN(TRIM(C175&amp;""))&gt;0,UPPER(TRIM(C175&amp;""))&lt;&gt;UPPER(TRIM(INDEX($C$13:$C$512,R175)&amp;""))),AND(LEN(TRIM(E175&amp;""))&gt;0,S175&lt;&gt;INDEX($S$13:$S$512,R175)),AND(F175&lt;&gt;"",NOT(ISNUMBER(F175)))),1,IF(ISNUMBER(F175),IF(ABS(F175-INDEX($F$13:$F$512,R175))&gt;0.00000001,1,0),0)))</f>
        <v>0</v>
      </c>
      <c r="U175" s="0" t="n">
        <f>IF(P175="DIRECTA",IF(AND(ISNUMBER(G175),COUNTA(H175:J175)=0),1,0),IF(P175="DIMENSIONES",IF(AND(COUNT(G175:J175)&gt;0,COUNTA(G175:J175)=COUNT(G175:J175)),1,0),0))</f>
        <v>0</v>
      </c>
      <c r="V175" s="0" t="n">
        <f>IF(O175=0,0,IF(COUNTIFS($O$13:O175,O175)=1,1,0))</f>
        <v>0</v>
      </c>
      <c r="W175" s="0">
        <f>IF(V175=1,COUNTIFS($V$13:V175,1),"")</f>
      </c>
      <c r="X175" s="0">
        <f>IF(COUNTA(B175:L175)=0,"",IF(OR(NOT(IF(ISNUMBER($E$6),AND($E$6&gt;=0,$E$6&lt;=6,$E$6=INT($E$6)),FALSE)),O175=0,R175=0,T175&gt;0,AND(P175&lt;&gt;"DIMENSIONES",P175&lt;&gt;"DIRECTA",P175&lt;&gt;"SIN LÍNEAS",P175&lt;&gt;"CABECERA"),AND(OR(P175="DIRECTA",P175="DIMENSIONES"),U175=0),AND(OR(P175="SIN LÍNEAS",P175="CABECERA"),COUNTA(G175:J175)&gt;0)),2,IF(OR(P175="SIN LÍNEAS",Y175&gt;0,Z175&gt;0,AA175&gt;0,SUMPRODUCT(--('LÉEME'!$B$65:$B$86=AC175))&lt;&gt;1),1,0)))</f>
      </c>
      <c r="Y175" s="0" t="n">
        <f>IF(AND(P175="DIMENSIONES",S175="m²",COUNT(H175:J175)=3),1,0)</f>
        <v>0</v>
      </c>
      <c r="Z175" s="0" t="n">
        <f>IF(IF(ISNUMBER($E$6),AND($E$6&gt;=0,$E$6&lt;=6,$E$6=INT($E$6)),FALSE),IF(SUM(IF(ISNUMBER(F175),IF(ABS(F175-ROUND(F175,$E$6))&gt;0.00000001,1,0),0),IF(ISNUMBER(G175),IF(ABS(G175-ROUND(G175,$E$6))&gt;0.00000001,1,0),0),IF(ISNUMBER(H175),IF(ABS(H175-ROUND(H175,$E$6))&gt;0.00000001,1,0),0),IF(ISNUMBER(I175),IF(ABS(I175-ROUND(I175,$E$6))&gt;0.00000001,1,0),0),IF(ISNUMBER(J175),IF(ABS(J175-ROUND(J175,$E$6))&gt;0.00000001,1,0),0),IF(ISNUMBER(M175),IF(ABS(M175-ROUND(M175,$E$6))&gt;0.00000001,1,0),0))&gt;0,1,0),0)</f>
        <v>0</v>
      </c>
      <c r="AA175" s="0" t="n">
        <f>IF(COUNTA(B175:L175)=0,0,IF(OR(AND(ISNUMBER(F175),F175&lt;0),AND(U175=1,OR(SUM(IF(ISNUMBER(G175),IF(G175=0,1,0),0),IF(ISNUMBER(H175),IF(H175=0,1,0),0),IF(ISNUMBER(I175),IF(I175=0,1,0),0),IF(ISNUMBER(J175),IF(J175=0,1,0),0))&gt;0,COUNTIFS(G175:J175,"&lt;0")&gt;0)),AND(P175="DIMENSIONES",U175=1,OR(AND(S175="m",COUNT(H175:J175)&lt;&gt;1),AND(S175="m²",COUNT(H175:J175)&lt;&gt;2,Y175=0),AND(S175="m³",COUNT(H175:J175)&lt;&gt;3),AND(S175="ud",COUNT(H175:J175)&gt;0))),AND(P175="DIRECTA",OR(S175="m",S175="m²",S175="m³"))),1,0))</f>
        <v>0</v>
      </c>
      <c r="AB175" s="0">
        <f>IF(LEN(TRIM(E175&amp;""))&gt;0,E175,IF(R175&gt;0,INDEX($E$13:$E$512,R175),""))</f>
      </c>
      <c r="AC175" s="0">
        <f>UPPER(SUBSTITUTE(SUBSTITUTE(SUBSTITUTE(SUBSTITUTE(SUBSTITUTE(TRIM(AB175),"²","2"),"³","3"),"^",""),".","")," ",""))</f>
      </c>
    </row>
    <row r="176" ht="35" customHeight="1">
      <c r="B176" s="35"/>
      <c r="C176" s="35"/>
      <c r="D176" s="37"/>
      <c r="E176" s="35"/>
      <c r="F176" s="38"/>
      <c r="G176" s="38"/>
      <c r="H176" s="38"/>
      <c r="I176" s="38"/>
      <c r="J176" s="38"/>
      <c r="K176" s="35"/>
      <c r="L176" s="35"/>
      <c r="M176" s="39">
        <f>IF(U176&lt;&gt;1,"",IF(P176="DIRECTA",G176,IF(ISNUMBER(G176),G176,1)*IF(ISNUMBER(H176),H176,1)*IF(ISNUMBER(I176),I176,1)*IF(ISNUMBER(J176),J176,1)))</f>
      </c>
      <c r="N176" s="30">
        <f>IF(COUNTA(B176:L176)=0,"",IF(X176=0,IF(P176="CABECERA","VERDE · Fila descriptiva; la suma usa las líneas del ID","VERDE · Datos numéricos interpretables"),IF(X176=2,"ROJO · ","ÁMBAR · ")&amp;IF(NOT(IF(ISNUMBER($E$6),AND($E$6&gt;=0,$E$6&lt;=6,$E$6=INT($E$6)),FALSE)),"Indicamos entre 0 y 6 decimales en E6. ","")&amp;IF(O176=0,"Falta un ID numérico. ","")&amp;IF(R176=0,"Faltan capítulo, código, unidad o total numérico del ID. ","")&amp;IF(T176&gt;0,"Los datos o el total del ID se contradicen. ","")&amp;IF(AND(P176&lt;&gt;"DIMENSIONES",P176&lt;&gt;"DIRECTA",P176&lt;&gt;"SIN LÍNEAS",P176&lt;&gt;"CABECERA"),"Tipo de fila no reconocido. ","")&amp;IF(AND(OR(P176="SIN LÍNEAS",P176="CABECERA"),COUNTA(G176:J176)&gt;0),"La fila dice que no mide, pero contiene medidas. ","")&amp;IF(AND(OR(P176="DIRECTA",P176="DIMENSIONES"),U176=0),"Línea incompleta o con medidas no numéricas. ","")&amp;IF(P176="SIN LÍNEAS","No constan medidas de esta fila. ","")&amp;IF(Y176&gt;0,"Parece m³: tres dimensiones bajo m². ","")&amp;IF(AND(AB176&lt;&gt;"",SUMPRODUCT(--('LÉEME'!$B$65:$B$86=AC176))&lt;&gt;1),"Revisamos el significado de la unidad. ","")&amp;IF(Z176&gt;0,"Más precisión que los decimales indicados: cotejamos el original. ","")&amp;IF(AA176&gt;0,"Revisamos dimensiones, cantidad directa, ceros o deducción. ","")))</f>
      </c>
      <c r="O176" s="0" t="n">
        <f>IF(ISNUMBER(K176),IF(AND(K176&gt;0,K176=INT(K176),K176&lt;=999999),K176,0),0)</f>
        <v>0</v>
      </c>
      <c r="P176" s="0">
        <f>IF(COUNTA(B176:L176)=0,"",IF(L176="",IF(COUNTA(G176:J176)&gt;0,"DIMENSIONES","SIN LÍNEAS"),UPPER(TRIM(L176))))</f>
      </c>
      <c r="Q176" s="0">
        <f>IF(AND(O176&gt;0,LEN(TRIM(B176&amp;""))&gt;0,LEN(TRIM(C176&amp;""))&gt;0,LEN(TRIM(E176&amp;""))&gt;0,ISNUMBER(F176)),O176,"")</f>
      </c>
      <c r="R176" s="0" t="n">
        <f>IF(O176=0,0,IF(COUNTIFS($Q$13:$Q$512,O176)&gt;0,MATCH(O176,$Q$13:$Q$512,0),0))</f>
        <v>0</v>
      </c>
      <c r="S176" s="0">
        <f>IF(AB176="","",IF(SUMPRODUCT(--('LÉEME'!$B$65:$B$86=AC176))=1,INDEX('LÉEME'!$C$65:$C$86,MATCH(AC176,'LÉEME'!$B$65:$B$86,0)),UPPER(TRIM(AB176))))</f>
      </c>
      <c r="T176" s="0" t="n">
        <f>IF(R176=0,0,IF(OR(AND(LEN(TRIM(B176&amp;""))&gt;0,UPPER(TRIM(B176&amp;""))&lt;&gt;UPPER(TRIM(INDEX($B$13:$B$512,R176)&amp;""))),AND(LEN(TRIM(C176&amp;""))&gt;0,UPPER(TRIM(C176&amp;""))&lt;&gt;UPPER(TRIM(INDEX($C$13:$C$512,R176)&amp;""))),AND(LEN(TRIM(E176&amp;""))&gt;0,S176&lt;&gt;INDEX($S$13:$S$512,R176)),AND(F176&lt;&gt;"",NOT(ISNUMBER(F176)))),1,IF(ISNUMBER(F176),IF(ABS(F176-INDEX($F$13:$F$512,R176))&gt;0.00000001,1,0),0)))</f>
        <v>0</v>
      </c>
      <c r="U176" s="0" t="n">
        <f>IF(P176="DIRECTA",IF(AND(ISNUMBER(G176),COUNTA(H176:J176)=0),1,0),IF(P176="DIMENSIONES",IF(AND(COUNT(G176:J176)&gt;0,COUNTA(G176:J176)=COUNT(G176:J176)),1,0),0))</f>
        <v>0</v>
      </c>
      <c r="V176" s="0" t="n">
        <f>IF(O176=0,0,IF(COUNTIFS($O$13:O176,O176)=1,1,0))</f>
        <v>0</v>
      </c>
      <c r="W176" s="0">
        <f>IF(V176=1,COUNTIFS($V$13:V176,1),"")</f>
      </c>
      <c r="X176" s="0">
        <f>IF(COUNTA(B176:L176)=0,"",IF(OR(NOT(IF(ISNUMBER($E$6),AND($E$6&gt;=0,$E$6&lt;=6,$E$6=INT($E$6)),FALSE)),O176=0,R176=0,T176&gt;0,AND(P176&lt;&gt;"DIMENSIONES",P176&lt;&gt;"DIRECTA",P176&lt;&gt;"SIN LÍNEAS",P176&lt;&gt;"CABECERA"),AND(OR(P176="DIRECTA",P176="DIMENSIONES"),U176=0),AND(OR(P176="SIN LÍNEAS",P176="CABECERA"),COUNTA(G176:J176)&gt;0)),2,IF(OR(P176="SIN LÍNEAS",Y176&gt;0,Z176&gt;0,AA176&gt;0,SUMPRODUCT(--('LÉEME'!$B$65:$B$86=AC176))&lt;&gt;1),1,0)))</f>
      </c>
      <c r="Y176" s="0" t="n">
        <f>IF(AND(P176="DIMENSIONES",S176="m²",COUNT(H176:J176)=3),1,0)</f>
        <v>0</v>
      </c>
      <c r="Z176" s="0" t="n">
        <f>IF(IF(ISNUMBER($E$6),AND($E$6&gt;=0,$E$6&lt;=6,$E$6=INT($E$6)),FALSE),IF(SUM(IF(ISNUMBER(F176),IF(ABS(F176-ROUND(F176,$E$6))&gt;0.00000001,1,0),0),IF(ISNUMBER(G176),IF(ABS(G176-ROUND(G176,$E$6))&gt;0.00000001,1,0),0),IF(ISNUMBER(H176),IF(ABS(H176-ROUND(H176,$E$6))&gt;0.00000001,1,0),0),IF(ISNUMBER(I176),IF(ABS(I176-ROUND(I176,$E$6))&gt;0.00000001,1,0),0),IF(ISNUMBER(J176),IF(ABS(J176-ROUND(J176,$E$6))&gt;0.00000001,1,0),0),IF(ISNUMBER(M176),IF(ABS(M176-ROUND(M176,$E$6))&gt;0.00000001,1,0),0))&gt;0,1,0),0)</f>
        <v>0</v>
      </c>
      <c r="AA176" s="0" t="n">
        <f>IF(COUNTA(B176:L176)=0,0,IF(OR(AND(ISNUMBER(F176),F176&lt;0),AND(U176=1,OR(SUM(IF(ISNUMBER(G176),IF(G176=0,1,0),0),IF(ISNUMBER(H176),IF(H176=0,1,0),0),IF(ISNUMBER(I176),IF(I176=0,1,0),0),IF(ISNUMBER(J176),IF(J176=0,1,0),0))&gt;0,COUNTIFS(G176:J176,"&lt;0")&gt;0)),AND(P176="DIMENSIONES",U176=1,OR(AND(S176="m",COUNT(H176:J176)&lt;&gt;1),AND(S176="m²",COUNT(H176:J176)&lt;&gt;2,Y176=0),AND(S176="m³",COUNT(H176:J176)&lt;&gt;3),AND(S176="ud",COUNT(H176:J176)&gt;0))),AND(P176="DIRECTA",OR(S176="m",S176="m²",S176="m³"))),1,0))</f>
        <v>0</v>
      </c>
      <c r="AB176" s="0">
        <f>IF(LEN(TRIM(E176&amp;""))&gt;0,E176,IF(R176&gt;0,INDEX($E$13:$E$512,R176),""))</f>
      </c>
      <c r="AC176" s="0">
        <f>UPPER(SUBSTITUTE(SUBSTITUTE(SUBSTITUTE(SUBSTITUTE(SUBSTITUTE(TRIM(AB176),"²","2"),"³","3"),"^",""),".","")," ",""))</f>
      </c>
    </row>
    <row r="177" ht="35" customHeight="1">
      <c r="B177" s="35"/>
      <c r="C177" s="35"/>
      <c r="D177" s="37"/>
      <c r="E177" s="35"/>
      <c r="F177" s="38"/>
      <c r="G177" s="38"/>
      <c r="H177" s="38"/>
      <c r="I177" s="38"/>
      <c r="J177" s="38"/>
      <c r="K177" s="35"/>
      <c r="L177" s="35"/>
      <c r="M177" s="39">
        <f>IF(U177&lt;&gt;1,"",IF(P177="DIRECTA",G177,IF(ISNUMBER(G177),G177,1)*IF(ISNUMBER(H177),H177,1)*IF(ISNUMBER(I177),I177,1)*IF(ISNUMBER(J177),J177,1)))</f>
      </c>
      <c r="N177" s="30">
        <f>IF(COUNTA(B177:L177)=0,"",IF(X177=0,IF(P177="CABECERA","VERDE · Fila descriptiva; la suma usa las líneas del ID","VERDE · Datos numéricos interpretables"),IF(X177=2,"ROJO · ","ÁMBAR · ")&amp;IF(NOT(IF(ISNUMBER($E$6),AND($E$6&gt;=0,$E$6&lt;=6,$E$6=INT($E$6)),FALSE)),"Indicamos entre 0 y 6 decimales en E6. ","")&amp;IF(O177=0,"Falta un ID numérico. ","")&amp;IF(R177=0,"Faltan capítulo, código, unidad o total numérico del ID. ","")&amp;IF(T177&gt;0,"Los datos o el total del ID se contradicen. ","")&amp;IF(AND(P177&lt;&gt;"DIMENSIONES",P177&lt;&gt;"DIRECTA",P177&lt;&gt;"SIN LÍNEAS",P177&lt;&gt;"CABECERA"),"Tipo de fila no reconocido. ","")&amp;IF(AND(OR(P177="SIN LÍNEAS",P177="CABECERA"),COUNTA(G177:J177)&gt;0),"La fila dice que no mide, pero contiene medidas. ","")&amp;IF(AND(OR(P177="DIRECTA",P177="DIMENSIONES"),U177=0),"Línea incompleta o con medidas no numéricas. ","")&amp;IF(P177="SIN LÍNEAS","No constan medidas de esta fila. ","")&amp;IF(Y177&gt;0,"Parece m³: tres dimensiones bajo m². ","")&amp;IF(AND(AB177&lt;&gt;"",SUMPRODUCT(--('LÉEME'!$B$65:$B$86=AC177))&lt;&gt;1),"Revisamos el significado de la unidad. ","")&amp;IF(Z177&gt;0,"Más precisión que los decimales indicados: cotejamos el original. ","")&amp;IF(AA177&gt;0,"Revisamos dimensiones, cantidad directa, ceros o deducción. ","")))</f>
      </c>
      <c r="O177" s="0" t="n">
        <f>IF(ISNUMBER(K177),IF(AND(K177&gt;0,K177=INT(K177),K177&lt;=999999),K177,0),0)</f>
        <v>0</v>
      </c>
      <c r="P177" s="0">
        <f>IF(COUNTA(B177:L177)=0,"",IF(L177="",IF(COUNTA(G177:J177)&gt;0,"DIMENSIONES","SIN LÍNEAS"),UPPER(TRIM(L177))))</f>
      </c>
      <c r="Q177" s="0">
        <f>IF(AND(O177&gt;0,LEN(TRIM(B177&amp;""))&gt;0,LEN(TRIM(C177&amp;""))&gt;0,LEN(TRIM(E177&amp;""))&gt;0,ISNUMBER(F177)),O177,"")</f>
      </c>
      <c r="R177" s="0" t="n">
        <f>IF(O177=0,0,IF(COUNTIFS($Q$13:$Q$512,O177)&gt;0,MATCH(O177,$Q$13:$Q$512,0),0))</f>
        <v>0</v>
      </c>
      <c r="S177" s="0">
        <f>IF(AB177="","",IF(SUMPRODUCT(--('LÉEME'!$B$65:$B$86=AC177))=1,INDEX('LÉEME'!$C$65:$C$86,MATCH(AC177,'LÉEME'!$B$65:$B$86,0)),UPPER(TRIM(AB177))))</f>
      </c>
      <c r="T177" s="0" t="n">
        <f>IF(R177=0,0,IF(OR(AND(LEN(TRIM(B177&amp;""))&gt;0,UPPER(TRIM(B177&amp;""))&lt;&gt;UPPER(TRIM(INDEX($B$13:$B$512,R177)&amp;""))),AND(LEN(TRIM(C177&amp;""))&gt;0,UPPER(TRIM(C177&amp;""))&lt;&gt;UPPER(TRIM(INDEX($C$13:$C$512,R177)&amp;""))),AND(LEN(TRIM(E177&amp;""))&gt;0,S177&lt;&gt;INDEX($S$13:$S$512,R177)),AND(F177&lt;&gt;"",NOT(ISNUMBER(F177)))),1,IF(ISNUMBER(F177),IF(ABS(F177-INDEX($F$13:$F$512,R177))&gt;0.00000001,1,0),0)))</f>
        <v>0</v>
      </c>
      <c r="U177" s="0" t="n">
        <f>IF(P177="DIRECTA",IF(AND(ISNUMBER(G177),COUNTA(H177:J177)=0),1,0),IF(P177="DIMENSIONES",IF(AND(COUNT(G177:J177)&gt;0,COUNTA(G177:J177)=COUNT(G177:J177)),1,0),0))</f>
        <v>0</v>
      </c>
      <c r="V177" s="0" t="n">
        <f>IF(O177=0,0,IF(COUNTIFS($O$13:O177,O177)=1,1,0))</f>
        <v>0</v>
      </c>
      <c r="W177" s="0">
        <f>IF(V177=1,COUNTIFS($V$13:V177,1),"")</f>
      </c>
      <c r="X177" s="0">
        <f>IF(COUNTA(B177:L177)=0,"",IF(OR(NOT(IF(ISNUMBER($E$6),AND($E$6&gt;=0,$E$6&lt;=6,$E$6=INT($E$6)),FALSE)),O177=0,R177=0,T177&gt;0,AND(P177&lt;&gt;"DIMENSIONES",P177&lt;&gt;"DIRECTA",P177&lt;&gt;"SIN LÍNEAS",P177&lt;&gt;"CABECERA"),AND(OR(P177="DIRECTA",P177="DIMENSIONES"),U177=0),AND(OR(P177="SIN LÍNEAS",P177="CABECERA"),COUNTA(G177:J177)&gt;0)),2,IF(OR(P177="SIN LÍNEAS",Y177&gt;0,Z177&gt;0,AA177&gt;0,SUMPRODUCT(--('LÉEME'!$B$65:$B$86=AC177))&lt;&gt;1),1,0)))</f>
      </c>
      <c r="Y177" s="0" t="n">
        <f>IF(AND(P177="DIMENSIONES",S177="m²",COUNT(H177:J177)=3),1,0)</f>
        <v>0</v>
      </c>
      <c r="Z177" s="0" t="n">
        <f>IF(IF(ISNUMBER($E$6),AND($E$6&gt;=0,$E$6&lt;=6,$E$6=INT($E$6)),FALSE),IF(SUM(IF(ISNUMBER(F177),IF(ABS(F177-ROUND(F177,$E$6))&gt;0.00000001,1,0),0),IF(ISNUMBER(G177),IF(ABS(G177-ROUND(G177,$E$6))&gt;0.00000001,1,0),0),IF(ISNUMBER(H177),IF(ABS(H177-ROUND(H177,$E$6))&gt;0.00000001,1,0),0),IF(ISNUMBER(I177),IF(ABS(I177-ROUND(I177,$E$6))&gt;0.00000001,1,0),0),IF(ISNUMBER(J177),IF(ABS(J177-ROUND(J177,$E$6))&gt;0.00000001,1,0),0),IF(ISNUMBER(M177),IF(ABS(M177-ROUND(M177,$E$6))&gt;0.00000001,1,0),0))&gt;0,1,0),0)</f>
        <v>0</v>
      </c>
      <c r="AA177" s="0" t="n">
        <f>IF(COUNTA(B177:L177)=0,0,IF(OR(AND(ISNUMBER(F177),F177&lt;0),AND(U177=1,OR(SUM(IF(ISNUMBER(G177),IF(G177=0,1,0),0),IF(ISNUMBER(H177),IF(H177=0,1,0),0),IF(ISNUMBER(I177),IF(I177=0,1,0),0),IF(ISNUMBER(J177),IF(J177=0,1,0),0))&gt;0,COUNTIFS(G177:J177,"&lt;0")&gt;0)),AND(P177="DIMENSIONES",U177=1,OR(AND(S177="m",COUNT(H177:J177)&lt;&gt;1),AND(S177="m²",COUNT(H177:J177)&lt;&gt;2,Y177=0),AND(S177="m³",COUNT(H177:J177)&lt;&gt;3),AND(S177="ud",COUNT(H177:J177)&gt;0))),AND(P177="DIRECTA",OR(S177="m",S177="m²",S177="m³"))),1,0))</f>
        <v>0</v>
      </c>
      <c r="AB177" s="0">
        <f>IF(LEN(TRIM(E177&amp;""))&gt;0,E177,IF(R177&gt;0,INDEX($E$13:$E$512,R177),""))</f>
      </c>
      <c r="AC177" s="0">
        <f>UPPER(SUBSTITUTE(SUBSTITUTE(SUBSTITUTE(SUBSTITUTE(SUBSTITUTE(TRIM(AB177),"²","2"),"³","3"),"^",""),".","")," ",""))</f>
      </c>
    </row>
    <row r="178" ht="35" customHeight="1">
      <c r="B178" s="35"/>
      <c r="C178" s="35"/>
      <c r="D178" s="37"/>
      <c r="E178" s="35"/>
      <c r="F178" s="38"/>
      <c r="G178" s="38"/>
      <c r="H178" s="38"/>
      <c r="I178" s="38"/>
      <c r="J178" s="38"/>
      <c r="K178" s="35"/>
      <c r="L178" s="35"/>
      <c r="M178" s="39">
        <f>IF(U178&lt;&gt;1,"",IF(P178="DIRECTA",G178,IF(ISNUMBER(G178),G178,1)*IF(ISNUMBER(H178),H178,1)*IF(ISNUMBER(I178),I178,1)*IF(ISNUMBER(J178),J178,1)))</f>
      </c>
      <c r="N178" s="30">
        <f>IF(COUNTA(B178:L178)=0,"",IF(X178=0,IF(P178="CABECERA","VERDE · Fila descriptiva; la suma usa las líneas del ID","VERDE · Datos numéricos interpretables"),IF(X178=2,"ROJO · ","ÁMBAR · ")&amp;IF(NOT(IF(ISNUMBER($E$6),AND($E$6&gt;=0,$E$6&lt;=6,$E$6=INT($E$6)),FALSE)),"Indicamos entre 0 y 6 decimales en E6. ","")&amp;IF(O178=0,"Falta un ID numérico. ","")&amp;IF(R178=0,"Faltan capítulo, código, unidad o total numérico del ID. ","")&amp;IF(T178&gt;0,"Los datos o el total del ID se contradicen. ","")&amp;IF(AND(P178&lt;&gt;"DIMENSIONES",P178&lt;&gt;"DIRECTA",P178&lt;&gt;"SIN LÍNEAS",P178&lt;&gt;"CABECERA"),"Tipo de fila no reconocido. ","")&amp;IF(AND(OR(P178="SIN LÍNEAS",P178="CABECERA"),COUNTA(G178:J178)&gt;0),"La fila dice que no mide, pero contiene medidas. ","")&amp;IF(AND(OR(P178="DIRECTA",P178="DIMENSIONES"),U178=0),"Línea incompleta o con medidas no numéricas. ","")&amp;IF(P178="SIN LÍNEAS","No constan medidas de esta fila. ","")&amp;IF(Y178&gt;0,"Parece m³: tres dimensiones bajo m². ","")&amp;IF(AND(AB178&lt;&gt;"",SUMPRODUCT(--('LÉEME'!$B$65:$B$86=AC178))&lt;&gt;1),"Revisamos el significado de la unidad. ","")&amp;IF(Z178&gt;0,"Más precisión que los decimales indicados: cotejamos el original. ","")&amp;IF(AA178&gt;0,"Revisamos dimensiones, cantidad directa, ceros o deducción. ","")))</f>
      </c>
      <c r="O178" s="0" t="n">
        <f>IF(ISNUMBER(K178),IF(AND(K178&gt;0,K178=INT(K178),K178&lt;=999999),K178,0),0)</f>
        <v>0</v>
      </c>
      <c r="P178" s="0">
        <f>IF(COUNTA(B178:L178)=0,"",IF(L178="",IF(COUNTA(G178:J178)&gt;0,"DIMENSIONES","SIN LÍNEAS"),UPPER(TRIM(L178))))</f>
      </c>
      <c r="Q178" s="0">
        <f>IF(AND(O178&gt;0,LEN(TRIM(B178&amp;""))&gt;0,LEN(TRIM(C178&amp;""))&gt;0,LEN(TRIM(E178&amp;""))&gt;0,ISNUMBER(F178)),O178,"")</f>
      </c>
      <c r="R178" s="0" t="n">
        <f>IF(O178=0,0,IF(COUNTIFS($Q$13:$Q$512,O178)&gt;0,MATCH(O178,$Q$13:$Q$512,0),0))</f>
        <v>0</v>
      </c>
      <c r="S178" s="0">
        <f>IF(AB178="","",IF(SUMPRODUCT(--('LÉEME'!$B$65:$B$86=AC178))=1,INDEX('LÉEME'!$C$65:$C$86,MATCH(AC178,'LÉEME'!$B$65:$B$86,0)),UPPER(TRIM(AB178))))</f>
      </c>
      <c r="T178" s="0" t="n">
        <f>IF(R178=0,0,IF(OR(AND(LEN(TRIM(B178&amp;""))&gt;0,UPPER(TRIM(B178&amp;""))&lt;&gt;UPPER(TRIM(INDEX($B$13:$B$512,R178)&amp;""))),AND(LEN(TRIM(C178&amp;""))&gt;0,UPPER(TRIM(C178&amp;""))&lt;&gt;UPPER(TRIM(INDEX($C$13:$C$512,R178)&amp;""))),AND(LEN(TRIM(E178&amp;""))&gt;0,S178&lt;&gt;INDEX($S$13:$S$512,R178)),AND(F178&lt;&gt;"",NOT(ISNUMBER(F178)))),1,IF(ISNUMBER(F178),IF(ABS(F178-INDEX($F$13:$F$512,R178))&gt;0.00000001,1,0),0)))</f>
        <v>0</v>
      </c>
      <c r="U178" s="0" t="n">
        <f>IF(P178="DIRECTA",IF(AND(ISNUMBER(G178),COUNTA(H178:J178)=0),1,0),IF(P178="DIMENSIONES",IF(AND(COUNT(G178:J178)&gt;0,COUNTA(G178:J178)=COUNT(G178:J178)),1,0),0))</f>
        <v>0</v>
      </c>
      <c r="V178" s="0" t="n">
        <f>IF(O178=0,0,IF(COUNTIFS($O$13:O178,O178)=1,1,0))</f>
        <v>0</v>
      </c>
      <c r="W178" s="0">
        <f>IF(V178=1,COUNTIFS($V$13:V178,1),"")</f>
      </c>
      <c r="X178" s="0">
        <f>IF(COUNTA(B178:L178)=0,"",IF(OR(NOT(IF(ISNUMBER($E$6),AND($E$6&gt;=0,$E$6&lt;=6,$E$6=INT($E$6)),FALSE)),O178=0,R178=0,T178&gt;0,AND(P178&lt;&gt;"DIMENSIONES",P178&lt;&gt;"DIRECTA",P178&lt;&gt;"SIN LÍNEAS",P178&lt;&gt;"CABECERA"),AND(OR(P178="DIRECTA",P178="DIMENSIONES"),U178=0),AND(OR(P178="SIN LÍNEAS",P178="CABECERA"),COUNTA(G178:J178)&gt;0)),2,IF(OR(P178="SIN LÍNEAS",Y178&gt;0,Z178&gt;0,AA178&gt;0,SUMPRODUCT(--('LÉEME'!$B$65:$B$86=AC178))&lt;&gt;1),1,0)))</f>
      </c>
      <c r="Y178" s="0" t="n">
        <f>IF(AND(P178="DIMENSIONES",S178="m²",COUNT(H178:J178)=3),1,0)</f>
        <v>0</v>
      </c>
      <c r="Z178" s="0" t="n">
        <f>IF(IF(ISNUMBER($E$6),AND($E$6&gt;=0,$E$6&lt;=6,$E$6=INT($E$6)),FALSE),IF(SUM(IF(ISNUMBER(F178),IF(ABS(F178-ROUND(F178,$E$6))&gt;0.00000001,1,0),0),IF(ISNUMBER(G178),IF(ABS(G178-ROUND(G178,$E$6))&gt;0.00000001,1,0),0),IF(ISNUMBER(H178),IF(ABS(H178-ROUND(H178,$E$6))&gt;0.00000001,1,0),0),IF(ISNUMBER(I178),IF(ABS(I178-ROUND(I178,$E$6))&gt;0.00000001,1,0),0),IF(ISNUMBER(J178),IF(ABS(J178-ROUND(J178,$E$6))&gt;0.00000001,1,0),0),IF(ISNUMBER(M178),IF(ABS(M178-ROUND(M178,$E$6))&gt;0.00000001,1,0),0))&gt;0,1,0),0)</f>
        <v>0</v>
      </c>
      <c r="AA178" s="0" t="n">
        <f>IF(COUNTA(B178:L178)=0,0,IF(OR(AND(ISNUMBER(F178),F178&lt;0),AND(U178=1,OR(SUM(IF(ISNUMBER(G178),IF(G178=0,1,0),0),IF(ISNUMBER(H178),IF(H178=0,1,0),0),IF(ISNUMBER(I178),IF(I178=0,1,0),0),IF(ISNUMBER(J178),IF(J178=0,1,0),0))&gt;0,COUNTIFS(G178:J178,"&lt;0")&gt;0)),AND(P178="DIMENSIONES",U178=1,OR(AND(S178="m",COUNT(H178:J178)&lt;&gt;1),AND(S178="m²",COUNT(H178:J178)&lt;&gt;2,Y178=0),AND(S178="m³",COUNT(H178:J178)&lt;&gt;3),AND(S178="ud",COUNT(H178:J178)&gt;0))),AND(P178="DIRECTA",OR(S178="m",S178="m²",S178="m³"))),1,0))</f>
        <v>0</v>
      </c>
      <c r="AB178" s="0">
        <f>IF(LEN(TRIM(E178&amp;""))&gt;0,E178,IF(R178&gt;0,INDEX($E$13:$E$512,R178),""))</f>
      </c>
      <c r="AC178" s="0">
        <f>UPPER(SUBSTITUTE(SUBSTITUTE(SUBSTITUTE(SUBSTITUTE(SUBSTITUTE(TRIM(AB178),"²","2"),"³","3"),"^",""),".","")," ",""))</f>
      </c>
    </row>
    <row r="179" ht="35" customHeight="1">
      <c r="B179" s="35"/>
      <c r="C179" s="35"/>
      <c r="D179" s="37"/>
      <c r="E179" s="35"/>
      <c r="F179" s="38"/>
      <c r="G179" s="38"/>
      <c r="H179" s="38"/>
      <c r="I179" s="38"/>
      <c r="J179" s="38"/>
      <c r="K179" s="35"/>
      <c r="L179" s="35"/>
      <c r="M179" s="39">
        <f>IF(U179&lt;&gt;1,"",IF(P179="DIRECTA",G179,IF(ISNUMBER(G179),G179,1)*IF(ISNUMBER(H179),H179,1)*IF(ISNUMBER(I179),I179,1)*IF(ISNUMBER(J179),J179,1)))</f>
      </c>
      <c r="N179" s="30">
        <f>IF(COUNTA(B179:L179)=0,"",IF(X179=0,IF(P179="CABECERA","VERDE · Fila descriptiva; la suma usa las líneas del ID","VERDE · Datos numéricos interpretables"),IF(X179=2,"ROJO · ","ÁMBAR · ")&amp;IF(NOT(IF(ISNUMBER($E$6),AND($E$6&gt;=0,$E$6&lt;=6,$E$6=INT($E$6)),FALSE)),"Indicamos entre 0 y 6 decimales en E6. ","")&amp;IF(O179=0,"Falta un ID numérico. ","")&amp;IF(R179=0,"Faltan capítulo, código, unidad o total numérico del ID. ","")&amp;IF(T179&gt;0,"Los datos o el total del ID se contradicen. ","")&amp;IF(AND(P179&lt;&gt;"DIMENSIONES",P179&lt;&gt;"DIRECTA",P179&lt;&gt;"SIN LÍNEAS",P179&lt;&gt;"CABECERA"),"Tipo de fila no reconocido. ","")&amp;IF(AND(OR(P179="SIN LÍNEAS",P179="CABECERA"),COUNTA(G179:J179)&gt;0),"La fila dice que no mide, pero contiene medidas. ","")&amp;IF(AND(OR(P179="DIRECTA",P179="DIMENSIONES"),U179=0),"Línea incompleta o con medidas no numéricas. ","")&amp;IF(P179="SIN LÍNEAS","No constan medidas de esta fila. ","")&amp;IF(Y179&gt;0,"Parece m³: tres dimensiones bajo m². ","")&amp;IF(AND(AB179&lt;&gt;"",SUMPRODUCT(--('LÉEME'!$B$65:$B$86=AC179))&lt;&gt;1),"Revisamos el significado de la unidad. ","")&amp;IF(Z179&gt;0,"Más precisión que los decimales indicados: cotejamos el original. ","")&amp;IF(AA179&gt;0,"Revisamos dimensiones, cantidad directa, ceros o deducción. ","")))</f>
      </c>
      <c r="O179" s="0" t="n">
        <f>IF(ISNUMBER(K179),IF(AND(K179&gt;0,K179=INT(K179),K179&lt;=999999),K179,0),0)</f>
        <v>0</v>
      </c>
      <c r="P179" s="0">
        <f>IF(COUNTA(B179:L179)=0,"",IF(L179="",IF(COUNTA(G179:J179)&gt;0,"DIMENSIONES","SIN LÍNEAS"),UPPER(TRIM(L179))))</f>
      </c>
      <c r="Q179" s="0">
        <f>IF(AND(O179&gt;0,LEN(TRIM(B179&amp;""))&gt;0,LEN(TRIM(C179&amp;""))&gt;0,LEN(TRIM(E179&amp;""))&gt;0,ISNUMBER(F179)),O179,"")</f>
      </c>
      <c r="R179" s="0" t="n">
        <f>IF(O179=0,0,IF(COUNTIFS($Q$13:$Q$512,O179)&gt;0,MATCH(O179,$Q$13:$Q$512,0),0))</f>
        <v>0</v>
      </c>
      <c r="S179" s="0">
        <f>IF(AB179="","",IF(SUMPRODUCT(--('LÉEME'!$B$65:$B$86=AC179))=1,INDEX('LÉEME'!$C$65:$C$86,MATCH(AC179,'LÉEME'!$B$65:$B$86,0)),UPPER(TRIM(AB179))))</f>
      </c>
      <c r="T179" s="0" t="n">
        <f>IF(R179=0,0,IF(OR(AND(LEN(TRIM(B179&amp;""))&gt;0,UPPER(TRIM(B179&amp;""))&lt;&gt;UPPER(TRIM(INDEX($B$13:$B$512,R179)&amp;""))),AND(LEN(TRIM(C179&amp;""))&gt;0,UPPER(TRIM(C179&amp;""))&lt;&gt;UPPER(TRIM(INDEX($C$13:$C$512,R179)&amp;""))),AND(LEN(TRIM(E179&amp;""))&gt;0,S179&lt;&gt;INDEX($S$13:$S$512,R179)),AND(F179&lt;&gt;"",NOT(ISNUMBER(F179)))),1,IF(ISNUMBER(F179),IF(ABS(F179-INDEX($F$13:$F$512,R179))&gt;0.00000001,1,0),0)))</f>
        <v>0</v>
      </c>
      <c r="U179" s="0" t="n">
        <f>IF(P179="DIRECTA",IF(AND(ISNUMBER(G179),COUNTA(H179:J179)=0),1,0),IF(P179="DIMENSIONES",IF(AND(COUNT(G179:J179)&gt;0,COUNTA(G179:J179)=COUNT(G179:J179)),1,0),0))</f>
        <v>0</v>
      </c>
      <c r="V179" s="0" t="n">
        <f>IF(O179=0,0,IF(COUNTIFS($O$13:O179,O179)=1,1,0))</f>
        <v>0</v>
      </c>
      <c r="W179" s="0">
        <f>IF(V179=1,COUNTIFS($V$13:V179,1),"")</f>
      </c>
      <c r="X179" s="0">
        <f>IF(COUNTA(B179:L179)=0,"",IF(OR(NOT(IF(ISNUMBER($E$6),AND($E$6&gt;=0,$E$6&lt;=6,$E$6=INT($E$6)),FALSE)),O179=0,R179=0,T179&gt;0,AND(P179&lt;&gt;"DIMENSIONES",P179&lt;&gt;"DIRECTA",P179&lt;&gt;"SIN LÍNEAS",P179&lt;&gt;"CABECERA"),AND(OR(P179="DIRECTA",P179="DIMENSIONES"),U179=0),AND(OR(P179="SIN LÍNEAS",P179="CABECERA"),COUNTA(G179:J179)&gt;0)),2,IF(OR(P179="SIN LÍNEAS",Y179&gt;0,Z179&gt;0,AA179&gt;0,SUMPRODUCT(--('LÉEME'!$B$65:$B$86=AC179))&lt;&gt;1),1,0)))</f>
      </c>
      <c r="Y179" s="0" t="n">
        <f>IF(AND(P179="DIMENSIONES",S179="m²",COUNT(H179:J179)=3),1,0)</f>
        <v>0</v>
      </c>
      <c r="Z179" s="0" t="n">
        <f>IF(IF(ISNUMBER($E$6),AND($E$6&gt;=0,$E$6&lt;=6,$E$6=INT($E$6)),FALSE),IF(SUM(IF(ISNUMBER(F179),IF(ABS(F179-ROUND(F179,$E$6))&gt;0.00000001,1,0),0),IF(ISNUMBER(G179),IF(ABS(G179-ROUND(G179,$E$6))&gt;0.00000001,1,0),0),IF(ISNUMBER(H179),IF(ABS(H179-ROUND(H179,$E$6))&gt;0.00000001,1,0),0),IF(ISNUMBER(I179),IF(ABS(I179-ROUND(I179,$E$6))&gt;0.00000001,1,0),0),IF(ISNUMBER(J179),IF(ABS(J179-ROUND(J179,$E$6))&gt;0.00000001,1,0),0),IF(ISNUMBER(M179),IF(ABS(M179-ROUND(M179,$E$6))&gt;0.00000001,1,0),0))&gt;0,1,0),0)</f>
        <v>0</v>
      </c>
      <c r="AA179" s="0" t="n">
        <f>IF(COUNTA(B179:L179)=0,0,IF(OR(AND(ISNUMBER(F179),F179&lt;0),AND(U179=1,OR(SUM(IF(ISNUMBER(G179),IF(G179=0,1,0),0),IF(ISNUMBER(H179),IF(H179=0,1,0),0),IF(ISNUMBER(I179),IF(I179=0,1,0),0),IF(ISNUMBER(J179),IF(J179=0,1,0),0))&gt;0,COUNTIFS(G179:J179,"&lt;0")&gt;0)),AND(P179="DIMENSIONES",U179=1,OR(AND(S179="m",COUNT(H179:J179)&lt;&gt;1),AND(S179="m²",COUNT(H179:J179)&lt;&gt;2,Y179=0),AND(S179="m³",COUNT(H179:J179)&lt;&gt;3),AND(S179="ud",COUNT(H179:J179)&gt;0))),AND(P179="DIRECTA",OR(S179="m",S179="m²",S179="m³"))),1,0))</f>
        <v>0</v>
      </c>
      <c r="AB179" s="0">
        <f>IF(LEN(TRIM(E179&amp;""))&gt;0,E179,IF(R179&gt;0,INDEX($E$13:$E$512,R179),""))</f>
      </c>
      <c r="AC179" s="0">
        <f>UPPER(SUBSTITUTE(SUBSTITUTE(SUBSTITUTE(SUBSTITUTE(SUBSTITUTE(TRIM(AB179),"²","2"),"³","3"),"^",""),".","")," ",""))</f>
      </c>
    </row>
    <row r="180" ht="35" customHeight="1">
      <c r="B180" s="35"/>
      <c r="C180" s="35"/>
      <c r="D180" s="37"/>
      <c r="E180" s="35"/>
      <c r="F180" s="38"/>
      <c r="G180" s="38"/>
      <c r="H180" s="38"/>
      <c r="I180" s="38"/>
      <c r="J180" s="38"/>
      <c r="K180" s="35"/>
      <c r="L180" s="35"/>
      <c r="M180" s="39">
        <f>IF(U180&lt;&gt;1,"",IF(P180="DIRECTA",G180,IF(ISNUMBER(G180),G180,1)*IF(ISNUMBER(H180),H180,1)*IF(ISNUMBER(I180),I180,1)*IF(ISNUMBER(J180),J180,1)))</f>
      </c>
      <c r="N180" s="30">
        <f>IF(COUNTA(B180:L180)=0,"",IF(X180=0,IF(P180="CABECERA","VERDE · Fila descriptiva; la suma usa las líneas del ID","VERDE · Datos numéricos interpretables"),IF(X180=2,"ROJO · ","ÁMBAR · ")&amp;IF(NOT(IF(ISNUMBER($E$6),AND($E$6&gt;=0,$E$6&lt;=6,$E$6=INT($E$6)),FALSE)),"Indicamos entre 0 y 6 decimales en E6. ","")&amp;IF(O180=0,"Falta un ID numérico. ","")&amp;IF(R180=0,"Faltan capítulo, código, unidad o total numérico del ID. ","")&amp;IF(T180&gt;0,"Los datos o el total del ID se contradicen. ","")&amp;IF(AND(P180&lt;&gt;"DIMENSIONES",P180&lt;&gt;"DIRECTA",P180&lt;&gt;"SIN LÍNEAS",P180&lt;&gt;"CABECERA"),"Tipo de fila no reconocido. ","")&amp;IF(AND(OR(P180="SIN LÍNEAS",P180="CABECERA"),COUNTA(G180:J180)&gt;0),"La fila dice que no mide, pero contiene medidas. ","")&amp;IF(AND(OR(P180="DIRECTA",P180="DIMENSIONES"),U180=0),"Línea incompleta o con medidas no numéricas. ","")&amp;IF(P180="SIN LÍNEAS","No constan medidas de esta fila. ","")&amp;IF(Y180&gt;0,"Parece m³: tres dimensiones bajo m². ","")&amp;IF(AND(AB180&lt;&gt;"",SUMPRODUCT(--('LÉEME'!$B$65:$B$86=AC180))&lt;&gt;1),"Revisamos el significado de la unidad. ","")&amp;IF(Z180&gt;0,"Más precisión que los decimales indicados: cotejamos el original. ","")&amp;IF(AA180&gt;0,"Revisamos dimensiones, cantidad directa, ceros o deducción. ","")))</f>
      </c>
      <c r="O180" s="0" t="n">
        <f>IF(ISNUMBER(K180),IF(AND(K180&gt;0,K180=INT(K180),K180&lt;=999999),K180,0),0)</f>
        <v>0</v>
      </c>
      <c r="P180" s="0">
        <f>IF(COUNTA(B180:L180)=0,"",IF(L180="",IF(COUNTA(G180:J180)&gt;0,"DIMENSIONES","SIN LÍNEAS"),UPPER(TRIM(L180))))</f>
      </c>
      <c r="Q180" s="0">
        <f>IF(AND(O180&gt;0,LEN(TRIM(B180&amp;""))&gt;0,LEN(TRIM(C180&amp;""))&gt;0,LEN(TRIM(E180&amp;""))&gt;0,ISNUMBER(F180)),O180,"")</f>
      </c>
      <c r="R180" s="0" t="n">
        <f>IF(O180=0,0,IF(COUNTIFS($Q$13:$Q$512,O180)&gt;0,MATCH(O180,$Q$13:$Q$512,0),0))</f>
        <v>0</v>
      </c>
      <c r="S180" s="0">
        <f>IF(AB180="","",IF(SUMPRODUCT(--('LÉEME'!$B$65:$B$86=AC180))=1,INDEX('LÉEME'!$C$65:$C$86,MATCH(AC180,'LÉEME'!$B$65:$B$86,0)),UPPER(TRIM(AB180))))</f>
      </c>
      <c r="T180" s="0" t="n">
        <f>IF(R180=0,0,IF(OR(AND(LEN(TRIM(B180&amp;""))&gt;0,UPPER(TRIM(B180&amp;""))&lt;&gt;UPPER(TRIM(INDEX($B$13:$B$512,R180)&amp;""))),AND(LEN(TRIM(C180&amp;""))&gt;0,UPPER(TRIM(C180&amp;""))&lt;&gt;UPPER(TRIM(INDEX($C$13:$C$512,R180)&amp;""))),AND(LEN(TRIM(E180&amp;""))&gt;0,S180&lt;&gt;INDEX($S$13:$S$512,R180)),AND(F180&lt;&gt;"",NOT(ISNUMBER(F180)))),1,IF(ISNUMBER(F180),IF(ABS(F180-INDEX($F$13:$F$512,R180))&gt;0.00000001,1,0),0)))</f>
        <v>0</v>
      </c>
      <c r="U180" s="0" t="n">
        <f>IF(P180="DIRECTA",IF(AND(ISNUMBER(G180),COUNTA(H180:J180)=0),1,0),IF(P180="DIMENSIONES",IF(AND(COUNT(G180:J180)&gt;0,COUNTA(G180:J180)=COUNT(G180:J180)),1,0),0))</f>
        <v>0</v>
      </c>
      <c r="V180" s="0" t="n">
        <f>IF(O180=0,0,IF(COUNTIFS($O$13:O180,O180)=1,1,0))</f>
        <v>0</v>
      </c>
      <c r="W180" s="0">
        <f>IF(V180=1,COUNTIFS($V$13:V180,1),"")</f>
      </c>
      <c r="X180" s="0">
        <f>IF(COUNTA(B180:L180)=0,"",IF(OR(NOT(IF(ISNUMBER($E$6),AND($E$6&gt;=0,$E$6&lt;=6,$E$6=INT($E$6)),FALSE)),O180=0,R180=0,T180&gt;0,AND(P180&lt;&gt;"DIMENSIONES",P180&lt;&gt;"DIRECTA",P180&lt;&gt;"SIN LÍNEAS",P180&lt;&gt;"CABECERA"),AND(OR(P180="DIRECTA",P180="DIMENSIONES"),U180=0),AND(OR(P180="SIN LÍNEAS",P180="CABECERA"),COUNTA(G180:J180)&gt;0)),2,IF(OR(P180="SIN LÍNEAS",Y180&gt;0,Z180&gt;0,AA180&gt;0,SUMPRODUCT(--('LÉEME'!$B$65:$B$86=AC180))&lt;&gt;1),1,0)))</f>
      </c>
      <c r="Y180" s="0" t="n">
        <f>IF(AND(P180="DIMENSIONES",S180="m²",COUNT(H180:J180)=3),1,0)</f>
        <v>0</v>
      </c>
      <c r="Z180" s="0" t="n">
        <f>IF(IF(ISNUMBER($E$6),AND($E$6&gt;=0,$E$6&lt;=6,$E$6=INT($E$6)),FALSE),IF(SUM(IF(ISNUMBER(F180),IF(ABS(F180-ROUND(F180,$E$6))&gt;0.00000001,1,0),0),IF(ISNUMBER(G180),IF(ABS(G180-ROUND(G180,$E$6))&gt;0.00000001,1,0),0),IF(ISNUMBER(H180),IF(ABS(H180-ROUND(H180,$E$6))&gt;0.00000001,1,0),0),IF(ISNUMBER(I180),IF(ABS(I180-ROUND(I180,$E$6))&gt;0.00000001,1,0),0),IF(ISNUMBER(J180),IF(ABS(J180-ROUND(J180,$E$6))&gt;0.00000001,1,0),0),IF(ISNUMBER(M180),IF(ABS(M180-ROUND(M180,$E$6))&gt;0.00000001,1,0),0))&gt;0,1,0),0)</f>
        <v>0</v>
      </c>
      <c r="AA180" s="0" t="n">
        <f>IF(COUNTA(B180:L180)=0,0,IF(OR(AND(ISNUMBER(F180),F180&lt;0),AND(U180=1,OR(SUM(IF(ISNUMBER(G180),IF(G180=0,1,0),0),IF(ISNUMBER(H180),IF(H180=0,1,0),0),IF(ISNUMBER(I180),IF(I180=0,1,0),0),IF(ISNUMBER(J180),IF(J180=0,1,0),0))&gt;0,COUNTIFS(G180:J180,"&lt;0")&gt;0)),AND(P180="DIMENSIONES",U180=1,OR(AND(S180="m",COUNT(H180:J180)&lt;&gt;1),AND(S180="m²",COUNT(H180:J180)&lt;&gt;2,Y180=0),AND(S180="m³",COUNT(H180:J180)&lt;&gt;3),AND(S180="ud",COUNT(H180:J180)&gt;0))),AND(P180="DIRECTA",OR(S180="m",S180="m²",S180="m³"))),1,0))</f>
        <v>0</v>
      </c>
      <c r="AB180" s="0">
        <f>IF(LEN(TRIM(E180&amp;""))&gt;0,E180,IF(R180&gt;0,INDEX($E$13:$E$512,R180),""))</f>
      </c>
      <c r="AC180" s="0">
        <f>UPPER(SUBSTITUTE(SUBSTITUTE(SUBSTITUTE(SUBSTITUTE(SUBSTITUTE(TRIM(AB180),"²","2"),"³","3"),"^",""),".","")," ",""))</f>
      </c>
    </row>
    <row r="181" ht="35" customHeight="1">
      <c r="B181" s="35"/>
      <c r="C181" s="35"/>
      <c r="D181" s="37"/>
      <c r="E181" s="35"/>
      <c r="F181" s="38"/>
      <c r="G181" s="38"/>
      <c r="H181" s="38"/>
      <c r="I181" s="38"/>
      <c r="J181" s="38"/>
      <c r="K181" s="35"/>
      <c r="L181" s="35"/>
      <c r="M181" s="39">
        <f>IF(U181&lt;&gt;1,"",IF(P181="DIRECTA",G181,IF(ISNUMBER(G181),G181,1)*IF(ISNUMBER(H181),H181,1)*IF(ISNUMBER(I181),I181,1)*IF(ISNUMBER(J181),J181,1)))</f>
      </c>
      <c r="N181" s="30">
        <f>IF(COUNTA(B181:L181)=0,"",IF(X181=0,IF(P181="CABECERA","VERDE · Fila descriptiva; la suma usa las líneas del ID","VERDE · Datos numéricos interpretables"),IF(X181=2,"ROJO · ","ÁMBAR · ")&amp;IF(NOT(IF(ISNUMBER($E$6),AND($E$6&gt;=0,$E$6&lt;=6,$E$6=INT($E$6)),FALSE)),"Indicamos entre 0 y 6 decimales en E6. ","")&amp;IF(O181=0,"Falta un ID numérico. ","")&amp;IF(R181=0,"Faltan capítulo, código, unidad o total numérico del ID. ","")&amp;IF(T181&gt;0,"Los datos o el total del ID se contradicen. ","")&amp;IF(AND(P181&lt;&gt;"DIMENSIONES",P181&lt;&gt;"DIRECTA",P181&lt;&gt;"SIN LÍNEAS",P181&lt;&gt;"CABECERA"),"Tipo de fila no reconocido. ","")&amp;IF(AND(OR(P181="SIN LÍNEAS",P181="CABECERA"),COUNTA(G181:J181)&gt;0),"La fila dice que no mide, pero contiene medidas. ","")&amp;IF(AND(OR(P181="DIRECTA",P181="DIMENSIONES"),U181=0),"Línea incompleta o con medidas no numéricas. ","")&amp;IF(P181="SIN LÍNEAS","No constan medidas de esta fila. ","")&amp;IF(Y181&gt;0,"Parece m³: tres dimensiones bajo m². ","")&amp;IF(AND(AB181&lt;&gt;"",SUMPRODUCT(--('LÉEME'!$B$65:$B$86=AC181))&lt;&gt;1),"Revisamos el significado de la unidad. ","")&amp;IF(Z181&gt;0,"Más precisión que los decimales indicados: cotejamos el original. ","")&amp;IF(AA181&gt;0,"Revisamos dimensiones, cantidad directa, ceros o deducción. ","")))</f>
      </c>
      <c r="O181" s="0" t="n">
        <f>IF(ISNUMBER(K181),IF(AND(K181&gt;0,K181=INT(K181),K181&lt;=999999),K181,0),0)</f>
        <v>0</v>
      </c>
      <c r="P181" s="0">
        <f>IF(COUNTA(B181:L181)=0,"",IF(L181="",IF(COUNTA(G181:J181)&gt;0,"DIMENSIONES","SIN LÍNEAS"),UPPER(TRIM(L181))))</f>
      </c>
      <c r="Q181" s="0">
        <f>IF(AND(O181&gt;0,LEN(TRIM(B181&amp;""))&gt;0,LEN(TRIM(C181&amp;""))&gt;0,LEN(TRIM(E181&amp;""))&gt;0,ISNUMBER(F181)),O181,"")</f>
      </c>
      <c r="R181" s="0" t="n">
        <f>IF(O181=0,0,IF(COUNTIFS($Q$13:$Q$512,O181)&gt;0,MATCH(O181,$Q$13:$Q$512,0),0))</f>
        <v>0</v>
      </c>
      <c r="S181" s="0">
        <f>IF(AB181="","",IF(SUMPRODUCT(--('LÉEME'!$B$65:$B$86=AC181))=1,INDEX('LÉEME'!$C$65:$C$86,MATCH(AC181,'LÉEME'!$B$65:$B$86,0)),UPPER(TRIM(AB181))))</f>
      </c>
      <c r="T181" s="0" t="n">
        <f>IF(R181=0,0,IF(OR(AND(LEN(TRIM(B181&amp;""))&gt;0,UPPER(TRIM(B181&amp;""))&lt;&gt;UPPER(TRIM(INDEX($B$13:$B$512,R181)&amp;""))),AND(LEN(TRIM(C181&amp;""))&gt;0,UPPER(TRIM(C181&amp;""))&lt;&gt;UPPER(TRIM(INDEX($C$13:$C$512,R181)&amp;""))),AND(LEN(TRIM(E181&amp;""))&gt;0,S181&lt;&gt;INDEX($S$13:$S$512,R181)),AND(F181&lt;&gt;"",NOT(ISNUMBER(F181)))),1,IF(ISNUMBER(F181),IF(ABS(F181-INDEX($F$13:$F$512,R181))&gt;0.00000001,1,0),0)))</f>
        <v>0</v>
      </c>
      <c r="U181" s="0" t="n">
        <f>IF(P181="DIRECTA",IF(AND(ISNUMBER(G181),COUNTA(H181:J181)=0),1,0),IF(P181="DIMENSIONES",IF(AND(COUNT(G181:J181)&gt;0,COUNTA(G181:J181)=COUNT(G181:J181)),1,0),0))</f>
        <v>0</v>
      </c>
      <c r="V181" s="0" t="n">
        <f>IF(O181=0,0,IF(COUNTIFS($O$13:O181,O181)=1,1,0))</f>
        <v>0</v>
      </c>
      <c r="W181" s="0">
        <f>IF(V181=1,COUNTIFS($V$13:V181,1),"")</f>
      </c>
      <c r="X181" s="0">
        <f>IF(COUNTA(B181:L181)=0,"",IF(OR(NOT(IF(ISNUMBER($E$6),AND($E$6&gt;=0,$E$6&lt;=6,$E$6=INT($E$6)),FALSE)),O181=0,R181=0,T181&gt;0,AND(P181&lt;&gt;"DIMENSIONES",P181&lt;&gt;"DIRECTA",P181&lt;&gt;"SIN LÍNEAS",P181&lt;&gt;"CABECERA"),AND(OR(P181="DIRECTA",P181="DIMENSIONES"),U181=0),AND(OR(P181="SIN LÍNEAS",P181="CABECERA"),COUNTA(G181:J181)&gt;0)),2,IF(OR(P181="SIN LÍNEAS",Y181&gt;0,Z181&gt;0,AA181&gt;0,SUMPRODUCT(--('LÉEME'!$B$65:$B$86=AC181))&lt;&gt;1),1,0)))</f>
      </c>
      <c r="Y181" s="0" t="n">
        <f>IF(AND(P181="DIMENSIONES",S181="m²",COUNT(H181:J181)=3),1,0)</f>
        <v>0</v>
      </c>
      <c r="Z181" s="0" t="n">
        <f>IF(IF(ISNUMBER($E$6),AND($E$6&gt;=0,$E$6&lt;=6,$E$6=INT($E$6)),FALSE),IF(SUM(IF(ISNUMBER(F181),IF(ABS(F181-ROUND(F181,$E$6))&gt;0.00000001,1,0),0),IF(ISNUMBER(G181),IF(ABS(G181-ROUND(G181,$E$6))&gt;0.00000001,1,0),0),IF(ISNUMBER(H181),IF(ABS(H181-ROUND(H181,$E$6))&gt;0.00000001,1,0),0),IF(ISNUMBER(I181),IF(ABS(I181-ROUND(I181,$E$6))&gt;0.00000001,1,0),0),IF(ISNUMBER(J181),IF(ABS(J181-ROUND(J181,$E$6))&gt;0.00000001,1,0),0),IF(ISNUMBER(M181),IF(ABS(M181-ROUND(M181,$E$6))&gt;0.00000001,1,0),0))&gt;0,1,0),0)</f>
        <v>0</v>
      </c>
      <c r="AA181" s="0" t="n">
        <f>IF(COUNTA(B181:L181)=0,0,IF(OR(AND(ISNUMBER(F181),F181&lt;0),AND(U181=1,OR(SUM(IF(ISNUMBER(G181),IF(G181=0,1,0),0),IF(ISNUMBER(H181),IF(H181=0,1,0),0),IF(ISNUMBER(I181),IF(I181=0,1,0),0),IF(ISNUMBER(J181),IF(J181=0,1,0),0))&gt;0,COUNTIFS(G181:J181,"&lt;0")&gt;0)),AND(P181="DIMENSIONES",U181=1,OR(AND(S181="m",COUNT(H181:J181)&lt;&gt;1),AND(S181="m²",COUNT(H181:J181)&lt;&gt;2,Y181=0),AND(S181="m³",COUNT(H181:J181)&lt;&gt;3),AND(S181="ud",COUNT(H181:J181)&gt;0))),AND(P181="DIRECTA",OR(S181="m",S181="m²",S181="m³"))),1,0))</f>
        <v>0</v>
      </c>
      <c r="AB181" s="0">
        <f>IF(LEN(TRIM(E181&amp;""))&gt;0,E181,IF(R181&gt;0,INDEX($E$13:$E$512,R181),""))</f>
      </c>
      <c r="AC181" s="0">
        <f>UPPER(SUBSTITUTE(SUBSTITUTE(SUBSTITUTE(SUBSTITUTE(SUBSTITUTE(TRIM(AB181),"²","2"),"³","3"),"^",""),".","")," ",""))</f>
      </c>
    </row>
    <row r="182" ht="35" customHeight="1">
      <c r="B182" s="35"/>
      <c r="C182" s="35"/>
      <c r="D182" s="37"/>
      <c r="E182" s="35"/>
      <c r="F182" s="38"/>
      <c r="G182" s="38"/>
      <c r="H182" s="38"/>
      <c r="I182" s="38"/>
      <c r="J182" s="38"/>
      <c r="K182" s="35"/>
      <c r="L182" s="35"/>
      <c r="M182" s="39">
        <f>IF(U182&lt;&gt;1,"",IF(P182="DIRECTA",G182,IF(ISNUMBER(G182),G182,1)*IF(ISNUMBER(H182),H182,1)*IF(ISNUMBER(I182),I182,1)*IF(ISNUMBER(J182),J182,1)))</f>
      </c>
      <c r="N182" s="30">
        <f>IF(COUNTA(B182:L182)=0,"",IF(X182=0,IF(P182="CABECERA","VERDE · Fila descriptiva; la suma usa las líneas del ID","VERDE · Datos numéricos interpretables"),IF(X182=2,"ROJO · ","ÁMBAR · ")&amp;IF(NOT(IF(ISNUMBER($E$6),AND($E$6&gt;=0,$E$6&lt;=6,$E$6=INT($E$6)),FALSE)),"Indicamos entre 0 y 6 decimales en E6. ","")&amp;IF(O182=0,"Falta un ID numérico. ","")&amp;IF(R182=0,"Faltan capítulo, código, unidad o total numérico del ID. ","")&amp;IF(T182&gt;0,"Los datos o el total del ID se contradicen. ","")&amp;IF(AND(P182&lt;&gt;"DIMENSIONES",P182&lt;&gt;"DIRECTA",P182&lt;&gt;"SIN LÍNEAS",P182&lt;&gt;"CABECERA"),"Tipo de fila no reconocido. ","")&amp;IF(AND(OR(P182="SIN LÍNEAS",P182="CABECERA"),COUNTA(G182:J182)&gt;0),"La fila dice que no mide, pero contiene medidas. ","")&amp;IF(AND(OR(P182="DIRECTA",P182="DIMENSIONES"),U182=0),"Línea incompleta o con medidas no numéricas. ","")&amp;IF(P182="SIN LÍNEAS","No constan medidas de esta fila. ","")&amp;IF(Y182&gt;0,"Parece m³: tres dimensiones bajo m². ","")&amp;IF(AND(AB182&lt;&gt;"",SUMPRODUCT(--('LÉEME'!$B$65:$B$86=AC182))&lt;&gt;1),"Revisamos el significado de la unidad. ","")&amp;IF(Z182&gt;0,"Más precisión que los decimales indicados: cotejamos el original. ","")&amp;IF(AA182&gt;0,"Revisamos dimensiones, cantidad directa, ceros o deducción. ","")))</f>
      </c>
      <c r="O182" s="0" t="n">
        <f>IF(ISNUMBER(K182),IF(AND(K182&gt;0,K182=INT(K182),K182&lt;=999999),K182,0),0)</f>
        <v>0</v>
      </c>
      <c r="P182" s="0">
        <f>IF(COUNTA(B182:L182)=0,"",IF(L182="",IF(COUNTA(G182:J182)&gt;0,"DIMENSIONES","SIN LÍNEAS"),UPPER(TRIM(L182))))</f>
      </c>
      <c r="Q182" s="0">
        <f>IF(AND(O182&gt;0,LEN(TRIM(B182&amp;""))&gt;0,LEN(TRIM(C182&amp;""))&gt;0,LEN(TRIM(E182&amp;""))&gt;0,ISNUMBER(F182)),O182,"")</f>
      </c>
      <c r="R182" s="0" t="n">
        <f>IF(O182=0,0,IF(COUNTIFS($Q$13:$Q$512,O182)&gt;0,MATCH(O182,$Q$13:$Q$512,0),0))</f>
        <v>0</v>
      </c>
      <c r="S182" s="0">
        <f>IF(AB182="","",IF(SUMPRODUCT(--('LÉEME'!$B$65:$B$86=AC182))=1,INDEX('LÉEME'!$C$65:$C$86,MATCH(AC182,'LÉEME'!$B$65:$B$86,0)),UPPER(TRIM(AB182))))</f>
      </c>
      <c r="T182" s="0" t="n">
        <f>IF(R182=0,0,IF(OR(AND(LEN(TRIM(B182&amp;""))&gt;0,UPPER(TRIM(B182&amp;""))&lt;&gt;UPPER(TRIM(INDEX($B$13:$B$512,R182)&amp;""))),AND(LEN(TRIM(C182&amp;""))&gt;0,UPPER(TRIM(C182&amp;""))&lt;&gt;UPPER(TRIM(INDEX($C$13:$C$512,R182)&amp;""))),AND(LEN(TRIM(E182&amp;""))&gt;0,S182&lt;&gt;INDEX($S$13:$S$512,R182)),AND(F182&lt;&gt;"",NOT(ISNUMBER(F182)))),1,IF(ISNUMBER(F182),IF(ABS(F182-INDEX($F$13:$F$512,R182))&gt;0.00000001,1,0),0)))</f>
        <v>0</v>
      </c>
      <c r="U182" s="0" t="n">
        <f>IF(P182="DIRECTA",IF(AND(ISNUMBER(G182),COUNTA(H182:J182)=0),1,0),IF(P182="DIMENSIONES",IF(AND(COUNT(G182:J182)&gt;0,COUNTA(G182:J182)=COUNT(G182:J182)),1,0),0))</f>
        <v>0</v>
      </c>
      <c r="V182" s="0" t="n">
        <f>IF(O182=0,0,IF(COUNTIFS($O$13:O182,O182)=1,1,0))</f>
        <v>0</v>
      </c>
      <c r="W182" s="0">
        <f>IF(V182=1,COUNTIFS($V$13:V182,1),"")</f>
      </c>
      <c r="X182" s="0">
        <f>IF(COUNTA(B182:L182)=0,"",IF(OR(NOT(IF(ISNUMBER($E$6),AND($E$6&gt;=0,$E$6&lt;=6,$E$6=INT($E$6)),FALSE)),O182=0,R182=0,T182&gt;0,AND(P182&lt;&gt;"DIMENSIONES",P182&lt;&gt;"DIRECTA",P182&lt;&gt;"SIN LÍNEAS",P182&lt;&gt;"CABECERA"),AND(OR(P182="DIRECTA",P182="DIMENSIONES"),U182=0),AND(OR(P182="SIN LÍNEAS",P182="CABECERA"),COUNTA(G182:J182)&gt;0)),2,IF(OR(P182="SIN LÍNEAS",Y182&gt;0,Z182&gt;0,AA182&gt;0,SUMPRODUCT(--('LÉEME'!$B$65:$B$86=AC182))&lt;&gt;1),1,0)))</f>
      </c>
      <c r="Y182" s="0" t="n">
        <f>IF(AND(P182="DIMENSIONES",S182="m²",COUNT(H182:J182)=3),1,0)</f>
        <v>0</v>
      </c>
      <c r="Z182" s="0" t="n">
        <f>IF(IF(ISNUMBER($E$6),AND($E$6&gt;=0,$E$6&lt;=6,$E$6=INT($E$6)),FALSE),IF(SUM(IF(ISNUMBER(F182),IF(ABS(F182-ROUND(F182,$E$6))&gt;0.00000001,1,0),0),IF(ISNUMBER(G182),IF(ABS(G182-ROUND(G182,$E$6))&gt;0.00000001,1,0),0),IF(ISNUMBER(H182),IF(ABS(H182-ROUND(H182,$E$6))&gt;0.00000001,1,0),0),IF(ISNUMBER(I182),IF(ABS(I182-ROUND(I182,$E$6))&gt;0.00000001,1,0),0),IF(ISNUMBER(J182),IF(ABS(J182-ROUND(J182,$E$6))&gt;0.00000001,1,0),0),IF(ISNUMBER(M182),IF(ABS(M182-ROUND(M182,$E$6))&gt;0.00000001,1,0),0))&gt;0,1,0),0)</f>
        <v>0</v>
      </c>
      <c r="AA182" s="0" t="n">
        <f>IF(COUNTA(B182:L182)=0,0,IF(OR(AND(ISNUMBER(F182),F182&lt;0),AND(U182=1,OR(SUM(IF(ISNUMBER(G182),IF(G182=0,1,0),0),IF(ISNUMBER(H182),IF(H182=0,1,0),0),IF(ISNUMBER(I182),IF(I182=0,1,0),0),IF(ISNUMBER(J182),IF(J182=0,1,0),0))&gt;0,COUNTIFS(G182:J182,"&lt;0")&gt;0)),AND(P182="DIMENSIONES",U182=1,OR(AND(S182="m",COUNT(H182:J182)&lt;&gt;1),AND(S182="m²",COUNT(H182:J182)&lt;&gt;2,Y182=0),AND(S182="m³",COUNT(H182:J182)&lt;&gt;3),AND(S182="ud",COUNT(H182:J182)&gt;0))),AND(P182="DIRECTA",OR(S182="m",S182="m²",S182="m³"))),1,0))</f>
        <v>0</v>
      </c>
      <c r="AB182" s="0">
        <f>IF(LEN(TRIM(E182&amp;""))&gt;0,E182,IF(R182&gt;0,INDEX($E$13:$E$512,R182),""))</f>
      </c>
      <c r="AC182" s="0">
        <f>UPPER(SUBSTITUTE(SUBSTITUTE(SUBSTITUTE(SUBSTITUTE(SUBSTITUTE(TRIM(AB182),"²","2"),"³","3"),"^",""),".","")," ",""))</f>
      </c>
    </row>
    <row r="183" ht="35" customHeight="1">
      <c r="B183" s="35"/>
      <c r="C183" s="35"/>
      <c r="D183" s="37"/>
      <c r="E183" s="35"/>
      <c r="F183" s="38"/>
      <c r="G183" s="38"/>
      <c r="H183" s="38"/>
      <c r="I183" s="38"/>
      <c r="J183" s="38"/>
      <c r="K183" s="35"/>
      <c r="L183" s="35"/>
      <c r="M183" s="39">
        <f>IF(U183&lt;&gt;1,"",IF(P183="DIRECTA",G183,IF(ISNUMBER(G183),G183,1)*IF(ISNUMBER(H183),H183,1)*IF(ISNUMBER(I183),I183,1)*IF(ISNUMBER(J183),J183,1)))</f>
      </c>
      <c r="N183" s="30">
        <f>IF(COUNTA(B183:L183)=0,"",IF(X183=0,IF(P183="CABECERA","VERDE · Fila descriptiva; la suma usa las líneas del ID","VERDE · Datos numéricos interpretables"),IF(X183=2,"ROJO · ","ÁMBAR · ")&amp;IF(NOT(IF(ISNUMBER($E$6),AND($E$6&gt;=0,$E$6&lt;=6,$E$6=INT($E$6)),FALSE)),"Indicamos entre 0 y 6 decimales en E6. ","")&amp;IF(O183=0,"Falta un ID numérico. ","")&amp;IF(R183=0,"Faltan capítulo, código, unidad o total numérico del ID. ","")&amp;IF(T183&gt;0,"Los datos o el total del ID se contradicen. ","")&amp;IF(AND(P183&lt;&gt;"DIMENSIONES",P183&lt;&gt;"DIRECTA",P183&lt;&gt;"SIN LÍNEAS",P183&lt;&gt;"CABECERA"),"Tipo de fila no reconocido. ","")&amp;IF(AND(OR(P183="SIN LÍNEAS",P183="CABECERA"),COUNTA(G183:J183)&gt;0),"La fila dice que no mide, pero contiene medidas. ","")&amp;IF(AND(OR(P183="DIRECTA",P183="DIMENSIONES"),U183=0),"Línea incompleta o con medidas no numéricas. ","")&amp;IF(P183="SIN LÍNEAS","No constan medidas de esta fila. ","")&amp;IF(Y183&gt;0,"Parece m³: tres dimensiones bajo m². ","")&amp;IF(AND(AB183&lt;&gt;"",SUMPRODUCT(--('LÉEME'!$B$65:$B$86=AC183))&lt;&gt;1),"Revisamos el significado de la unidad. ","")&amp;IF(Z183&gt;0,"Más precisión que los decimales indicados: cotejamos el original. ","")&amp;IF(AA183&gt;0,"Revisamos dimensiones, cantidad directa, ceros o deducción. ","")))</f>
      </c>
      <c r="O183" s="0" t="n">
        <f>IF(ISNUMBER(K183),IF(AND(K183&gt;0,K183=INT(K183),K183&lt;=999999),K183,0),0)</f>
        <v>0</v>
      </c>
      <c r="P183" s="0">
        <f>IF(COUNTA(B183:L183)=0,"",IF(L183="",IF(COUNTA(G183:J183)&gt;0,"DIMENSIONES","SIN LÍNEAS"),UPPER(TRIM(L183))))</f>
      </c>
      <c r="Q183" s="0">
        <f>IF(AND(O183&gt;0,LEN(TRIM(B183&amp;""))&gt;0,LEN(TRIM(C183&amp;""))&gt;0,LEN(TRIM(E183&amp;""))&gt;0,ISNUMBER(F183)),O183,"")</f>
      </c>
      <c r="R183" s="0" t="n">
        <f>IF(O183=0,0,IF(COUNTIFS($Q$13:$Q$512,O183)&gt;0,MATCH(O183,$Q$13:$Q$512,0),0))</f>
        <v>0</v>
      </c>
      <c r="S183" s="0">
        <f>IF(AB183="","",IF(SUMPRODUCT(--('LÉEME'!$B$65:$B$86=AC183))=1,INDEX('LÉEME'!$C$65:$C$86,MATCH(AC183,'LÉEME'!$B$65:$B$86,0)),UPPER(TRIM(AB183))))</f>
      </c>
      <c r="T183" s="0" t="n">
        <f>IF(R183=0,0,IF(OR(AND(LEN(TRIM(B183&amp;""))&gt;0,UPPER(TRIM(B183&amp;""))&lt;&gt;UPPER(TRIM(INDEX($B$13:$B$512,R183)&amp;""))),AND(LEN(TRIM(C183&amp;""))&gt;0,UPPER(TRIM(C183&amp;""))&lt;&gt;UPPER(TRIM(INDEX($C$13:$C$512,R183)&amp;""))),AND(LEN(TRIM(E183&amp;""))&gt;0,S183&lt;&gt;INDEX($S$13:$S$512,R183)),AND(F183&lt;&gt;"",NOT(ISNUMBER(F183)))),1,IF(ISNUMBER(F183),IF(ABS(F183-INDEX($F$13:$F$512,R183))&gt;0.00000001,1,0),0)))</f>
        <v>0</v>
      </c>
      <c r="U183" s="0" t="n">
        <f>IF(P183="DIRECTA",IF(AND(ISNUMBER(G183),COUNTA(H183:J183)=0),1,0),IF(P183="DIMENSIONES",IF(AND(COUNT(G183:J183)&gt;0,COUNTA(G183:J183)=COUNT(G183:J183)),1,0),0))</f>
        <v>0</v>
      </c>
      <c r="V183" s="0" t="n">
        <f>IF(O183=0,0,IF(COUNTIFS($O$13:O183,O183)=1,1,0))</f>
        <v>0</v>
      </c>
      <c r="W183" s="0">
        <f>IF(V183=1,COUNTIFS($V$13:V183,1),"")</f>
      </c>
      <c r="X183" s="0">
        <f>IF(COUNTA(B183:L183)=0,"",IF(OR(NOT(IF(ISNUMBER($E$6),AND($E$6&gt;=0,$E$6&lt;=6,$E$6=INT($E$6)),FALSE)),O183=0,R183=0,T183&gt;0,AND(P183&lt;&gt;"DIMENSIONES",P183&lt;&gt;"DIRECTA",P183&lt;&gt;"SIN LÍNEAS",P183&lt;&gt;"CABECERA"),AND(OR(P183="DIRECTA",P183="DIMENSIONES"),U183=0),AND(OR(P183="SIN LÍNEAS",P183="CABECERA"),COUNTA(G183:J183)&gt;0)),2,IF(OR(P183="SIN LÍNEAS",Y183&gt;0,Z183&gt;0,AA183&gt;0,SUMPRODUCT(--('LÉEME'!$B$65:$B$86=AC183))&lt;&gt;1),1,0)))</f>
      </c>
      <c r="Y183" s="0" t="n">
        <f>IF(AND(P183="DIMENSIONES",S183="m²",COUNT(H183:J183)=3),1,0)</f>
        <v>0</v>
      </c>
      <c r="Z183" s="0" t="n">
        <f>IF(IF(ISNUMBER($E$6),AND($E$6&gt;=0,$E$6&lt;=6,$E$6=INT($E$6)),FALSE),IF(SUM(IF(ISNUMBER(F183),IF(ABS(F183-ROUND(F183,$E$6))&gt;0.00000001,1,0),0),IF(ISNUMBER(G183),IF(ABS(G183-ROUND(G183,$E$6))&gt;0.00000001,1,0),0),IF(ISNUMBER(H183),IF(ABS(H183-ROUND(H183,$E$6))&gt;0.00000001,1,0),0),IF(ISNUMBER(I183),IF(ABS(I183-ROUND(I183,$E$6))&gt;0.00000001,1,0),0),IF(ISNUMBER(J183),IF(ABS(J183-ROUND(J183,$E$6))&gt;0.00000001,1,0),0),IF(ISNUMBER(M183),IF(ABS(M183-ROUND(M183,$E$6))&gt;0.00000001,1,0),0))&gt;0,1,0),0)</f>
        <v>0</v>
      </c>
      <c r="AA183" s="0" t="n">
        <f>IF(COUNTA(B183:L183)=0,0,IF(OR(AND(ISNUMBER(F183),F183&lt;0),AND(U183=1,OR(SUM(IF(ISNUMBER(G183),IF(G183=0,1,0),0),IF(ISNUMBER(H183),IF(H183=0,1,0),0),IF(ISNUMBER(I183),IF(I183=0,1,0),0),IF(ISNUMBER(J183),IF(J183=0,1,0),0))&gt;0,COUNTIFS(G183:J183,"&lt;0")&gt;0)),AND(P183="DIMENSIONES",U183=1,OR(AND(S183="m",COUNT(H183:J183)&lt;&gt;1),AND(S183="m²",COUNT(H183:J183)&lt;&gt;2,Y183=0),AND(S183="m³",COUNT(H183:J183)&lt;&gt;3),AND(S183="ud",COUNT(H183:J183)&gt;0))),AND(P183="DIRECTA",OR(S183="m",S183="m²",S183="m³"))),1,0))</f>
        <v>0</v>
      </c>
      <c r="AB183" s="0">
        <f>IF(LEN(TRIM(E183&amp;""))&gt;0,E183,IF(R183&gt;0,INDEX($E$13:$E$512,R183),""))</f>
      </c>
      <c r="AC183" s="0">
        <f>UPPER(SUBSTITUTE(SUBSTITUTE(SUBSTITUTE(SUBSTITUTE(SUBSTITUTE(TRIM(AB183),"²","2"),"³","3"),"^",""),".","")," ",""))</f>
      </c>
    </row>
    <row r="184" ht="35" customHeight="1">
      <c r="B184" s="35"/>
      <c r="C184" s="35"/>
      <c r="D184" s="37"/>
      <c r="E184" s="35"/>
      <c r="F184" s="38"/>
      <c r="G184" s="38"/>
      <c r="H184" s="38"/>
      <c r="I184" s="38"/>
      <c r="J184" s="38"/>
      <c r="K184" s="35"/>
      <c r="L184" s="35"/>
      <c r="M184" s="39">
        <f>IF(U184&lt;&gt;1,"",IF(P184="DIRECTA",G184,IF(ISNUMBER(G184),G184,1)*IF(ISNUMBER(H184),H184,1)*IF(ISNUMBER(I184),I184,1)*IF(ISNUMBER(J184),J184,1)))</f>
      </c>
      <c r="N184" s="30">
        <f>IF(COUNTA(B184:L184)=0,"",IF(X184=0,IF(P184="CABECERA","VERDE · Fila descriptiva; la suma usa las líneas del ID","VERDE · Datos numéricos interpretables"),IF(X184=2,"ROJO · ","ÁMBAR · ")&amp;IF(NOT(IF(ISNUMBER($E$6),AND($E$6&gt;=0,$E$6&lt;=6,$E$6=INT($E$6)),FALSE)),"Indicamos entre 0 y 6 decimales en E6. ","")&amp;IF(O184=0,"Falta un ID numérico. ","")&amp;IF(R184=0,"Faltan capítulo, código, unidad o total numérico del ID. ","")&amp;IF(T184&gt;0,"Los datos o el total del ID se contradicen. ","")&amp;IF(AND(P184&lt;&gt;"DIMENSIONES",P184&lt;&gt;"DIRECTA",P184&lt;&gt;"SIN LÍNEAS",P184&lt;&gt;"CABECERA"),"Tipo de fila no reconocido. ","")&amp;IF(AND(OR(P184="SIN LÍNEAS",P184="CABECERA"),COUNTA(G184:J184)&gt;0),"La fila dice que no mide, pero contiene medidas. ","")&amp;IF(AND(OR(P184="DIRECTA",P184="DIMENSIONES"),U184=0),"Línea incompleta o con medidas no numéricas. ","")&amp;IF(P184="SIN LÍNEAS","No constan medidas de esta fila. ","")&amp;IF(Y184&gt;0,"Parece m³: tres dimensiones bajo m². ","")&amp;IF(AND(AB184&lt;&gt;"",SUMPRODUCT(--('LÉEME'!$B$65:$B$86=AC184))&lt;&gt;1),"Revisamos el significado de la unidad. ","")&amp;IF(Z184&gt;0,"Más precisión que los decimales indicados: cotejamos el original. ","")&amp;IF(AA184&gt;0,"Revisamos dimensiones, cantidad directa, ceros o deducción. ","")))</f>
      </c>
      <c r="O184" s="0" t="n">
        <f>IF(ISNUMBER(K184),IF(AND(K184&gt;0,K184=INT(K184),K184&lt;=999999),K184,0),0)</f>
        <v>0</v>
      </c>
      <c r="P184" s="0">
        <f>IF(COUNTA(B184:L184)=0,"",IF(L184="",IF(COUNTA(G184:J184)&gt;0,"DIMENSIONES","SIN LÍNEAS"),UPPER(TRIM(L184))))</f>
      </c>
      <c r="Q184" s="0">
        <f>IF(AND(O184&gt;0,LEN(TRIM(B184&amp;""))&gt;0,LEN(TRIM(C184&amp;""))&gt;0,LEN(TRIM(E184&amp;""))&gt;0,ISNUMBER(F184)),O184,"")</f>
      </c>
      <c r="R184" s="0" t="n">
        <f>IF(O184=0,0,IF(COUNTIFS($Q$13:$Q$512,O184)&gt;0,MATCH(O184,$Q$13:$Q$512,0),0))</f>
        <v>0</v>
      </c>
      <c r="S184" s="0">
        <f>IF(AB184="","",IF(SUMPRODUCT(--('LÉEME'!$B$65:$B$86=AC184))=1,INDEX('LÉEME'!$C$65:$C$86,MATCH(AC184,'LÉEME'!$B$65:$B$86,0)),UPPER(TRIM(AB184))))</f>
      </c>
      <c r="T184" s="0" t="n">
        <f>IF(R184=0,0,IF(OR(AND(LEN(TRIM(B184&amp;""))&gt;0,UPPER(TRIM(B184&amp;""))&lt;&gt;UPPER(TRIM(INDEX($B$13:$B$512,R184)&amp;""))),AND(LEN(TRIM(C184&amp;""))&gt;0,UPPER(TRIM(C184&amp;""))&lt;&gt;UPPER(TRIM(INDEX($C$13:$C$512,R184)&amp;""))),AND(LEN(TRIM(E184&amp;""))&gt;0,S184&lt;&gt;INDEX($S$13:$S$512,R184)),AND(F184&lt;&gt;"",NOT(ISNUMBER(F184)))),1,IF(ISNUMBER(F184),IF(ABS(F184-INDEX($F$13:$F$512,R184))&gt;0.00000001,1,0),0)))</f>
        <v>0</v>
      </c>
      <c r="U184" s="0" t="n">
        <f>IF(P184="DIRECTA",IF(AND(ISNUMBER(G184),COUNTA(H184:J184)=0),1,0),IF(P184="DIMENSIONES",IF(AND(COUNT(G184:J184)&gt;0,COUNTA(G184:J184)=COUNT(G184:J184)),1,0),0))</f>
        <v>0</v>
      </c>
      <c r="V184" s="0" t="n">
        <f>IF(O184=0,0,IF(COUNTIFS($O$13:O184,O184)=1,1,0))</f>
        <v>0</v>
      </c>
      <c r="W184" s="0">
        <f>IF(V184=1,COUNTIFS($V$13:V184,1),"")</f>
      </c>
      <c r="X184" s="0">
        <f>IF(COUNTA(B184:L184)=0,"",IF(OR(NOT(IF(ISNUMBER($E$6),AND($E$6&gt;=0,$E$6&lt;=6,$E$6=INT($E$6)),FALSE)),O184=0,R184=0,T184&gt;0,AND(P184&lt;&gt;"DIMENSIONES",P184&lt;&gt;"DIRECTA",P184&lt;&gt;"SIN LÍNEAS",P184&lt;&gt;"CABECERA"),AND(OR(P184="DIRECTA",P184="DIMENSIONES"),U184=0),AND(OR(P184="SIN LÍNEAS",P184="CABECERA"),COUNTA(G184:J184)&gt;0)),2,IF(OR(P184="SIN LÍNEAS",Y184&gt;0,Z184&gt;0,AA184&gt;0,SUMPRODUCT(--('LÉEME'!$B$65:$B$86=AC184))&lt;&gt;1),1,0)))</f>
      </c>
      <c r="Y184" s="0" t="n">
        <f>IF(AND(P184="DIMENSIONES",S184="m²",COUNT(H184:J184)=3),1,0)</f>
        <v>0</v>
      </c>
      <c r="Z184" s="0" t="n">
        <f>IF(IF(ISNUMBER($E$6),AND($E$6&gt;=0,$E$6&lt;=6,$E$6=INT($E$6)),FALSE),IF(SUM(IF(ISNUMBER(F184),IF(ABS(F184-ROUND(F184,$E$6))&gt;0.00000001,1,0),0),IF(ISNUMBER(G184),IF(ABS(G184-ROUND(G184,$E$6))&gt;0.00000001,1,0),0),IF(ISNUMBER(H184),IF(ABS(H184-ROUND(H184,$E$6))&gt;0.00000001,1,0),0),IF(ISNUMBER(I184),IF(ABS(I184-ROUND(I184,$E$6))&gt;0.00000001,1,0),0),IF(ISNUMBER(J184),IF(ABS(J184-ROUND(J184,$E$6))&gt;0.00000001,1,0),0),IF(ISNUMBER(M184),IF(ABS(M184-ROUND(M184,$E$6))&gt;0.00000001,1,0),0))&gt;0,1,0),0)</f>
        <v>0</v>
      </c>
      <c r="AA184" s="0" t="n">
        <f>IF(COUNTA(B184:L184)=0,0,IF(OR(AND(ISNUMBER(F184),F184&lt;0),AND(U184=1,OR(SUM(IF(ISNUMBER(G184),IF(G184=0,1,0),0),IF(ISNUMBER(H184),IF(H184=0,1,0),0),IF(ISNUMBER(I184),IF(I184=0,1,0),0),IF(ISNUMBER(J184),IF(J184=0,1,0),0))&gt;0,COUNTIFS(G184:J184,"&lt;0")&gt;0)),AND(P184="DIMENSIONES",U184=1,OR(AND(S184="m",COUNT(H184:J184)&lt;&gt;1),AND(S184="m²",COUNT(H184:J184)&lt;&gt;2,Y184=0),AND(S184="m³",COUNT(H184:J184)&lt;&gt;3),AND(S184="ud",COUNT(H184:J184)&gt;0))),AND(P184="DIRECTA",OR(S184="m",S184="m²",S184="m³"))),1,0))</f>
        <v>0</v>
      </c>
      <c r="AB184" s="0">
        <f>IF(LEN(TRIM(E184&amp;""))&gt;0,E184,IF(R184&gt;0,INDEX($E$13:$E$512,R184),""))</f>
      </c>
      <c r="AC184" s="0">
        <f>UPPER(SUBSTITUTE(SUBSTITUTE(SUBSTITUTE(SUBSTITUTE(SUBSTITUTE(TRIM(AB184),"²","2"),"³","3"),"^",""),".","")," ",""))</f>
      </c>
    </row>
    <row r="185" ht="35" customHeight="1">
      <c r="B185" s="35"/>
      <c r="C185" s="35"/>
      <c r="D185" s="37"/>
      <c r="E185" s="35"/>
      <c r="F185" s="38"/>
      <c r="G185" s="38"/>
      <c r="H185" s="38"/>
      <c r="I185" s="38"/>
      <c r="J185" s="38"/>
      <c r="K185" s="35"/>
      <c r="L185" s="35"/>
      <c r="M185" s="39">
        <f>IF(U185&lt;&gt;1,"",IF(P185="DIRECTA",G185,IF(ISNUMBER(G185),G185,1)*IF(ISNUMBER(H185),H185,1)*IF(ISNUMBER(I185),I185,1)*IF(ISNUMBER(J185),J185,1)))</f>
      </c>
      <c r="N185" s="30">
        <f>IF(COUNTA(B185:L185)=0,"",IF(X185=0,IF(P185="CABECERA","VERDE · Fila descriptiva; la suma usa las líneas del ID","VERDE · Datos numéricos interpretables"),IF(X185=2,"ROJO · ","ÁMBAR · ")&amp;IF(NOT(IF(ISNUMBER($E$6),AND($E$6&gt;=0,$E$6&lt;=6,$E$6=INT($E$6)),FALSE)),"Indicamos entre 0 y 6 decimales en E6. ","")&amp;IF(O185=0,"Falta un ID numérico. ","")&amp;IF(R185=0,"Faltan capítulo, código, unidad o total numérico del ID. ","")&amp;IF(T185&gt;0,"Los datos o el total del ID se contradicen. ","")&amp;IF(AND(P185&lt;&gt;"DIMENSIONES",P185&lt;&gt;"DIRECTA",P185&lt;&gt;"SIN LÍNEAS",P185&lt;&gt;"CABECERA"),"Tipo de fila no reconocido. ","")&amp;IF(AND(OR(P185="SIN LÍNEAS",P185="CABECERA"),COUNTA(G185:J185)&gt;0),"La fila dice que no mide, pero contiene medidas. ","")&amp;IF(AND(OR(P185="DIRECTA",P185="DIMENSIONES"),U185=0),"Línea incompleta o con medidas no numéricas. ","")&amp;IF(P185="SIN LÍNEAS","No constan medidas de esta fila. ","")&amp;IF(Y185&gt;0,"Parece m³: tres dimensiones bajo m². ","")&amp;IF(AND(AB185&lt;&gt;"",SUMPRODUCT(--('LÉEME'!$B$65:$B$86=AC185))&lt;&gt;1),"Revisamos el significado de la unidad. ","")&amp;IF(Z185&gt;0,"Más precisión que los decimales indicados: cotejamos el original. ","")&amp;IF(AA185&gt;0,"Revisamos dimensiones, cantidad directa, ceros o deducción. ","")))</f>
      </c>
      <c r="O185" s="0" t="n">
        <f>IF(ISNUMBER(K185),IF(AND(K185&gt;0,K185=INT(K185),K185&lt;=999999),K185,0),0)</f>
        <v>0</v>
      </c>
      <c r="P185" s="0">
        <f>IF(COUNTA(B185:L185)=0,"",IF(L185="",IF(COUNTA(G185:J185)&gt;0,"DIMENSIONES","SIN LÍNEAS"),UPPER(TRIM(L185))))</f>
      </c>
      <c r="Q185" s="0">
        <f>IF(AND(O185&gt;0,LEN(TRIM(B185&amp;""))&gt;0,LEN(TRIM(C185&amp;""))&gt;0,LEN(TRIM(E185&amp;""))&gt;0,ISNUMBER(F185)),O185,"")</f>
      </c>
      <c r="R185" s="0" t="n">
        <f>IF(O185=0,0,IF(COUNTIFS($Q$13:$Q$512,O185)&gt;0,MATCH(O185,$Q$13:$Q$512,0),0))</f>
        <v>0</v>
      </c>
      <c r="S185" s="0">
        <f>IF(AB185="","",IF(SUMPRODUCT(--('LÉEME'!$B$65:$B$86=AC185))=1,INDEX('LÉEME'!$C$65:$C$86,MATCH(AC185,'LÉEME'!$B$65:$B$86,0)),UPPER(TRIM(AB185))))</f>
      </c>
      <c r="T185" s="0" t="n">
        <f>IF(R185=0,0,IF(OR(AND(LEN(TRIM(B185&amp;""))&gt;0,UPPER(TRIM(B185&amp;""))&lt;&gt;UPPER(TRIM(INDEX($B$13:$B$512,R185)&amp;""))),AND(LEN(TRIM(C185&amp;""))&gt;0,UPPER(TRIM(C185&amp;""))&lt;&gt;UPPER(TRIM(INDEX($C$13:$C$512,R185)&amp;""))),AND(LEN(TRIM(E185&amp;""))&gt;0,S185&lt;&gt;INDEX($S$13:$S$512,R185)),AND(F185&lt;&gt;"",NOT(ISNUMBER(F185)))),1,IF(ISNUMBER(F185),IF(ABS(F185-INDEX($F$13:$F$512,R185))&gt;0.00000001,1,0),0)))</f>
        <v>0</v>
      </c>
      <c r="U185" s="0" t="n">
        <f>IF(P185="DIRECTA",IF(AND(ISNUMBER(G185),COUNTA(H185:J185)=0),1,0),IF(P185="DIMENSIONES",IF(AND(COUNT(G185:J185)&gt;0,COUNTA(G185:J185)=COUNT(G185:J185)),1,0),0))</f>
        <v>0</v>
      </c>
      <c r="V185" s="0" t="n">
        <f>IF(O185=0,0,IF(COUNTIFS($O$13:O185,O185)=1,1,0))</f>
        <v>0</v>
      </c>
      <c r="W185" s="0">
        <f>IF(V185=1,COUNTIFS($V$13:V185,1),"")</f>
      </c>
      <c r="X185" s="0">
        <f>IF(COUNTA(B185:L185)=0,"",IF(OR(NOT(IF(ISNUMBER($E$6),AND($E$6&gt;=0,$E$6&lt;=6,$E$6=INT($E$6)),FALSE)),O185=0,R185=0,T185&gt;0,AND(P185&lt;&gt;"DIMENSIONES",P185&lt;&gt;"DIRECTA",P185&lt;&gt;"SIN LÍNEAS",P185&lt;&gt;"CABECERA"),AND(OR(P185="DIRECTA",P185="DIMENSIONES"),U185=0),AND(OR(P185="SIN LÍNEAS",P185="CABECERA"),COUNTA(G185:J185)&gt;0)),2,IF(OR(P185="SIN LÍNEAS",Y185&gt;0,Z185&gt;0,AA185&gt;0,SUMPRODUCT(--('LÉEME'!$B$65:$B$86=AC185))&lt;&gt;1),1,0)))</f>
      </c>
      <c r="Y185" s="0" t="n">
        <f>IF(AND(P185="DIMENSIONES",S185="m²",COUNT(H185:J185)=3),1,0)</f>
        <v>0</v>
      </c>
      <c r="Z185" s="0" t="n">
        <f>IF(IF(ISNUMBER($E$6),AND($E$6&gt;=0,$E$6&lt;=6,$E$6=INT($E$6)),FALSE),IF(SUM(IF(ISNUMBER(F185),IF(ABS(F185-ROUND(F185,$E$6))&gt;0.00000001,1,0),0),IF(ISNUMBER(G185),IF(ABS(G185-ROUND(G185,$E$6))&gt;0.00000001,1,0),0),IF(ISNUMBER(H185),IF(ABS(H185-ROUND(H185,$E$6))&gt;0.00000001,1,0),0),IF(ISNUMBER(I185),IF(ABS(I185-ROUND(I185,$E$6))&gt;0.00000001,1,0),0),IF(ISNUMBER(J185),IF(ABS(J185-ROUND(J185,$E$6))&gt;0.00000001,1,0),0),IF(ISNUMBER(M185),IF(ABS(M185-ROUND(M185,$E$6))&gt;0.00000001,1,0),0))&gt;0,1,0),0)</f>
        <v>0</v>
      </c>
      <c r="AA185" s="0" t="n">
        <f>IF(COUNTA(B185:L185)=0,0,IF(OR(AND(ISNUMBER(F185),F185&lt;0),AND(U185=1,OR(SUM(IF(ISNUMBER(G185),IF(G185=0,1,0),0),IF(ISNUMBER(H185),IF(H185=0,1,0),0),IF(ISNUMBER(I185),IF(I185=0,1,0),0),IF(ISNUMBER(J185),IF(J185=0,1,0),0))&gt;0,COUNTIFS(G185:J185,"&lt;0")&gt;0)),AND(P185="DIMENSIONES",U185=1,OR(AND(S185="m",COUNT(H185:J185)&lt;&gt;1),AND(S185="m²",COUNT(H185:J185)&lt;&gt;2,Y185=0),AND(S185="m³",COUNT(H185:J185)&lt;&gt;3),AND(S185="ud",COUNT(H185:J185)&gt;0))),AND(P185="DIRECTA",OR(S185="m",S185="m²",S185="m³"))),1,0))</f>
        <v>0</v>
      </c>
      <c r="AB185" s="0">
        <f>IF(LEN(TRIM(E185&amp;""))&gt;0,E185,IF(R185&gt;0,INDEX($E$13:$E$512,R185),""))</f>
      </c>
      <c r="AC185" s="0">
        <f>UPPER(SUBSTITUTE(SUBSTITUTE(SUBSTITUTE(SUBSTITUTE(SUBSTITUTE(TRIM(AB185),"²","2"),"³","3"),"^",""),".","")," ",""))</f>
      </c>
    </row>
    <row r="186" ht="35" customHeight="1">
      <c r="B186" s="35"/>
      <c r="C186" s="35"/>
      <c r="D186" s="37"/>
      <c r="E186" s="35"/>
      <c r="F186" s="38"/>
      <c r="G186" s="38"/>
      <c r="H186" s="38"/>
      <c r="I186" s="38"/>
      <c r="J186" s="38"/>
      <c r="K186" s="35"/>
      <c r="L186" s="35"/>
      <c r="M186" s="39">
        <f>IF(U186&lt;&gt;1,"",IF(P186="DIRECTA",G186,IF(ISNUMBER(G186),G186,1)*IF(ISNUMBER(H186),H186,1)*IF(ISNUMBER(I186),I186,1)*IF(ISNUMBER(J186),J186,1)))</f>
      </c>
      <c r="N186" s="30">
        <f>IF(COUNTA(B186:L186)=0,"",IF(X186=0,IF(P186="CABECERA","VERDE · Fila descriptiva; la suma usa las líneas del ID","VERDE · Datos numéricos interpretables"),IF(X186=2,"ROJO · ","ÁMBAR · ")&amp;IF(NOT(IF(ISNUMBER($E$6),AND($E$6&gt;=0,$E$6&lt;=6,$E$6=INT($E$6)),FALSE)),"Indicamos entre 0 y 6 decimales en E6. ","")&amp;IF(O186=0,"Falta un ID numérico. ","")&amp;IF(R186=0,"Faltan capítulo, código, unidad o total numérico del ID. ","")&amp;IF(T186&gt;0,"Los datos o el total del ID se contradicen. ","")&amp;IF(AND(P186&lt;&gt;"DIMENSIONES",P186&lt;&gt;"DIRECTA",P186&lt;&gt;"SIN LÍNEAS",P186&lt;&gt;"CABECERA"),"Tipo de fila no reconocido. ","")&amp;IF(AND(OR(P186="SIN LÍNEAS",P186="CABECERA"),COUNTA(G186:J186)&gt;0),"La fila dice que no mide, pero contiene medidas. ","")&amp;IF(AND(OR(P186="DIRECTA",P186="DIMENSIONES"),U186=0),"Línea incompleta o con medidas no numéricas. ","")&amp;IF(P186="SIN LÍNEAS","No constan medidas de esta fila. ","")&amp;IF(Y186&gt;0,"Parece m³: tres dimensiones bajo m². ","")&amp;IF(AND(AB186&lt;&gt;"",SUMPRODUCT(--('LÉEME'!$B$65:$B$86=AC186))&lt;&gt;1),"Revisamos el significado de la unidad. ","")&amp;IF(Z186&gt;0,"Más precisión que los decimales indicados: cotejamos el original. ","")&amp;IF(AA186&gt;0,"Revisamos dimensiones, cantidad directa, ceros o deducción. ","")))</f>
      </c>
      <c r="O186" s="0" t="n">
        <f>IF(ISNUMBER(K186),IF(AND(K186&gt;0,K186=INT(K186),K186&lt;=999999),K186,0),0)</f>
        <v>0</v>
      </c>
      <c r="P186" s="0">
        <f>IF(COUNTA(B186:L186)=0,"",IF(L186="",IF(COUNTA(G186:J186)&gt;0,"DIMENSIONES","SIN LÍNEAS"),UPPER(TRIM(L186))))</f>
      </c>
      <c r="Q186" s="0">
        <f>IF(AND(O186&gt;0,LEN(TRIM(B186&amp;""))&gt;0,LEN(TRIM(C186&amp;""))&gt;0,LEN(TRIM(E186&amp;""))&gt;0,ISNUMBER(F186)),O186,"")</f>
      </c>
      <c r="R186" s="0" t="n">
        <f>IF(O186=0,0,IF(COUNTIFS($Q$13:$Q$512,O186)&gt;0,MATCH(O186,$Q$13:$Q$512,0),0))</f>
        <v>0</v>
      </c>
      <c r="S186" s="0">
        <f>IF(AB186="","",IF(SUMPRODUCT(--('LÉEME'!$B$65:$B$86=AC186))=1,INDEX('LÉEME'!$C$65:$C$86,MATCH(AC186,'LÉEME'!$B$65:$B$86,0)),UPPER(TRIM(AB186))))</f>
      </c>
      <c r="T186" s="0" t="n">
        <f>IF(R186=0,0,IF(OR(AND(LEN(TRIM(B186&amp;""))&gt;0,UPPER(TRIM(B186&amp;""))&lt;&gt;UPPER(TRIM(INDEX($B$13:$B$512,R186)&amp;""))),AND(LEN(TRIM(C186&amp;""))&gt;0,UPPER(TRIM(C186&amp;""))&lt;&gt;UPPER(TRIM(INDEX($C$13:$C$512,R186)&amp;""))),AND(LEN(TRIM(E186&amp;""))&gt;0,S186&lt;&gt;INDEX($S$13:$S$512,R186)),AND(F186&lt;&gt;"",NOT(ISNUMBER(F186)))),1,IF(ISNUMBER(F186),IF(ABS(F186-INDEX($F$13:$F$512,R186))&gt;0.00000001,1,0),0)))</f>
        <v>0</v>
      </c>
      <c r="U186" s="0" t="n">
        <f>IF(P186="DIRECTA",IF(AND(ISNUMBER(G186),COUNTA(H186:J186)=0),1,0),IF(P186="DIMENSIONES",IF(AND(COUNT(G186:J186)&gt;0,COUNTA(G186:J186)=COUNT(G186:J186)),1,0),0))</f>
        <v>0</v>
      </c>
      <c r="V186" s="0" t="n">
        <f>IF(O186=0,0,IF(COUNTIFS($O$13:O186,O186)=1,1,0))</f>
        <v>0</v>
      </c>
      <c r="W186" s="0">
        <f>IF(V186=1,COUNTIFS($V$13:V186,1),"")</f>
      </c>
      <c r="X186" s="0">
        <f>IF(COUNTA(B186:L186)=0,"",IF(OR(NOT(IF(ISNUMBER($E$6),AND($E$6&gt;=0,$E$6&lt;=6,$E$6=INT($E$6)),FALSE)),O186=0,R186=0,T186&gt;0,AND(P186&lt;&gt;"DIMENSIONES",P186&lt;&gt;"DIRECTA",P186&lt;&gt;"SIN LÍNEAS",P186&lt;&gt;"CABECERA"),AND(OR(P186="DIRECTA",P186="DIMENSIONES"),U186=0),AND(OR(P186="SIN LÍNEAS",P186="CABECERA"),COUNTA(G186:J186)&gt;0)),2,IF(OR(P186="SIN LÍNEAS",Y186&gt;0,Z186&gt;0,AA186&gt;0,SUMPRODUCT(--('LÉEME'!$B$65:$B$86=AC186))&lt;&gt;1),1,0)))</f>
      </c>
      <c r="Y186" s="0" t="n">
        <f>IF(AND(P186="DIMENSIONES",S186="m²",COUNT(H186:J186)=3),1,0)</f>
        <v>0</v>
      </c>
      <c r="Z186" s="0" t="n">
        <f>IF(IF(ISNUMBER($E$6),AND($E$6&gt;=0,$E$6&lt;=6,$E$6=INT($E$6)),FALSE),IF(SUM(IF(ISNUMBER(F186),IF(ABS(F186-ROUND(F186,$E$6))&gt;0.00000001,1,0),0),IF(ISNUMBER(G186),IF(ABS(G186-ROUND(G186,$E$6))&gt;0.00000001,1,0),0),IF(ISNUMBER(H186),IF(ABS(H186-ROUND(H186,$E$6))&gt;0.00000001,1,0),0),IF(ISNUMBER(I186),IF(ABS(I186-ROUND(I186,$E$6))&gt;0.00000001,1,0),0),IF(ISNUMBER(J186),IF(ABS(J186-ROUND(J186,$E$6))&gt;0.00000001,1,0),0),IF(ISNUMBER(M186),IF(ABS(M186-ROUND(M186,$E$6))&gt;0.00000001,1,0),0))&gt;0,1,0),0)</f>
        <v>0</v>
      </c>
      <c r="AA186" s="0" t="n">
        <f>IF(COUNTA(B186:L186)=0,0,IF(OR(AND(ISNUMBER(F186),F186&lt;0),AND(U186=1,OR(SUM(IF(ISNUMBER(G186),IF(G186=0,1,0),0),IF(ISNUMBER(H186),IF(H186=0,1,0),0),IF(ISNUMBER(I186),IF(I186=0,1,0),0),IF(ISNUMBER(J186),IF(J186=0,1,0),0))&gt;0,COUNTIFS(G186:J186,"&lt;0")&gt;0)),AND(P186="DIMENSIONES",U186=1,OR(AND(S186="m",COUNT(H186:J186)&lt;&gt;1),AND(S186="m²",COUNT(H186:J186)&lt;&gt;2,Y186=0),AND(S186="m³",COUNT(H186:J186)&lt;&gt;3),AND(S186="ud",COUNT(H186:J186)&gt;0))),AND(P186="DIRECTA",OR(S186="m",S186="m²",S186="m³"))),1,0))</f>
        <v>0</v>
      </c>
      <c r="AB186" s="0">
        <f>IF(LEN(TRIM(E186&amp;""))&gt;0,E186,IF(R186&gt;0,INDEX($E$13:$E$512,R186),""))</f>
      </c>
      <c r="AC186" s="0">
        <f>UPPER(SUBSTITUTE(SUBSTITUTE(SUBSTITUTE(SUBSTITUTE(SUBSTITUTE(TRIM(AB186),"²","2"),"³","3"),"^",""),".","")," ",""))</f>
      </c>
    </row>
    <row r="187" ht="35" customHeight="1">
      <c r="B187" s="35"/>
      <c r="C187" s="35"/>
      <c r="D187" s="37"/>
      <c r="E187" s="35"/>
      <c r="F187" s="38"/>
      <c r="G187" s="38"/>
      <c r="H187" s="38"/>
      <c r="I187" s="38"/>
      <c r="J187" s="38"/>
      <c r="K187" s="35"/>
      <c r="L187" s="35"/>
      <c r="M187" s="39">
        <f>IF(U187&lt;&gt;1,"",IF(P187="DIRECTA",G187,IF(ISNUMBER(G187),G187,1)*IF(ISNUMBER(H187),H187,1)*IF(ISNUMBER(I187),I187,1)*IF(ISNUMBER(J187),J187,1)))</f>
      </c>
      <c r="N187" s="30">
        <f>IF(COUNTA(B187:L187)=0,"",IF(X187=0,IF(P187="CABECERA","VERDE · Fila descriptiva; la suma usa las líneas del ID","VERDE · Datos numéricos interpretables"),IF(X187=2,"ROJO · ","ÁMBAR · ")&amp;IF(NOT(IF(ISNUMBER($E$6),AND($E$6&gt;=0,$E$6&lt;=6,$E$6=INT($E$6)),FALSE)),"Indicamos entre 0 y 6 decimales en E6. ","")&amp;IF(O187=0,"Falta un ID numérico. ","")&amp;IF(R187=0,"Faltan capítulo, código, unidad o total numérico del ID. ","")&amp;IF(T187&gt;0,"Los datos o el total del ID se contradicen. ","")&amp;IF(AND(P187&lt;&gt;"DIMENSIONES",P187&lt;&gt;"DIRECTA",P187&lt;&gt;"SIN LÍNEAS",P187&lt;&gt;"CABECERA"),"Tipo de fila no reconocido. ","")&amp;IF(AND(OR(P187="SIN LÍNEAS",P187="CABECERA"),COUNTA(G187:J187)&gt;0),"La fila dice que no mide, pero contiene medidas. ","")&amp;IF(AND(OR(P187="DIRECTA",P187="DIMENSIONES"),U187=0),"Línea incompleta o con medidas no numéricas. ","")&amp;IF(P187="SIN LÍNEAS","No constan medidas de esta fila. ","")&amp;IF(Y187&gt;0,"Parece m³: tres dimensiones bajo m². ","")&amp;IF(AND(AB187&lt;&gt;"",SUMPRODUCT(--('LÉEME'!$B$65:$B$86=AC187))&lt;&gt;1),"Revisamos el significado de la unidad. ","")&amp;IF(Z187&gt;0,"Más precisión que los decimales indicados: cotejamos el original. ","")&amp;IF(AA187&gt;0,"Revisamos dimensiones, cantidad directa, ceros o deducción. ","")))</f>
      </c>
      <c r="O187" s="0" t="n">
        <f>IF(ISNUMBER(K187),IF(AND(K187&gt;0,K187=INT(K187),K187&lt;=999999),K187,0),0)</f>
        <v>0</v>
      </c>
      <c r="P187" s="0">
        <f>IF(COUNTA(B187:L187)=0,"",IF(L187="",IF(COUNTA(G187:J187)&gt;0,"DIMENSIONES","SIN LÍNEAS"),UPPER(TRIM(L187))))</f>
      </c>
      <c r="Q187" s="0">
        <f>IF(AND(O187&gt;0,LEN(TRIM(B187&amp;""))&gt;0,LEN(TRIM(C187&amp;""))&gt;0,LEN(TRIM(E187&amp;""))&gt;0,ISNUMBER(F187)),O187,"")</f>
      </c>
      <c r="R187" s="0" t="n">
        <f>IF(O187=0,0,IF(COUNTIFS($Q$13:$Q$512,O187)&gt;0,MATCH(O187,$Q$13:$Q$512,0),0))</f>
        <v>0</v>
      </c>
      <c r="S187" s="0">
        <f>IF(AB187="","",IF(SUMPRODUCT(--('LÉEME'!$B$65:$B$86=AC187))=1,INDEX('LÉEME'!$C$65:$C$86,MATCH(AC187,'LÉEME'!$B$65:$B$86,0)),UPPER(TRIM(AB187))))</f>
      </c>
      <c r="T187" s="0" t="n">
        <f>IF(R187=0,0,IF(OR(AND(LEN(TRIM(B187&amp;""))&gt;0,UPPER(TRIM(B187&amp;""))&lt;&gt;UPPER(TRIM(INDEX($B$13:$B$512,R187)&amp;""))),AND(LEN(TRIM(C187&amp;""))&gt;0,UPPER(TRIM(C187&amp;""))&lt;&gt;UPPER(TRIM(INDEX($C$13:$C$512,R187)&amp;""))),AND(LEN(TRIM(E187&amp;""))&gt;0,S187&lt;&gt;INDEX($S$13:$S$512,R187)),AND(F187&lt;&gt;"",NOT(ISNUMBER(F187)))),1,IF(ISNUMBER(F187),IF(ABS(F187-INDEX($F$13:$F$512,R187))&gt;0.00000001,1,0),0)))</f>
        <v>0</v>
      </c>
      <c r="U187" s="0" t="n">
        <f>IF(P187="DIRECTA",IF(AND(ISNUMBER(G187),COUNTA(H187:J187)=0),1,0),IF(P187="DIMENSIONES",IF(AND(COUNT(G187:J187)&gt;0,COUNTA(G187:J187)=COUNT(G187:J187)),1,0),0))</f>
        <v>0</v>
      </c>
      <c r="V187" s="0" t="n">
        <f>IF(O187=0,0,IF(COUNTIFS($O$13:O187,O187)=1,1,0))</f>
        <v>0</v>
      </c>
      <c r="W187" s="0">
        <f>IF(V187=1,COUNTIFS($V$13:V187,1),"")</f>
      </c>
      <c r="X187" s="0">
        <f>IF(COUNTA(B187:L187)=0,"",IF(OR(NOT(IF(ISNUMBER($E$6),AND($E$6&gt;=0,$E$6&lt;=6,$E$6=INT($E$6)),FALSE)),O187=0,R187=0,T187&gt;0,AND(P187&lt;&gt;"DIMENSIONES",P187&lt;&gt;"DIRECTA",P187&lt;&gt;"SIN LÍNEAS",P187&lt;&gt;"CABECERA"),AND(OR(P187="DIRECTA",P187="DIMENSIONES"),U187=0),AND(OR(P187="SIN LÍNEAS",P187="CABECERA"),COUNTA(G187:J187)&gt;0)),2,IF(OR(P187="SIN LÍNEAS",Y187&gt;0,Z187&gt;0,AA187&gt;0,SUMPRODUCT(--('LÉEME'!$B$65:$B$86=AC187))&lt;&gt;1),1,0)))</f>
      </c>
      <c r="Y187" s="0" t="n">
        <f>IF(AND(P187="DIMENSIONES",S187="m²",COUNT(H187:J187)=3),1,0)</f>
        <v>0</v>
      </c>
      <c r="Z187" s="0" t="n">
        <f>IF(IF(ISNUMBER($E$6),AND($E$6&gt;=0,$E$6&lt;=6,$E$6=INT($E$6)),FALSE),IF(SUM(IF(ISNUMBER(F187),IF(ABS(F187-ROUND(F187,$E$6))&gt;0.00000001,1,0),0),IF(ISNUMBER(G187),IF(ABS(G187-ROUND(G187,$E$6))&gt;0.00000001,1,0),0),IF(ISNUMBER(H187),IF(ABS(H187-ROUND(H187,$E$6))&gt;0.00000001,1,0),0),IF(ISNUMBER(I187),IF(ABS(I187-ROUND(I187,$E$6))&gt;0.00000001,1,0),0),IF(ISNUMBER(J187),IF(ABS(J187-ROUND(J187,$E$6))&gt;0.00000001,1,0),0),IF(ISNUMBER(M187),IF(ABS(M187-ROUND(M187,$E$6))&gt;0.00000001,1,0),0))&gt;0,1,0),0)</f>
        <v>0</v>
      </c>
      <c r="AA187" s="0" t="n">
        <f>IF(COUNTA(B187:L187)=0,0,IF(OR(AND(ISNUMBER(F187),F187&lt;0),AND(U187=1,OR(SUM(IF(ISNUMBER(G187),IF(G187=0,1,0),0),IF(ISNUMBER(H187),IF(H187=0,1,0),0),IF(ISNUMBER(I187),IF(I187=0,1,0),0),IF(ISNUMBER(J187),IF(J187=0,1,0),0))&gt;0,COUNTIFS(G187:J187,"&lt;0")&gt;0)),AND(P187="DIMENSIONES",U187=1,OR(AND(S187="m",COUNT(H187:J187)&lt;&gt;1),AND(S187="m²",COUNT(H187:J187)&lt;&gt;2,Y187=0),AND(S187="m³",COUNT(H187:J187)&lt;&gt;3),AND(S187="ud",COUNT(H187:J187)&gt;0))),AND(P187="DIRECTA",OR(S187="m",S187="m²",S187="m³"))),1,0))</f>
        <v>0</v>
      </c>
      <c r="AB187" s="0">
        <f>IF(LEN(TRIM(E187&amp;""))&gt;0,E187,IF(R187&gt;0,INDEX($E$13:$E$512,R187),""))</f>
      </c>
      <c r="AC187" s="0">
        <f>UPPER(SUBSTITUTE(SUBSTITUTE(SUBSTITUTE(SUBSTITUTE(SUBSTITUTE(TRIM(AB187),"²","2"),"³","3"),"^",""),".","")," ",""))</f>
      </c>
    </row>
    <row r="188" ht="35" customHeight="1">
      <c r="B188" s="35"/>
      <c r="C188" s="35"/>
      <c r="D188" s="37"/>
      <c r="E188" s="35"/>
      <c r="F188" s="38"/>
      <c r="G188" s="38"/>
      <c r="H188" s="38"/>
      <c r="I188" s="38"/>
      <c r="J188" s="38"/>
      <c r="K188" s="35"/>
      <c r="L188" s="35"/>
      <c r="M188" s="39">
        <f>IF(U188&lt;&gt;1,"",IF(P188="DIRECTA",G188,IF(ISNUMBER(G188),G188,1)*IF(ISNUMBER(H188),H188,1)*IF(ISNUMBER(I188),I188,1)*IF(ISNUMBER(J188),J188,1)))</f>
      </c>
      <c r="N188" s="30">
        <f>IF(COUNTA(B188:L188)=0,"",IF(X188=0,IF(P188="CABECERA","VERDE · Fila descriptiva; la suma usa las líneas del ID","VERDE · Datos numéricos interpretables"),IF(X188=2,"ROJO · ","ÁMBAR · ")&amp;IF(NOT(IF(ISNUMBER($E$6),AND($E$6&gt;=0,$E$6&lt;=6,$E$6=INT($E$6)),FALSE)),"Indicamos entre 0 y 6 decimales en E6. ","")&amp;IF(O188=0,"Falta un ID numérico. ","")&amp;IF(R188=0,"Faltan capítulo, código, unidad o total numérico del ID. ","")&amp;IF(T188&gt;0,"Los datos o el total del ID se contradicen. ","")&amp;IF(AND(P188&lt;&gt;"DIMENSIONES",P188&lt;&gt;"DIRECTA",P188&lt;&gt;"SIN LÍNEAS",P188&lt;&gt;"CABECERA"),"Tipo de fila no reconocido. ","")&amp;IF(AND(OR(P188="SIN LÍNEAS",P188="CABECERA"),COUNTA(G188:J188)&gt;0),"La fila dice que no mide, pero contiene medidas. ","")&amp;IF(AND(OR(P188="DIRECTA",P188="DIMENSIONES"),U188=0),"Línea incompleta o con medidas no numéricas. ","")&amp;IF(P188="SIN LÍNEAS","No constan medidas de esta fila. ","")&amp;IF(Y188&gt;0,"Parece m³: tres dimensiones bajo m². ","")&amp;IF(AND(AB188&lt;&gt;"",SUMPRODUCT(--('LÉEME'!$B$65:$B$86=AC188))&lt;&gt;1),"Revisamos el significado de la unidad. ","")&amp;IF(Z188&gt;0,"Más precisión que los decimales indicados: cotejamos el original. ","")&amp;IF(AA188&gt;0,"Revisamos dimensiones, cantidad directa, ceros o deducción. ","")))</f>
      </c>
      <c r="O188" s="0" t="n">
        <f>IF(ISNUMBER(K188),IF(AND(K188&gt;0,K188=INT(K188),K188&lt;=999999),K188,0),0)</f>
        <v>0</v>
      </c>
      <c r="P188" s="0">
        <f>IF(COUNTA(B188:L188)=0,"",IF(L188="",IF(COUNTA(G188:J188)&gt;0,"DIMENSIONES","SIN LÍNEAS"),UPPER(TRIM(L188))))</f>
      </c>
      <c r="Q188" s="0">
        <f>IF(AND(O188&gt;0,LEN(TRIM(B188&amp;""))&gt;0,LEN(TRIM(C188&amp;""))&gt;0,LEN(TRIM(E188&amp;""))&gt;0,ISNUMBER(F188)),O188,"")</f>
      </c>
      <c r="R188" s="0" t="n">
        <f>IF(O188=0,0,IF(COUNTIFS($Q$13:$Q$512,O188)&gt;0,MATCH(O188,$Q$13:$Q$512,0),0))</f>
        <v>0</v>
      </c>
      <c r="S188" s="0">
        <f>IF(AB188="","",IF(SUMPRODUCT(--('LÉEME'!$B$65:$B$86=AC188))=1,INDEX('LÉEME'!$C$65:$C$86,MATCH(AC188,'LÉEME'!$B$65:$B$86,0)),UPPER(TRIM(AB188))))</f>
      </c>
      <c r="T188" s="0" t="n">
        <f>IF(R188=0,0,IF(OR(AND(LEN(TRIM(B188&amp;""))&gt;0,UPPER(TRIM(B188&amp;""))&lt;&gt;UPPER(TRIM(INDEX($B$13:$B$512,R188)&amp;""))),AND(LEN(TRIM(C188&amp;""))&gt;0,UPPER(TRIM(C188&amp;""))&lt;&gt;UPPER(TRIM(INDEX($C$13:$C$512,R188)&amp;""))),AND(LEN(TRIM(E188&amp;""))&gt;0,S188&lt;&gt;INDEX($S$13:$S$512,R188)),AND(F188&lt;&gt;"",NOT(ISNUMBER(F188)))),1,IF(ISNUMBER(F188),IF(ABS(F188-INDEX($F$13:$F$512,R188))&gt;0.00000001,1,0),0)))</f>
        <v>0</v>
      </c>
      <c r="U188" s="0" t="n">
        <f>IF(P188="DIRECTA",IF(AND(ISNUMBER(G188),COUNTA(H188:J188)=0),1,0),IF(P188="DIMENSIONES",IF(AND(COUNT(G188:J188)&gt;0,COUNTA(G188:J188)=COUNT(G188:J188)),1,0),0))</f>
        <v>0</v>
      </c>
      <c r="V188" s="0" t="n">
        <f>IF(O188=0,0,IF(COUNTIFS($O$13:O188,O188)=1,1,0))</f>
        <v>0</v>
      </c>
      <c r="W188" s="0">
        <f>IF(V188=1,COUNTIFS($V$13:V188,1),"")</f>
      </c>
      <c r="X188" s="0">
        <f>IF(COUNTA(B188:L188)=0,"",IF(OR(NOT(IF(ISNUMBER($E$6),AND($E$6&gt;=0,$E$6&lt;=6,$E$6=INT($E$6)),FALSE)),O188=0,R188=0,T188&gt;0,AND(P188&lt;&gt;"DIMENSIONES",P188&lt;&gt;"DIRECTA",P188&lt;&gt;"SIN LÍNEAS",P188&lt;&gt;"CABECERA"),AND(OR(P188="DIRECTA",P188="DIMENSIONES"),U188=0),AND(OR(P188="SIN LÍNEAS",P188="CABECERA"),COUNTA(G188:J188)&gt;0)),2,IF(OR(P188="SIN LÍNEAS",Y188&gt;0,Z188&gt;0,AA188&gt;0,SUMPRODUCT(--('LÉEME'!$B$65:$B$86=AC188))&lt;&gt;1),1,0)))</f>
      </c>
      <c r="Y188" s="0" t="n">
        <f>IF(AND(P188="DIMENSIONES",S188="m²",COUNT(H188:J188)=3),1,0)</f>
        <v>0</v>
      </c>
      <c r="Z188" s="0" t="n">
        <f>IF(IF(ISNUMBER($E$6),AND($E$6&gt;=0,$E$6&lt;=6,$E$6=INT($E$6)),FALSE),IF(SUM(IF(ISNUMBER(F188),IF(ABS(F188-ROUND(F188,$E$6))&gt;0.00000001,1,0),0),IF(ISNUMBER(G188),IF(ABS(G188-ROUND(G188,$E$6))&gt;0.00000001,1,0),0),IF(ISNUMBER(H188),IF(ABS(H188-ROUND(H188,$E$6))&gt;0.00000001,1,0),0),IF(ISNUMBER(I188),IF(ABS(I188-ROUND(I188,$E$6))&gt;0.00000001,1,0),0),IF(ISNUMBER(J188),IF(ABS(J188-ROUND(J188,$E$6))&gt;0.00000001,1,0),0),IF(ISNUMBER(M188),IF(ABS(M188-ROUND(M188,$E$6))&gt;0.00000001,1,0),0))&gt;0,1,0),0)</f>
        <v>0</v>
      </c>
      <c r="AA188" s="0" t="n">
        <f>IF(COUNTA(B188:L188)=0,0,IF(OR(AND(ISNUMBER(F188),F188&lt;0),AND(U188=1,OR(SUM(IF(ISNUMBER(G188),IF(G188=0,1,0),0),IF(ISNUMBER(H188),IF(H188=0,1,0),0),IF(ISNUMBER(I188),IF(I188=0,1,0),0),IF(ISNUMBER(J188),IF(J188=0,1,0),0))&gt;0,COUNTIFS(G188:J188,"&lt;0")&gt;0)),AND(P188="DIMENSIONES",U188=1,OR(AND(S188="m",COUNT(H188:J188)&lt;&gt;1),AND(S188="m²",COUNT(H188:J188)&lt;&gt;2,Y188=0),AND(S188="m³",COUNT(H188:J188)&lt;&gt;3),AND(S188="ud",COUNT(H188:J188)&gt;0))),AND(P188="DIRECTA",OR(S188="m",S188="m²",S188="m³"))),1,0))</f>
        <v>0</v>
      </c>
      <c r="AB188" s="0">
        <f>IF(LEN(TRIM(E188&amp;""))&gt;0,E188,IF(R188&gt;0,INDEX($E$13:$E$512,R188),""))</f>
      </c>
      <c r="AC188" s="0">
        <f>UPPER(SUBSTITUTE(SUBSTITUTE(SUBSTITUTE(SUBSTITUTE(SUBSTITUTE(TRIM(AB188),"²","2"),"³","3"),"^",""),".","")," ",""))</f>
      </c>
    </row>
    <row r="189" ht="35" customHeight="1">
      <c r="B189" s="35"/>
      <c r="C189" s="35"/>
      <c r="D189" s="37"/>
      <c r="E189" s="35"/>
      <c r="F189" s="38"/>
      <c r="G189" s="38"/>
      <c r="H189" s="38"/>
      <c r="I189" s="38"/>
      <c r="J189" s="38"/>
      <c r="K189" s="35"/>
      <c r="L189" s="35"/>
      <c r="M189" s="39">
        <f>IF(U189&lt;&gt;1,"",IF(P189="DIRECTA",G189,IF(ISNUMBER(G189),G189,1)*IF(ISNUMBER(H189),H189,1)*IF(ISNUMBER(I189),I189,1)*IF(ISNUMBER(J189),J189,1)))</f>
      </c>
      <c r="N189" s="30">
        <f>IF(COUNTA(B189:L189)=0,"",IF(X189=0,IF(P189="CABECERA","VERDE · Fila descriptiva; la suma usa las líneas del ID","VERDE · Datos numéricos interpretables"),IF(X189=2,"ROJO · ","ÁMBAR · ")&amp;IF(NOT(IF(ISNUMBER($E$6),AND($E$6&gt;=0,$E$6&lt;=6,$E$6=INT($E$6)),FALSE)),"Indicamos entre 0 y 6 decimales en E6. ","")&amp;IF(O189=0,"Falta un ID numérico. ","")&amp;IF(R189=0,"Faltan capítulo, código, unidad o total numérico del ID. ","")&amp;IF(T189&gt;0,"Los datos o el total del ID se contradicen. ","")&amp;IF(AND(P189&lt;&gt;"DIMENSIONES",P189&lt;&gt;"DIRECTA",P189&lt;&gt;"SIN LÍNEAS",P189&lt;&gt;"CABECERA"),"Tipo de fila no reconocido. ","")&amp;IF(AND(OR(P189="SIN LÍNEAS",P189="CABECERA"),COUNTA(G189:J189)&gt;0),"La fila dice que no mide, pero contiene medidas. ","")&amp;IF(AND(OR(P189="DIRECTA",P189="DIMENSIONES"),U189=0),"Línea incompleta o con medidas no numéricas. ","")&amp;IF(P189="SIN LÍNEAS","No constan medidas de esta fila. ","")&amp;IF(Y189&gt;0,"Parece m³: tres dimensiones bajo m². ","")&amp;IF(AND(AB189&lt;&gt;"",SUMPRODUCT(--('LÉEME'!$B$65:$B$86=AC189))&lt;&gt;1),"Revisamos el significado de la unidad. ","")&amp;IF(Z189&gt;0,"Más precisión que los decimales indicados: cotejamos el original. ","")&amp;IF(AA189&gt;0,"Revisamos dimensiones, cantidad directa, ceros o deducción. ","")))</f>
      </c>
      <c r="O189" s="0" t="n">
        <f>IF(ISNUMBER(K189),IF(AND(K189&gt;0,K189=INT(K189),K189&lt;=999999),K189,0),0)</f>
        <v>0</v>
      </c>
      <c r="P189" s="0">
        <f>IF(COUNTA(B189:L189)=0,"",IF(L189="",IF(COUNTA(G189:J189)&gt;0,"DIMENSIONES","SIN LÍNEAS"),UPPER(TRIM(L189))))</f>
      </c>
      <c r="Q189" s="0">
        <f>IF(AND(O189&gt;0,LEN(TRIM(B189&amp;""))&gt;0,LEN(TRIM(C189&amp;""))&gt;0,LEN(TRIM(E189&amp;""))&gt;0,ISNUMBER(F189)),O189,"")</f>
      </c>
      <c r="R189" s="0" t="n">
        <f>IF(O189=0,0,IF(COUNTIFS($Q$13:$Q$512,O189)&gt;0,MATCH(O189,$Q$13:$Q$512,0),0))</f>
        <v>0</v>
      </c>
      <c r="S189" s="0">
        <f>IF(AB189="","",IF(SUMPRODUCT(--('LÉEME'!$B$65:$B$86=AC189))=1,INDEX('LÉEME'!$C$65:$C$86,MATCH(AC189,'LÉEME'!$B$65:$B$86,0)),UPPER(TRIM(AB189))))</f>
      </c>
      <c r="T189" s="0" t="n">
        <f>IF(R189=0,0,IF(OR(AND(LEN(TRIM(B189&amp;""))&gt;0,UPPER(TRIM(B189&amp;""))&lt;&gt;UPPER(TRIM(INDEX($B$13:$B$512,R189)&amp;""))),AND(LEN(TRIM(C189&amp;""))&gt;0,UPPER(TRIM(C189&amp;""))&lt;&gt;UPPER(TRIM(INDEX($C$13:$C$512,R189)&amp;""))),AND(LEN(TRIM(E189&amp;""))&gt;0,S189&lt;&gt;INDEX($S$13:$S$512,R189)),AND(F189&lt;&gt;"",NOT(ISNUMBER(F189)))),1,IF(ISNUMBER(F189),IF(ABS(F189-INDEX($F$13:$F$512,R189))&gt;0.00000001,1,0),0)))</f>
        <v>0</v>
      </c>
      <c r="U189" s="0" t="n">
        <f>IF(P189="DIRECTA",IF(AND(ISNUMBER(G189),COUNTA(H189:J189)=0),1,0),IF(P189="DIMENSIONES",IF(AND(COUNT(G189:J189)&gt;0,COUNTA(G189:J189)=COUNT(G189:J189)),1,0),0))</f>
        <v>0</v>
      </c>
      <c r="V189" s="0" t="n">
        <f>IF(O189=0,0,IF(COUNTIFS($O$13:O189,O189)=1,1,0))</f>
        <v>0</v>
      </c>
      <c r="W189" s="0">
        <f>IF(V189=1,COUNTIFS($V$13:V189,1),"")</f>
      </c>
      <c r="X189" s="0">
        <f>IF(COUNTA(B189:L189)=0,"",IF(OR(NOT(IF(ISNUMBER($E$6),AND($E$6&gt;=0,$E$6&lt;=6,$E$6=INT($E$6)),FALSE)),O189=0,R189=0,T189&gt;0,AND(P189&lt;&gt;"DIMENSIONES",P189&lt;&gt;"DIRECTA",P189&lt;&gt;"SIN LÍNEAS",P189&lt;&gt;"CABECERA"),AND(OR(P189="DIRECTA",P189="DIMENSIONES"),U189=0),AND(OR(P189="SIN LÍNEAS",P189="CABECERA"),COUNTA(G189:J189)&gt;0)),2,IF(OR(P189="SIN LÍNEAS",Y189&gt;0,Z189&gt;0,AA189&gt;0,SUMPRODUCT(--('LÉEME'!$B$65:$B$86=AC189))&lt;&gt;1),1,0)))</f>
      </c>
      <c r="Y189" s="0" t="n">
        <f>IF(AND(P189="DIMENSIONES",S189="m²",COUNT(H189:J189)=3),1,0)</f>
        <v>0</v>
      </c>
      <c r="Z189" s="0" t="n">
        <f>IF(IF(ISNUMBER($E$6),AND($E$6&gt;=0,$E$6&lt;=6,$E$6=INT($E$6)),FALSE),IF(SUM(IF(ISNUMBER(F189),IF(ABS(F189-ROUND(F189,$E$6))&gt;0.00000001,1,0),0),IF(ISNUMBER(G189),IF(ABS(G189-ROUND(G189,$E$6))&gt;0.00000001,1,0),0),IF(ISNUMBER(H189),IF(ABS(H189-ROUND(H189,$E$6))&gt;0.00000001,1,0),0),IF(ISNUMBER(I189),IF(ABS(I189-ROUND(I189,$E$6))&gt;0.00000001,1,0),0),IF(ISNUMBER(J189),IF(ABS(J189-ROUND(J189,$E$6))&gt;0.00000001,1,0),0),IF(ISNUMBER(M189),IF(ABS(M189-ROUND(M189,$E$6))&gt;0.00000001,1,0),0))&gt;0,1,0),0)</f>
        <v>0</v>
      </c>
      <c r="AA189" s="0" t="n">
        <f>IF(COUNTA(B189:L189)=0,0,IF(OR(AND(ISNUMBER(F189),F189&lt;0),AND(U189=1,OR(SUM(IF(ISNUMBER(G189),IF(G189=0,1,0),0),IF(ISNUMBER(H189),IF(H189=0,1,0),0),IF(ISNUMBER(I189),IF(I189=0,1,0),0),IF(ISNUMBER(J189),IF(J189=0,1,0),0))&gt;0,COUNTIFS(G189:J189,"&lt;0")&gt;0)),AND(P189="DIMENSIONES",U189=1,OR(AND(S189="m",COUNT(H189:J189)&lt;&gt;1),AND(S189="m²",COUNT(H189:J189)&lt;&gt;2,Y189=0),AND(S189="m³",COUNT(H189:J189)&lt;&gt;3),AND(S189="ud",COUNT(H189:J189)&gt;0))),AND(P189="DIRECTA",OR(S189="m",S189="m²",S189="m³"))),1,0))</f>
        <v>0</v>
      </c>
      <c r="AB189" s="0">
        <f>IF(LEN(TRIM(E189&amp;""))&gt;0,E189,IF(R189&gt;0,INDEX($E$13:$E$512,R189),""))</f>
      </c>
      <c r="AC189" s="0">
        <f>UPPER(SUBSTITUTE(SUBSTITUTE(SUBSTITUTE(SUBSTITUTE(SUBSTITUTE(TRIM(AB189),"²","2"),"³","3"),"^",""),".","")," ",""))</f>
      </c>
    </row>
    <row r="190" ht="35" customHeight="1">
      <c r="B190" s="35"/>
      <c r="C190" s="35"/>
      <c r="D190" s="37"/>
      <c r="E190" s="35"/>
      <c r="F190" s="38"/>
      <c r="G190" s="38"/>
      <c r="H190" s="38"/>
      <c r="I190" s="38"/>
      <c r="J190" s="38"/>
      <c r="K190" s="35"/>
      <c r="L190" s="35"/>
      <c r="M190" s="39">
        <f>IF(U190&lt;&gt;1,"",IF(P190="DIRECTA",G190,IF(ISNUMBER(G190),G190,1)*IF(ISNUMBER(H190),H190,1)*IF(ISNUMBER(I190),I190,1)*IF(ISNUMBER(J190),J190,1)))</f>
      </c>
      <c r="N190" s="30">
        <f>IF(COUNTA(B190:L190)=0,"",IF(X190=0,IF(P190="CABECERA","VERDE · Fila descriptiva; la suma usa las líneas del ID","VERDE · Datos numéricos interpretables"),IF(X190=2,"ROJO · ","ÁMBAR · ")&amp;IF(NOT(IF(ISNUMBER($E$6),AND($E$6&gt;=0,$E$6&lt;=6,$E$6=INT($E$6)),FALSE)),"Indicamos entre 0 y 6 decimales en E6. ","")&amp;IF(O190=0,"Falta un ID numérico. ","")&amp;IF(R190=0,"Faltan capítulo, código, unidad o total numérico del ID. ","")&amp;IF(T190&gt;0,"Los datos o el total del ID se contradicen. ","")&amp;IF(AND(P190&lt;&gt;"DIMENSIONES",P190&lt;&gt;"DIRECTA",P190&lt;&gt;"SIN LÍNEAS",P190&lt;&gt;"CABECERA"),"Tipo de fila no reconocido. ","")&amp;IF(AND(OR(P190="SIN LÍNEAS",P190="CABECERA"),COUNTA(G190:J190)&gt;0),"La fila dice que no mide, pero contiene medidas. ","")&amp;IF(AND(OR(P190="DIRECTA",P190="DIMENSIONES"),U190=0),"Línea incompleta o con medidas no numéricas. ","")&amp;IF(P190="SIN LÍNEAS","No constan medidas de esta fila. ","")&amp;IF(Y190&gt;0,"Parece m³: tres dimensiones bajo m². ","")&amp;IF(AND(AB190&lt;&gt;"",SUMPRODUCT(--('LÉEME'!$B$65:$B$86=AC190))&lt;&gt;1),"Revisamos el significado de la unidad. ","")&amp;IF(Z190&gt;0,"Más precisión que los decimales indicados: cotejamos el original. ","")&amp;IF(AA190&gt;0,"Revisamos dimensiones, cantidad directa, ceros o deducción. ","")))</f>
      </c>
      <c r="O190" s="0" t="n">
        <f>IF(ISNUMBER(K190),IF(AND(K190&gt;0,K190=INT(K190),K190&lt;=999999),K190,0),0)</f>
        <v>0</v>
      </c>
      <c r="P190" s="0">
        <f>IF(COUNTA(B190:L190)=0,"",IF(L190="",IF(COUNTA(G190:J190)&gt;0,"DIMENSIONES","SIN LÍNEAS"),UPPER(TRIM(L190))))</f>
      </c>
      <c r="Q190" s="0">
        <f>IF(AND(O190&gt;0,LEN(TRIM(B190&amp;""))&gt;0,LEN(TRIM(C190&amp;""))&gt;0,LEN(TRIM(E190&amp;""))&gt;0,ISNUMBER(F190)),O190,"")</f>
      </c>
      <c r="R190" s="0" t="n">
        <f>IF(O190=0,0,IF(COUNTIFS($Q$13:$Q$512,O190)&gt;0,MATCH(O190,$Q$13:$Q$512,0),0))</f>
        <v>0</v>
      </c>
      <c r="S190" s="0">
        <f>IF(AB190="","",IF(SUMPRODUCT(--('LÉEME'!$B$65:$B$86=AC190))=1,INDEX('LÉEME'!$C$65:$C$86,MATCH(AC190,'LÉEME'!$B$65:$B$86,0)),UPPER(TRIM(AB190))))</f>
      </c>
      <c r="T190" s="0" t="n">
        <f>IF(R190=0,0,IF(OR(AND(LEN(TRIM(B190&amp;""))&gt;0,UPPER(TRIM(B190&amp;""))&lt;&gt;UPPER(TRIM(INDEX($B$13:$B$512,R190)&amp;""))),AND(LEN(TRIM(C190&amp;""))&gt;0,UPPER(TRIM(C190&amp;""))&lt;&gt;UPPER(TRIM(INDEX($C$13:$C$512,R190)&amp;""))),AND(LEN(TRIM(E190&amp;""))&gt;0,S190&lt;&gt;INDEX($S$13:$S$512,R190)),AND(F190&lt;&gt;"",NOT(ISNUMBER(F190)))),1,IF(ISNUMBER(F190),IF(ABS(F190-INDEX($F$13:$F$512,R190))&gt;0.00000001,1,0),0)))</f>
        <v>0</v>
      </c>
      <c r="U190" s="0" t="n">
        <f>IF(P190="DIRECTA",IF(AND(ISNUMBER(G190),COUNTA(H190:J190)=0),1,0),IF(P190="DIMENSIONES",IF(AND(COUNT(G190:J190)&gt;0,COUNTA(G190:J190)=COUNT(G190:J190)),1,0),0))</f>
        <v>0</v>
      </c>
      <c r="V190" s="0" t="n">
        <f>IF(O190=0,0,IF(COUNTIFS($O$13:O190,O190)=1,1,0))</f>
        <v>0</v>
      </c>
      <c r="W190" s="0">
        <f>IF(V190=1,COUNTIFS($V$13:V190,1),"")</f>
      </c>
      <c r="X190" s="0">
        <f>IF(COUNTA(B190:L190)=0,"",IF(OR(NOT(IF(ISNUMBER($E$6),AND($E$6&gt;=0,$E$6&lt;=6,$E$6=INT($E$6)),FALSE)),O190=0,R190=0,T190&gt;0,AND(P190&lt;&gt;"DIMENSIONES",P190&lt;&gt;"DIRECTA",P190&lt;&gt;"SIN LÍNEAS",P190&lt;&gt;"CABECERA"),AND(OR(P190="DIRECTA",P190="DIMENSIONES"),U190=0),AND(OR(P190="SIN LÍNEAS",P190="CABECERA"),COUNTA(G190:J190)&gt;0)),2,IF(OR(P190="SIN LÍNEAS",Y190&gt;0,Z190&gt;0,AA190&gt;0,SUMPRODUCT(--('LÉEME'!$B$65:$B$86=AC190))&lt;&gt;1),1,0)))</f>
      </c>
      <c r="Y190" s="0" t="n">
        <f>IF(AND(P190="DIMENSIONES",S190="m²",COUNT(H190:J190)=3),1,0)</f>
        <v>0</v>
      </c>
      <c r="Z190" s="0" t="n">
        <f>IF(IF(ISNUMBER($E$6),AND($E$6&gt;=0,$E$6&lt;=6,$E$6=INT($E$6)),FALSE),IF(SUM(IF(ISNUMBER(F190),IF(ABS(F190-ROUND(F190,$E$6))&gt;0.00000001,1,0),0),IF(ISNUMBER(G190),IF(ABS(G190-ROUND(G190,$E$6))&gt;0.00000001,1,0),0),IF(ISNUMBER(H190),IF(ABS(H190-ROUND(H190,$E$6))&gt;0.00000001,1,0),0),IF(ISNUMBER(I190),IF(ABS(I190-ROUND(I190,$E$6))&gt;0.00000001,1,0),0),IF(ISNUMBER(J190),IF(ABS(J190-ROUND(J190,$E$6))&gt;0.00000001,1,0),0),IF(ISNUMBER(M190),IF(ABS(M190-ROUND(M190,$E$6))&gt;0.00000001,1,0),0))&gt;0,1,0),0)</f>
        <v>0</v>
      </c>
      <c r="AA190" s="0" t="n">
        <f>IF(COUNTA(B190:L190)=0,0,IF(OR(AND(ISNUMBER(F190),F190&lt;0),AND(U190=1,OR(SUM(IF(ISNUMBER(G190),IF(G190=0,1,0),0),IF(ISNUMBER(H190),IF(H190=0,1,0),0),IF(ISNUMBER(I190),IF(I190=0,1,0),0),IF(ISNUMBER(J190),IF(J190=0,1,0),0))&gt;0,COUNTIFS(G190:J190,"&lt;0")&gt;0)),AND(P190="DIMENSIONES",U190=1,OR(AND(S190="m",COUNT(H190:J190)&lt;&gt;1),AND(S190="m²",COUNT(H190:J190)&lt;&gt;2,Y190=0),AND(S190="m³",COUNT(H190:J190)&lt;&gt;3),AND(S190="ud",COUNT(H190:J190)&gt;0))),AND(P190="DIRECTA",OR(S190="m",S190="m²",S190="m³"))),1,0))</f>
        <v>0</v>
      </c>
      <c r="AB190" s="0">
        <f>IF(LEN(TRIM(E190&amp;""))&gt;0,E190,IF(R190&gt;0,INDEX($E$13:$E$512,R190),""))</f>
      </c>
      <c r="AC190" s="0">
        <f>UPPER(SUBSTITUTE(SUBSTITUTE(SUBSTITUTE(SUBSTITUTE(SUBSTITUTE(TRIM(AB190),"²","2"),"³","3"),"^",""),".","")," ",""))</f>
      </c>
    </row>
    <row r="191" ht="35" customHeight="1">
      <c r="B191" s="35"/>
      <c r="C191" s="35"/>
      <c r="D191" s="37"/>
      <c r="E191" s="35"/>
      <c r="F191" s="38"/>
      <c r="G191" s="38"/>
      <c r="H191" s="38"/>
      <c r="I191" s="38"/>
      <c r="J191" s="38"/>
      <c r="K191" s="35"/>
      <c r="L191" s="35"/>
      <c r="M191" s="39">
        <f>IF(U191&lt;&gt;1,"",IF(P191="DIRECTA",G191,IF(ISNUMBER(G191),G191,1)*IF(ISNUMBER(H191),H191,1)*IF(ISNUMBER(I191),I191,1)*IF(ISNUMBER(J191),J191,1)))</f>
      </c>
      <c r="N191" s="30">
        <f>IF(COUNTA(B191:L191)=0,"",IF(X191=0,IF(P191="CABECERA","VERDE · Fila descriptiva; la suma usa las líneas del ID","VERDE · Datos numéricos interpretables"),IF(X191=2,"ROJO · ","ÁMBAR · ")&amp;IF(NOT(IF(ISNUMBER($E$6),AND($E$6&gt;=0,$E$6&lt;=6,$E$6=INT($E$6)),FALSE)),"Indicamos entre 0 y 6 decimales en E6. ","")&amp;IF(O191=0,"Falta un ID numérico. ","")&amp;IF(R191=0,"Faltan capítulo, código, unidad o total numérico del ID. ","")&amp;IF(T191&gt;0,"Los datos o el total del ID se contradicen. ","")&amp;IF(AND(P191&lt;&gt;"DIMENSIONES",P191&lt;&gt;"DIRECTA",P191&lt;&gt;"SIN LÍNEAS",P191&lt;&gt;"CABECERA"),"Tipo de fila no reconocido. ","")&amp;IF(AND(OR(P191="SIN LÍNEAS",P191="CABECERA"),COUNTA(G191:J191)&gt;0),"La fila dice que no mide, pero contiene medidas. ","")&amp;IF(AND(OR(P191="DIRECTA",P191="DIMENSIONES"),U191=0),"Línea incompleta o con medidas no numéricas. ","")&amp;IF(P191="SIN LÍNEAS","No constan medidas de esta fila. ","")&amp;IF(Y191&gt;0,"Parece m³: tres dimensiones bajo m². ","")&amp;IF(AND(AB191&lt;&gt;"",SUMPRODUCT(--('LÉEME'!$B$65:$B$86=AC191))&lt;&gt;1),"Revisamos el significado de la unidad. ","")&amp;IF(Z191&gt;0,"Más precisión que los decimales indicados: cotejamos el original. ","")&amp;IF(AA191&gt;0,"Revisamos dimensiones, cantidad directa, ceros o deducción. ","")))</f>
      </c>
      <c r="O191" s="0" t="n">
        <f>IF(ISNUMBER(K191),IF(AND(K191&gt;0,K191=INT(K191),K191&lt;=999999),K191,0),0)</f>
        <v>0</v>
      </c>
      <c r="P191" s="0">
        <f>IF(COUNTA(B191:L191)=0,"",IF(L191="",IF(COUNTA(G191:J191)&gt;0,"DIMENSIONES","SIN LÍNEAS"),UPPER(TRIM(L191))))</f>
      </c>
      <c r="Q191" s="0">
        <f>IF(AND(O191&gt;0,LEN(TRIM(B191&amp;""))&gt;0,LEN(TRIM(C191&amp;""))&gt;0,LEN(TRIM(E191&amp;""))&gt;0,ISNUMBER(F191)),O191,"")</f>
      </c>
      <c r="R191" s="0" t="n">
        <f>IF(O191=0,0,IF(COUNTIFS($Q$13:$Q$512,O191)&gt;0,MATCH(O191,$Q$13:$Q$512,0),0))</f>
        <v>0</v>
      </c>
      <c r="S191" s="0">
        <f>IF(AB191="","",IF(SUMPRODUCT(--('LÉEME'!$B$65:$B$86=AC191))=1,INDEX('LÉEME'!$C$65:$C$86,MATCH(AC191,'LÉEME'!$B$65:$B$86,0)),UPPER(TRIM(AB191))))</f>
      </c>
      <c r="T191" s="0" t="n">
        <f>IF(R191=0,0,IF(OR(AND(LEN(TRIM(B191&amp;""))&gt;0,UPPER(TRIM(B191&amp;""))&lt;&gt;UPPER(TRIM(INDEX($B$13:$B$512,R191)&amp;""))),AND(LEN(TRIM(C191&amp;""))&gt;0,UPPER(TRIM(C191&amp;""))&lt;&gt;UPPER(TRIM(INDEX($C$13:$C$512,R191)&amp;""))),AND(LEN(TRIM(E191&amp;""))&gt;0,S191&lt;&gt;INDEX($S$13:$S$512,R191)),AND(F191&lt;&gt;"",NOT(ISNUMBER(F191)))),1,IF(ISNUMBER(F191),IF(ABS(F191-INDEX($F$13:$F$512,R191))&gt;0.00000001,1,0),0)))</f>
        <v>0</v>
      </c>
      <c r="U191" s="0" t="n">
        <f>IF(P191="DIRECTA",IF(AND(ISNUMBER(G191),COUNTA(H191:J191)=0),1,0),IF(P191="DIMENSIONES",IF(AND(COUNT(G191:J191)&gt;0,COUNTA(G191:J191)=COUNT(G191:J191)),1,0),0))</f>
        <v>0</v>
      </c>
      <c r="V191" s="0" t="n">
        <f>IF(O191=0,0,IF(COUNTIFS($O$13:O191,O191)=1,1,0))</f>
        <v>0</v>
      </c>
      <c r="W191" s="0">
        <f>IF(V191=1,COUNTIFS($V$13:V191,1),"")</f>
      </c>
      <c r="X191" s="0">
        <f>IF(COUNTA(B191:L191)=0,"",IF(OR(NOT(IF(ISNUMBER($E$6),AND($E$6&gt;=0,$E$6&lt;=6,$E$6=INT($E$6)),FALSE)),O191=0,R191=0,T191&gt;0,AND(P191&lt;&gt;"DIMENSIONES",P191&lt;&gt;"DIRECTA",P191&lt;&gt;"SIN LÍNEAS",P191&lt;&gt;"CABECERA"),AND(OR(P191="DIRECTA",P191="DIMENSIONES"),U191=0),AND(OR(P191="SIN LÍNEAS",P191="CABECERA"),COUNTA(G191:J191)&gt;0)),2,IF(OR(P191="SIN LÍNEAS",Y191&gt;0,Z191&gt;0,AA191&gt;0,SUMPRODUCT(--('LÉEME'!$B$65:$B$86=AC191))&lt;&gt;1),1,0)))</f>
      </c>
      <c r="Y191" s="0" t="n">
        <f>IF(AND(P191="DIMENSIONES",S191="m²",COUNT(H191:J191)=3),1,0)</f>
        <v>0</v>
      </c>
      <c r="Z191" s="0" t="n">
        <f>IF(IF(ISNUMBER($E$6),AND($E$6&gt;=0,$E$6&lt;=6,$E$6=INT($E$6)),FALSE),IF(SUM(IF(ISNUMBER(F191),IF(ABS(F191-ROUND(F191,$E$6))&gt;0.00000001,1,0),0),IF(ISNUMBER(G191),IF(ABS(G191-ROUND(G191,$E$6))&gt;0.00000001,1,0),0),IF(ISNUMBER(H191),IF(ABS(H191-ROUND(H191,$E$6))&gt;0.00000001,1,0),0),IF(ISNUMBER(I191),IF(ABS(I191-ROUND(I191,$E$6))&gt;0.00000001,1,0),0),IF(ISNUMBER(J191),IF(ABS(J191-ROUND(J191,$E$6))&gt;0.00000001,1,0),0),IF(ISNUMBER(M191),IF(ABS(M191-ROUND(M191,$E$6))&gt;0.00000001,1,0),0))&gt;0,1,0),0)</f>
        <v>0</v>
      </c>
      <c r="AA191" s="0" t="n">
        <f>IF(COUNTA(B191:L191)=0,0,IF(OR(AND(ISNUMBER(F191),F191&lt;0),AND(U191=1,OR(SUM(IF(ISNUMBER(G191),IF(G191=0,1,0),0),IF(ISNUMBER(H191),IF(H191=0,1,0),0),IF(ISNUMBER(I191),IF(I191=0,1,0),0),IF(ISNUMBER(J191),IF(J191=0,1,0),0))&gt;0,COUNTIFS(G191:J191,"&lt;0")&gt;0)),AND(P191="DIMENSIONES",U191=1,OR(AND(S191="m",COUNT(H191:J191)&lt;&gt;1),AND(S191="m²",COUNT(H191:J191)&lt;&gt;2,Y191=0),AND(S191="m³",COUNT(H191:J191)&lt;&gt;3),AND(S191="ud",COUNT(H191:J191)&gt;0))),AND(P191="DIRECTA",OR(S191="m",S191="m²",S191="m³"))),1,0))</f>
        <v>0</v>
      </c>
      <c r="AB191" s="0">
        <f>IF(LEN(TRIM(E191&amp;""))&gt;0,E191,IF(R191&gt;0,INDEX($E$13:$E$512,R191),""))</f>
      </c>
      <c r="AC191" s="0">
        <f>UPPER(SUBSTITUTE(SUBSTITUTE(SUBSTITUTE(SUBSTITUTE(SUBSTITUTE(TRIM(AB191),"²","2"),"³","3"),"^",""),".","")," ",""))</f>
      </c>
    </row>
    <row r="192" ht="35" customHeight="1">
      <c r="B192" s="35"/>
      <c r="C192" s="35"/>
      <c r="D192" s="37"/>
      <c r="E192" s="35"/>
      <c r="F192" s="38"/>
      <c r="G192" s="38"/>
      <c r="H192" s="38"/>
      <c r="I192" s="38"/>
      <c r="J192" s="38"/>
      <c r="K192" s="35"/>
      <c r="L192" s="35"/>
      <c r="M192" s="39">
        <f>IF(U192&lt;&gt;1,"",IF(P192="DIRECTA",G192,IF(ISNUMBER(G192),G192,1)*IF(ISNUMBER(H192),H192,1)*IF(ISNUMBER(I192),I192,1)*IF(ISNUMBER(J192),J192,1)))</f>
      </c>
      <c r="N192" s="30">
        <f>IF(COUNTA(B192:L192)=0,"",IF(X192=0,IF(P192="CABECERA","VERDE · Fila descriptiva; la suma usa las líneas del ID","VERDE · Datos numéricos interpretables"),IF(X192=2,"ROJO · ","ÁMBAR · ")&amp;IF(NOT(IF(ISNUMBER($E$6),AND($E$6&gt;=0,$E$6&lt;=6,$E$6=INT($E$6)),FALSE)),"Indicamos entre 0 y 6 decimales en E6. ","")&amp;IF(O192=0,"Falta un ID numérico. ","")&amp;IF(R192=0,"Faltan capítulo, código, unidad o total numérico del ID. ","")&amp;IF(T192&gt;0,"Los datos o el total del ID se contradicen. ","")&amp;IF(AND(P192&lt;&gt;"DIMENSIONES",P192&lt;&gt;"DIRECTA",P192&lt;&gt;"SIN LÍNEAS",P192&lt;&gt;"CABECERA"),"Tipo de fila no reconocido. ","")&amp;IF(AND(OR(P192="SIN LÍNEAS",P192="CABECERA"),COUNTA(G192:J192)&gt;0),"La fila dice que no mide, pero contiene medidas. ","")&amp;IF(AND(OR(P192="DIRECTA",P192="DIMENSIONES"),U192=0),"Línea incompleta o con medidas no numéricas. ","")&amp;IF(P192="SIN LÍNEAS","No constan medidas de esta fila. ","")&amp;IF(Y192&gt;0,"Parece m³: tres dimensiones bajo m². ","")&amp;IF(AND(AB192&lt;&gt;"",SUMPRODUCT(--('LÉEME'!$B$65:$B$86=AC192))&lt;&gt;1),"Revisamos el significado de la unidad. ","")&amp;IF(Z192&gt;0,"Más precisión que los decimales indicados: cotejamos el original. ","")&amp;IF(AA192&gt;0,"Revisamos dimensiones, cantidad directa, ceros o deducción. ","")))</f>
      </c>
      <c r="O192" s="0" t="n">
        <f>IF(ISNUMBER(K192),IF(AND(K192&gt;0,K192=INT(K192),K192&lt;=999999),K192,0),0)</f>
        <v>0</v>
      </c>
      <c r="P192" s="0">
        <f>IF(COUNTA(B192:L192)=0,"",IF(L192="",IF(COUNTA(G192:J192)&gt;0,"DIMENSIONES","SIN LÍNEAS"),UPPER(TRIM(L192))))</f>
      </c>
      <c r="Q192" s="0">
        <f>IF(AND(O192&gt;0,LEN(TRIM(B192&amp;""))&gt;0,LEN(TRIM(C192&amp;""))&gt;0,LEN(TRIM(E192&amp;""))&gt;0,ISNUMBER(F192)),O192,"")</f>
      </c>
      <c r="R192" s="0" t="n">
        <f>IF(O192=0,0,IF(COUNTIFS($Q$13:$Q$512,O192)&gt;0,MATCH(O192,$Q$13:$Q$512,0),0))</f>
        <v>0</v>
      </c>
      <c r="S192" s="0">
        <f>IF(AB192="","",IF(SUMPRODUCT(--('LÉEME'!$B$65:$B$86=AC192))=1,INDEX('LÉEME'!$C$65:$C$86,MATCH(AC192,'LÉEME'!$B$65:$B$86,0)),UPPER(TRIM(AB192))))</f>
      </c>
      <c r="T192" s="0" t="n">
        <f>IF(R192=0,0,IF(OR(AND(LEN(TRIM(B192&amp;""))&gt;0,UPPER(TRIM(B192&amp;""))&lt;&gt;UPPER(TRIM(INDEX($B$13:$B$512,R192)&amp;""))),AND(LEN(TRIM(C192&amp;""))&gt;0,UPPER(TRIM(C192&amp;""))&lt;&gt;UPPER(TRIM(INDEX($C$13:$C$512,R192)&amp;""))),AND(LEN(TRIM(E192&amp;""))&gt;0,S192&lt;&gt;INDEX($S$13:$S$512,R192)),AND(F192&lt;&gt;"",NOT(ISNUMBER(F192)))),1,IF(ISNUMBER(F192),IF(ABS(F192-INDEX($F$13:$F$512,R192))&gt;0.00000001,1,0),0)))</f>
        <v>0</v>
      </c>
      <c r="U192" s="0" t="n">
        <f>IF(P192="DIRECTA",IF(AND(ISNUMBER(G192),COUNTA(H192:J192)=0),1,0),IF(P192="DIMENSIONES",IF(AND(COUNT(G192:J192)&gt;0,COUNTA(G192:J192)=COUNT(G192:J192)),1,0),0))</f>
        <v>0</v>
      </c>
      <c r="V192" s="0" t="n">
        <f>IF(O192=0,0,IF(COUNTIFS($O$13:O192,O192)=1,1,0))</f>
        <v>0</v>
      </c>
      <c r="W192" s="0">
        <f>IF(V192=1,COUNTIFS($V$13:V192,1),"")</f>
      </c>
      <c r="X192" s="0">
        <f>IF(COUNTA(B192:L192)=0,"",IF(OR(NOT(IF(ISNUMBER($E$6),AND($E$6&gt;=0,$E$6&lt;=6,$E$6=INT($E$6)),FALSE)),O192=0,R192=0,T192&gt;0,AND(P192&lt;&gt;"DIMENSIONES",P192&lt;&gt;"DIRECTA",P192&lt;&gt;"SIN LÍNEAS",P192&lt;&gt;"CABECERA"),AND(OR(P192="DIRECTA",P192="DIMENSIONES"),U192=0),AND(OR(P192="SIN LÍNEAS",P192="CABECERA"),COUNTA(G192:J192)&gt;0)),2,IF(OR(P192="SIN LÍNEAS",Y192&gt;0,Z192&gt;0,AA192&gt;0,SUMPRODUCT(--('LÉEME'!$B$65:$B$86=AC192))&lt;&gt;1),1,0)))</f>
      </c>
      <c r="Y192" s="0" t="n">
        <f>IF(AND(P192="DIMENSIONES",S192="m²",COUNT(H192:J192)=3),1,0)</f>
        <v>0</v>
      </c>
      <c r="Z192" s="0" t="n">
        <f>IF(IF(ISNUMBER($E$6),AND($E$6&gt;=0,$E$6&lt;=6,$E$6=INT($E$6)),FALSE),IF(SUM(IF(ISNUMBER(F192),IF(ABS(F192-ROUND(F192,$E$6))&gt;0.00000001,1,0),0),IF(ISNUMBER(G192),IF(ABS(G192-ROUND(G192,$E$6))&gt;0.00000001,1,0),0),IF(ISNUMBER(H192),IF(ABS(H192-ROUND(H192,$E$6))&gt;0.00000001,1,0),0),IF(ISNUMBER(I192),IF(ABS(I192-ROUND(I192,$E$6))&gt;0.00000001,1,0),0),IF(ISNUMBER(J192),IF(ABS(J192-ROUND(J192,$E$6))&gt;0.00000001,1,0),0),IF(ISNUMBER(M192),IF(ABS(M192-ROUND(M192,$E$6))&gt;0.00000001,1,0),0))&gt;0,1,0),0)</f>
        <v>0</v>
      </c>
      <c r="AA192" s="0" t="n">
        <f>IF(COUNTA(B192:L192)=0,0,IF(OR(AND(ISNUMBER(F192),F192&lt;0),AND(U192=1,OR(SUM(IF(ISNUMBER(G192),IF(G192=0,1,0),0),IF(ISNUMBER(H192),IF(H192=0,1,0),0),IF(ISNUMBER(I192),IF(I192=0,1,0),0),IF(ISNUMBER(J192),IF(J192=0,1,0),0))&gt;0,COUNTIFS(G192:J192,"&lt;0")&gt;0)),AND(P192="DIMENSIONES",U192=1,OR(AND(S192="m",COUNT(H192:J192)&lt;&gt;1),AND(S192="m²",COUNT(H192:J192)&lt;&gt;2,Y192=0),AND(S192="m³",COUNT(H192:J192)&lt;&gt;3),AND(S192="ud",COUNT(H192:J192)&gt;0))),AND(P192="DIRECTA",OR(S192="m",S192="m²",S192="m³"))),1,0))</f>
        <v>0</v>
      </c>
      <c r="AB192" s="0">
        <f>IF(LEN(TRIM(E192&amp;""))&gt;0,E192,IF(R192&gt;0,INDEX($E$13:$E$512,R192),""))</f>
      </c>
      <c r="AC192" s="0">
        <f>UPPER(SUBSTITUTE(SUBSTITUTE(SUBSTITUTE(SUBSTITUTE(SUBSTITUTE(TRIM(AB192),"²","2"),"³","3"),"^",""),".","")," ",""))</f>
      </c>
    </row>
    <row r="193" ht="35" customHeight="1">
      <c r="B193" s="35"/>
      <c r="C193" s="35"/>
      <c r="D193" s="37"/>
      <c r="E193" s="35"/>
      <c r="F193" s="38"/>
      <c r="G193" s="38"/>
      <c r="H193" s="38"/>
      <c r="I193" s="38"/>
      <c r="J193" s="38"/>
      <c r="K193" s="35"/>
      <c r="L193" s="35"/>
      <c r="M193" s="39">
        <f>IF(U193&lt;&gt;1,"",IF(P193="DIRECTA",G193,IF(ISNUMBER(G193),G193,1)*IF(ISNUMBER(H193),H193,1)*IF(ISNUMBER(I193),I193,1)*IF(ISNUMBER(J193),J193,1)))</f>
      </c>
      <c r="N193" s="30">
        <f>IF(COUNTA(B193:L193)=0,"",IF(X193=0,IF(P193="CABECERA","VERDE · Fila descriptiva; la suma usa las líneas del ID","VERDE · Datos numéricos interpretables"),IF(X193=2,"ROJO · ","ÁMBAR · ")&amp;IF(NOT(IF(ISNUMBER($E$6),AND($E$6&gt;=0,$E$6&lt;=6,$E$6=INT($E$6)),FALSE)),"Indicamos entre 0 y 6 decimales en E6. ","")&amp;IF(O193=0,"Falta un ID numérico. ","")&amp;IF(R193=0,"Faltan capítulo, código, unidad o total numérico del ID. ","")&amp;IF(T193&gt;0,"Los datos o el total del ID se contradicen. ","")&amp;IF(AND(P193&lt;&gt;"DIMENSIONES",P193&lt;&gt;"DIRECTA",P193&lt;&gt;"SIN LÍNEAS",P193&lt;&gt;"CABECERA"),"Tipo de fila no reconocido. ","")&amp;IF(AND(OR(P193="SIN LÍNEAS",P193="CABECERA"),COUNTA(G193:J193)&gt;0),"La fila dice que no mide, pero contiene medidas. ","")&amp;IF(AND(OR(P193="DIRECTA",P193="DIMENSIONES"),U193=0),"Línea incompleta o con medidas no numéricas. ","")&amp;IF(P193="SIN LÍNEAS","No constan medidas de esta fila. ","")&amp;IF(Y193&gt;0,"Parece m³: tres dimensiones bajo m². ","")&amp;IF(AND(AB193&lt;&gt;"",SUMPRODUCT(--('LÉEME'!$B$65:$B$86=AC193))&lt;&gt;1),"Revisamos el significado de la unidad. ","")&amp;IF(Z193&gt;0,"Más precisión que los decimales indicados: cotejamos el original. ","")&amp;IF(AA193&gt;0,"Revisamos dimensiones, cantidad directa, ceros o deducción. ","")))</f>
      </c>
      <c r="O193" s="0" t="n">
        <f>IF(ISNUMBER(K193),IF(AND(K193&gt;0,K193=INT(K193),K193&lt;=999999),K193,0),0)</f>
        <v>0</v>
      </c>
      <c r="P193" s="0">
        <f>IF(COUNTA(B193:L193)=0,"",IF(L193="",IF(COUNTA(G193:J193)&gt;0,"DIMENSIONES","SIN LÍNEAS"),UPPER(TRIM(L193))))</f>
      </c>
      <c r="Q193" s="0">
        <f>IF(AND(O193&gt;0,LEN(TRIM(B193&amp;""))&gt;0,LEN(TRIM(C193&amp;""))&gt;0,LEN(TRIM(E193&amp;""))&gt;0,ISNUMBER(F193)),O193,"")</f>
      </c>
      <c r="R193" s="0" t="n">
        <f>IF(O193=0,0,IF(COUNTIFS($Q$13:$Q$512,O193)&gt;0,MATCH(O193,$Q$13:$Q$512,0),0))</f>
        <v>0</v>
      </c>
      <c r="S193" s="0">
        <f>IF(AB193="","",IF(SUMPRODUCT(--('LÉEME'!$B$65:$B$86=AC193))=1,INDEX('LÉEME'!$C$65:$C$86,MATCH(AC193,'LÉEME'!$B$65:$B$86,0)),UPPER(TRIM(AB193))))</f>
      </c>
      <c r="T193" s="0" t="n">
        <f>IF(R193=0,0,IF(OR(AND(LEN(TRIM(B193&amp;""))&gt;0,UPPER(TRIM(B193&amp;""))&lt;&gt;UPPER(TRIM(INDEX($B$13:$B$512,R193)&amp;""))),AND(LEN(TRIM(C193&amp;""))&gt;0,UPPER(TRIM(C193&amp;""))&lt;&gt;UPPER(TRIM(INDEX($C$13:$C$512,R193)&amp;""))),AND(LEN(TRIM(E193&amp;""))&gt;0,S193&lt;&gt;INDEX($S$13:$S$512,R193)),AND(F193&lt;&gt;"",NOT(ISNUMBER(F193)))),1,IF(ISNUMBER(F193),IF(ABS(F193-INDEX($F$13:$F$512,R193))&gt;0.00000001,1,0),0)))</f>
        <v>0</v>
      </c>
      <c r="U193" s="0" t="n">
        <f>IF(P193="DIRECTA",IF(AND(ISNUMBER(G193),COUNTA(H193:J193)=0),1,0),IF(P193="DIMENSIONES",IF(AND(COUNT(G193:J193)&gt;0,COUNTA(G193:J193)=COUNT(G193:J193)),1,0),0))</f>
        <v>0</v>
      </c>
      <c r="V193" s="0" t="n">
        <f>IF(O193=0,0,IF(COUNTIFS($O$13:O193,O193)=1,1,0))</f>
        <v>0</v>
      </c>
      <c r="W193" s="0">
        <f>IF(V193=1,COUNTIFS($V$13:V193,1),"")</f>
      </c>
      <c r="X193" s="0">
        <f>IF(COUNTA(B193:L193)=0,"",IF(OR(NOT(IF(ISNUMBER($E$6),AND($E$6&gt;=0,$E$6&lt;=6,$E$6=INT($E$6)),FALSE)),O193=0,R193=0,T193&gt;0,AND(P193&lt;&gt;"DIMENSIONES",P193&lt;&gt;"DIRECTA",P193&lt;&gt;"SIN LÍNEAS",P193&lt;&gt;"CABECERA"),AND(OR(P193="DIRECTA",P193="DIMENSIONES"),U193=0),AND(OR(P193="SIN LÍNEAS",P193="CABECERA"),COUNTA(G193:J193)&gt;0)),2,IF(OR(P193="SIN LÍNEAS",Y193&gt;0,Z193&gt;0,AA193&gt;0,SUMPRODUCT(--('LÉEME'!$B$65:$B$86=AC193))&lt;&gt;1),1,0)))</f>
      </c>
      <c r="Y193" s="0" t="n">
        <f>IF(AND(P193="DIMENSIONES",S193="m²",COUNT(H193:J193)=3),1,0)</f>
        <v>0</v>
      </c>
      <c r="Z193" s="0" t="n">
        <f>IF(IF(ISNUMBER($E$6),AND($E$6&gt;=0,$E$6&lt;=6,$E$6=INT($E$6)),FALSE),IF(SUM(IF(ISNUMBER(F193),IF(ABS(F193-ROUND(F193,$E$6))&gt;0.00000001,1,0),0),IF(ISNUMBER(G193),IF(ABS(G193-ROUND(G193,$E$6))&gt;0.00000001,1,0),0),IF(ISNUMBER(H193),IF(ABS(H193-ROUND(H193,$E$6))&gt;0.00000001,1,0),0),IF(ISNUMBER(I193),IF(ABS(I193-ROUND(I193,$E$6))&gt;0.00000001,1,0),0),IF(ISNUMBER(J193),IF(ABS(J193-ROUND(J193,$E$6))&gt;0.00000001,1,0),0),IF(ISNUMBER(M193),IF(ABS(M193-ROUND(M193,$E$6))&gt;0.00000001,1,0),0))&gt;0,1,0),0)</f>
        <v>0</v>
      </c>
      <c r="AA193" s="0" t="n">
        <f>IF(COUNTA(B193:L193)=0,0,IF(OR(AND(ISNUMBER(F193),F193&lt;0),AND(U193=1,OR(SUM(IF(ISNUMBER(G193),IF(G193=0,1,0),0),IF(ISNUMBER(H193),IF(H193=0,1,0),0),IF(ISNUMBER(I193),IF(I193=0,1,0),0),IF(ISNUMBER(J193),IF(J193=0,1,0),0))&gt;0,COUNTIFS(G193:J193,"&lt;0")&gt;0)),AND(P193="DIMENSIONES",U193=1,OR(AND(S193="m",COUNT(H193:J193)&lt;&gt;1),AND(S193="m²",COUNT(H193:J193)&lt;&gt;2,Y193=0),AND(S193="m³",COUNT(H193:J193)&lt;&gt;3),AND(S193="ud",COUNT(H193:J193)&gt;0))),AND(P193="DIRECTA",OR(S193="m",S193="m²",S193="m³"))),1,0))</f>
        <v>0</v>
      </c>
      <c r="AB193" s="0">
        <f>IF(LEN(TRIM(E193&amp;""))&gt;0,E193,IF(R193&gt;0,INDEX($E$13:$E$512,R193),""))</f>
      </c>
      <c r="AC193" s="0">
        <f>UPPER(SUBSTITUTE(SUBSTITUTE(SUBSTITUTE(SUBSTITUTE(SUBSTITUTE(TRIM(AB193),"²","2"),"³","3"),"^",""),".","")," ",""))</f>
      </c>
    </row>
    <row r="194" ht="35" customHeight="1">
      <c r="B194" s="35"/>
      <c r="C194" s="35"/>
      <c r="D194" s="37"/>
      <c r="E194" s="35"/>
      <c r="F194" s="38"/>
      <c r="G194" s="38"/>
      <c r="H194" s="38"/>
      <c r="I194" s="38"/>
      <c r="J194" s="38"/>
      <c r="K194" s="35"/>
      <c r="L194" s="35"/>
      <c r="M194" s="39">
        <f>IF(U194&lt;&gt;1,"",IF(P194="DIRECTA",G194,IF(ISNUMBER(G194),G194,1)*IF(ISNUMBER(H194),H194,1)*IF(ISNUMBER(I194),I194,1)*IF(ISNUMBER(J194),J194,1)))</f>
      </c>
      <c r="N194" s="30">
        <f>IF(COUNTA(B194:L194)=0,"",IF(X194=0,IF(P194="CABECERA","VERDE · Fila descriptiva; la suma usa las líneas del ID","VERDE · Datos numéricos interpretables"),IF(X194=2,"ROJO · ","ÁMBAR · ")&amp;IF(NOT(IF(ISNUMBER($E$6),AND($E$6&gt;=0,$E$6&lt;=6,$E$6=INT($E$6)),FALSE)),"Indicamos entre 0 y 6 decimales en E6. ","")&amp;IF(O194=0,"Falta un ID numérico. ","")&amp;IF(R194=0,"Faltan capítulo, código, unidad o total numérico del ID. ","")&amp;IF(T194&gt;0,"Los datos o el total del ID se contradicen. ","")&amp;IF(AND(P194&lt;&gt;"DIMENSIONES",P194&lt;&gt;"DIRECTA",P194&lt;&gt;"SIN LÍNEAS",P194&lt;&gt;"CABECERA"),"Tipo de fila no reconocido. ","")&amp;IF(AND(OR(P194="SIN LÍNEAS",P194="CABECERA"),COUNTA(G194:J194)&gt;0),"La fila dice que no mide, pero contiene medidas. ","")&amp;IF(AND(OR(P194="DIRECTA",P194="DIMENSIONES"),U194=0),"Línea incompleta o con medidas no numéricas. ","")&amp;IF(P194="SIN LÍNEAS","No constan medidas de esta fila. ","")&amp;IF(Y194&gt;0,"Parece m³: tres dimensiones bajo m². ","")&amp;IF(AND(AB194&lt;&gt;"",SUMPRODUCT(--('LÉEME'!$B$65:$B$86=AC194))&lt;&gt;1),"Revisamos el significado de la unidad. ","")&amp;IF(Z194&gt;0,"Más precisión que los decimales indicados: cotejamos el original. ","")&amp;IF(AA194&gt;0,"Revisamos dimensiones, cantidad directa, ceros o deducción. ","")))</f>
      </c>
      <c r="O194" s="0" t="n">
        <f>IF(ISNUMBER(K194),IF(AND(K194&gt;0,K194=INT(K194),K194&lt;=999999),K194,0),0)</f>
        <v>0</v>
      </c>
      <c r="P194" s="0">
        <f>IF(COUNTA(B194:L194)=0,"",IF(L194="",IF(COUNTA(G194:J194)&gt;0,"DIMENSIONES","SIN LÍNEAS"),UPPER(TRIM(L194))))</f>
      </c>
      <c r="Q194" s="0">
        <f>IF(AND(O194&gt;0,LEN(TRIM(B194&amp;""))&gt;0,LEN(TRIM(C194&amp;""))&gt;0,LEN(TRIM(E194&amp;""))&gt;0,ISNUMBER(F194)),O194,"")</f>
      </c>
      <c r="R194" s="0" t="n">
        <f>IF(O194=0,0,IF(COUNTIFS($Q$13:$Q$512,O194)&gt;0,MATCH(O194,$Q$13:$Q$512,0),0))</f>
        <v>0</v>
      </c>
      <c r="S194" s="0">
        <f>IF(AB194="","",IF(SUMPRODUCT(--('LÉEME'!$B$65:$B$86=AC194))=1,INDEX('LÉEME'!$C$65:$C$86,MATCH(AC194,'LÉEME'!$B$65:$B$86,0)),UPPER(TRIM(AB194))))</f>
      </c>
      <c r="T194" s="0" t="n">
        <f>IF(R194=0,0,IF(OR(AND(LEN(TRIM(B194&amp;""))&gt;0,UPPER(TRIM(B194&amp;""))&lt;&gt;UPPER(TRIM(INDEX($B$13:$B$512,R194)&amp;""))),AND(LEN(TRIM(C194&amp;""))&gt;0,UPPER(TRIM(C194&amp;""))&lt;&gt;UPPER(TRIM(INDEX($C$13:$C$512,R194)&amp;""))),AND(LEN(TRIM(E194&amp;""))&gt;0,S194&lt;&gt;INDEX($S$13:$S$512,R194)),AND(F194&lt;&gt;"",NOT(ISNUMBER(F194)))),1,IF(ISNUMBER(F194),IF(ABS(F194-INDEX($F$13:$F$512,R194))&gt;0.00000001,1,0),0)))</f>
        <v>0</v>
      </c>
      <c r="U194" s="0" t="n">
        <f>IF(P194="DIRECTA",IF(AND(ISNUMBER(G194),COUNTA(H194:J194)=0),1,0),IF(P194="DIMENSIONES",IF(AND(COUNT(G194:J194)&gt;0,COUNTA(G194:J194)=COUNT(G194:J194)),1,0),0))</f>
        <v>0</v>
      </c>
      <c r="V194" s="0" t="n">
        <f>IF(O194=0,0,IF(COUNTIFS($O$13:O194,O194)=1,1,0))</f>
        <v>0</v>
      </c>
      <c r="W194" s="0">
        <f>IF(V194=1,COUNTIFS($V$13:V194,1),"")</f>
      </c>
      <c r="X194" s="0">
        <f>IF(COUNTA(B194:L194)=0,"",IF(OR(NOT(IF(ISNUMBER($E$6),AND($E$6&gt;=0,$E$6&lt;=6,$E$6=INT($E$6)),FALSE)),O194=0,R194=0,T194&gt;0,AND(P194&lt;&gt;"DIMENSIONES",P194&lt;&gt;"DIRECTA",P194&lt;&gt;"SIN LÍNEAS",P194&lt;&gt;"CABECERA"),AND(OR(P194="DIRECTA",P194="DIMENSIONES"),U194=0),AND(OR(P194="SIN LÍNEAS",P194="CABECERA"),COUNTA(G194:J194)&gt;0)),2,IF(OR(P194="SIN LÍNEAS",Y194&gt;0,Z194&gt;0,AA194&gt;0,SUMPRODUCT(--('LÉEME'!$B$65:$B$86=AC194))&lt;&gt;1),1,0)))</f>
      </c>
      <c r="Y194" s="0" t="n">
        <f>IF(AND(P194="DIMENSIONES",S194="m²",COUNT(H194:J194)=3),1,0)</f>
        <v>0</v>
      </c>
      <c r="Z194" s="0" t="n">
        <f>IF(IF(ISNUMBER($E$6),AND($E$6&gt;=0,$E$6&lt;=6,$E$6=INT($E$6)),FALSE),IF(SUM(IF(ISNUMBER(F194),IF(ABS(F194-ROUND(F194,$E$6))&gt;0.00000001,1,0),0),IF(ISNUMBER(G194),IF(ABS(G194-ROUND(G194,$E$6))&gt;0.00000001,1,0),0),IF(ISNUMBER(H194),IF(ABS(H194-ROUND(H194,$E$6))&gt;0.00000001,1,0),0),IF(ISNUMBER(I194),IF(ABS(I194-ROUND(I194,$E$6))&gt;0.00000001,1,0),0),IF(ISNUMBER(J194),IF(ABS(J194-ROUND(J194,$E$6))&gt;0.00000001,1,0),0),IF(ISNUMBER(M194),IF(ABS(M194-ROUND(M194,$E$6))&gt;0.00000001,1,0),0))&gt;0,1,0),0)</f>
        <v>0</v>
      </c>
      <c r="AA194" s="0" t="n">
        <f>IF(COUNTA(B194:L194)=0,0,IF(OR(AND(ISNUMBER(F194),F194&lt;0),AND(U194=1,OR(SUM(IF(ISNUMBER(G194),IF(G194=0,1,0),0),IF(ISNUMBER(H194),IF(H194=0,1,0),0),IF(ISNUMBER(I194),IF(I194=0,1,0),0),IF(ISNUMBER(J194),IF(J194=0,1,0),0))&gt;0,COUNTIFS(G194:J194,"&lt;0")&gt;0)),AND(P194="DIMENSIONES",U194=1,OR(AND(S194="m",COUNT(H194:J194)&lt;&gt;1),AND(S194="m²",COUNT(H194:J194)&lt;&gt;2,Y194=0),AND(S194="m³",COUNT(H194:J194)&lt;&gt;3),AND(S194="ud",COUNT(H194:J194)&gt;0))),AND(P194="DIRECTA",OR(S194="m",S194="m²",S194="m³"))),1,0))</f>
        <v>0</v>
      </c>
      <c r="AB194" s="0">
        <f>IF(LEN(TRIM(E194&amp;""))&gt;0,E194,IF(R194&gt;0,INDEX($E$13:$E$512,R194),""))</f>
      </c>
      <c r="AC194" s="0">
        <f>UPPER(SUBSTITUTE(SUBSTITUTE(SUBSTITUTE(SUBSTITUTE(SUBSTITUTE(TRIM(AB194),"²","2"),"³","3"),"^",""),".","")," ",""))</f>
      </c>
    </row>
    <row r="195" ht="35" customHeight="1">
      <c r="B195" s="35"/>
      <c r="C195" s="35"/>
      <c r="D195" s="37"/>
      <c r="E195" s="35"/>
      <c r="F195" s="38"/>
      <c r="G195" s="38"/>
      <c r="H195" s="38"/>
      <c r="I195" s="38"/>
      <c r="J195" s="38"/>
      <c r="K195" s="35"/>
      <c r="L195" s="35"/>
      <c r="M195" s="39">
        <f>IF(U195&lt;&gt;1,"",IF(P195="DIRECTA",G195,IF(ISNUMBER(G195),G195,1)*IF(ISNUMBER(H195),H195,1)*IF(ISNUMBER(I195),I195,1)*IF(ISNUMBER(J195),J195,1)))</f>
      </c>
      <c r="N195" s="30">
        <f>IF(COUNTA(B195:L195)=0,"",IF(X195=0,IF(P195="CABECERA","VERDE · Fila descriptiva; la suma usa las líneas del ID","VERDE · Datos numéricos interpretables"),IF(X195=2,"ROJO · ","ÁMBAR · ")&amp;IF(NOT(IF(ISNUMBER($E$6),AND($E$6&gt;=0,$E$6&lt;=6,$E$6=INT($E$6)),FALSE)),"Indicamos entre 0 y 6 decimales en E6. ","")&amp;IF(O195=0,"Falta un ID numérico. ","")&amp;IF(R195=0,"Faltan capítulo, código, unidad o total numérico del ID. ","")&amp;IF(T195&gt;0,"Los datos o el total del ID se contradicen. ","")&amp;IF(AND(P195&lt;&gt;"DIMENSIONES",P195&lt;&gt;"DIRECTA",P195&lt;&gt;"SIN LÍNEAS",P195&lt;&gt;"CABECERA"),"Tipo de fila no reconocido. ","")&amp;IF(AND(OR(P195="SIN LÍNEAS",P195="CABECERA"),COUNTA(G195:J195)&gt;0),"La fila dice que no mide, pero contiene medidas. ","")&amp;IF(AND(OR(P195="DIRECTA",P195="DIMENSIONES"),U195=0),"Línea incompleta o con medidas no numéricas. ","")&amp;IF(P195="SIN LÍNEAS","No constan medidas de esta fila. ","")&amp;IF(Y195&gt;0,"Parece m³: tres dimensiones bajo m². ","")&amp;IF(AND(AB195&lt;&gt;"",SUMPRODUCT(--('LÉEME'!$B$65:$B$86=AC195))&lt;&gt;1),"Revisamos el significado de la unidad. ","")&amp;IF(Z195&gt;0,"Más precisión que los decimales indicados: cotejamos el original. ","")&amp;IF(AA195&gt;0,"Revisamos dimensiones, cantidad directa, ceros o deducción. ","")))</f>
      </c>
      <c r="O195" s="0" t="n">
        <f>IF(ISNUMBER(K195),IF(AND(K195&gt;0,K195=INT(K195),K195&lt;=999999),K195,0),0)</f>
        <v>0</v>
      </c>
      <c r="P195" s="0">
        <f>IF(COUNTA(B195:L195)=0,"",IF(L195="",IF(COUNTA(G195:J195)&gt;0,"DIMENSIONES","SIN LÍNEAS"),UPPER(TRIM(L195))))</f>
      </c>
      <c r="Q195" s="0">
        <f>IF(AND(O195&gt;0,LEN(TRIM(B195&amp;""))&gt;0,LEN(TRIM(C195&amp;""))&gt;0,LEN(TRIM(E195&amp;""))&gt;0,ISNUMBER(F195)),O195,"")</f>
      </c>
      <c r="R195" s="0" t="n">
        <f>IF(O195=0,0,IF(COUNTIFS($Q$13:$Q$512,O195)&gt;0,MATCH(O195,$Q$13:$Q$512,0),0))</f>
        <v>0</v>
      </c>
      <c r="S195" s="0">
        <f>IF(AB195="","",IF(SUMPRODUCT(--('LÉEME'!$B$65:$B$86=AC195))=1,INDEX('LÉEME'!$C$65:$C$86,MATCH(AC195,'LÉEME'!$B$65:$B$86,0)),UPPER(TRIM(AB195))))</f>
      </c>
      <c r="T195" s="0" t="n">
        <f>IF(R195=0,0,IF(OR(AND(LEN(TRIM(B195&amp;""))&gt;0,UPPER(TRIM(B195&amp;""))&lt;&gt;UPPER(TRIM(INDEX($B$13:$B$512,R195)&amp;""))),AND(LEN(TRIM(C195&amp;""))&gt;0,UPPER(TRIM(C195&amp;""))&lt;&gt;UPPER(TRIM(INDEX($C$13:$C$512,R195)&amp;""))),AND(LEN(TRIM(E195&amp;""))&gt;0,S195&lt;&gt;INDEX($S$13:$S$512,R195)),AND(F195&lt;&gt;"",NOT(ISNUMBER(F195)))),1,IF(ISNUMBER(F195),IF(ABS(F195-INDEX($F$13:$F$512,R195))&gt;0.00000001,1,0),0)))</f>
        <v>0</v>
      </c>
      <c r="U195" s="0" t="n">
        <f>IF(P195="DIRECTA",IF(AND(ISNUMBER(G195),COUNTA(H195:J195)=0),1,0),IF(P195="DIMENSIONES",IF(AND(COUNT(G195:J195)&gt;0,COUNTA(G195:J195)=COUNT(G195:J195)),1,0),0))</f>
        <v>0</v>
      </c>
      <c r="V195" s="0" t="n">
        <f>IF(O195=0,0,IF(COUNTIFS($O$13:O195,O195)=1,1,0))</f>
        <v>0</v>
      </c>
      <c r="W195" s="0">
        <f>IF(V195=1,COUNTIFS($V$13:V195,1),"")</f>
      </c>
      <c r="X195" s="0">
        <f>IF(COUNTA(B195:L195)=0,"",IF(OR(NOT(IF(ISNUMBER($E$6),AND($E$6&gt;=0,$E$6&lt;=6,$E$6=INT($E$6)),FALSE)),O195=0,R195=0,T195&gt;0,AND(P195&lt;&gt;"DIMENSIONES",P195&lt;&gt;"DIRECTA",P195&lt;&gt;"SIN LÍNEAS",P195&lt;&gt;"CABECERA"),AND(OR(P195="DIRECTA",P195="DIMENSIONES"),U195=0),AND(OR(P195="SIN LÍNEAS",P195="CABECERA"),COUNTA(G195:J195)&gt;0)),2,IF(OR(P195="SIN LÍNEAS",Y195&gt;0,Z195&gt;0,AA195&gt;0,SUMPRODUCT(--('LÉEME'!$B$65:$B$86=AC195))&lt;&gt;1),1,0)))</f>
      </c>
      <c r="Y195" s="0" t="n">
        <f>IF(AND(P195="DIMENSIONES",S195="m²",COUNT(H195:J195)=3),1,0)</f>
        <v>0</v>
      </c>
      <c r="Z195" s="0" t="n">
        <f>IF(IF(ISNUMBER($E$6),AND($E$6&gt;=0,$E$6&lt;=6,$E$6=INT($E$6)),FALSE),IF(SUM(IF(ISNUMBER(F195),IF(ABS(F195-ROUND(F195,$E$6))&gt;0.00000001,1,0),0),IF(ISNUMBER(G195),IF(ABS(G195-ROUND(G195,$E$6))&gt;0.00000001,1,0),0),IF(ISNUMBER(H195),IF(ABS(H195-ROUND(H195,$E$6))&gt;0.00000001,1,0),0),IF(ISNUMBER(I195),IF(ABS(I195-ROUND(I195,$E$6))&gt;0.00000001,1,0),0),IF(ISNUMBER(J195),IF(ABS(J195-ROUND(J195,$E$6))&gt;0.00000001,1,0),0),IF(ISNUMBER(M195),IF(ABS(M195-ROUND(M195,$E$6))&gt;0.00000001,1,0),0))&gt;0,1,0),0)</f>
        <v>0</v>
      </c>
      <c r="AA195" s="0" t="n">
        <f>IF(COUNTA(B195:L195)=0,0,IF(OR(AND(ISNUMBER(F195),F195&lt;0),AND(U195=1,OR(SUM(IF(ISNUMBER(G195),IF(G195=0,1,0),0),IF(ISNUMBER(H195),IF(H195=0,1,0),0),IF(ISNUMBER(I195),IF(I195=0,1,0),0),IF(ISNUMBER(J195),IF(J195=0,1,0),0))&gt;0,COUNTIFS(G195:J195,"&lt;0")&gt;0)),AND(P195="DIMENSIONES",U195=1,OR(AND(S195="m",COUNT(H195:J195)&lt;&gt;1),AND(S195="m²",COUNT(H195:J195)&lt;&gt;2,Y195=0),AND(S195="m³",COUNT(H195:J195)&lt;&gt;3),AND(S195="ud",COUNT(H195:J195)&gt;0))),AND(P195="DIRECTA",OR(S195="m",S195="m²",S195="m³"))),1,0))</f>
        <v>0</v>
      </c>
      <c r="AB195" s="0">
        <f>IF(LEN(TRIM(E195&amp;""))&gt;0,E195,IF(R195&gt;0,INDEX($E$13:$E$512,R195),""))</f>
      </c>
      <c r="AC195" s="0">
        <f>UPPER(SUBSTITUTE(SUBSTITUTE(SUBSTITUTE(SUBSTITUTE(SUBSTITUTE(TRIM(AB195),"²","2"),"³","3"),"^",""),".","")," ",""))</f>
      </c>
    </row>
    <row r="196" ht="35" customHeight="1">
      <c r="B196" s="35"/>
      <c r="C196" s="35"/>
      <c r="D196" s="37"/>
      <c r="E196" s="35"/>
      <c r="F196" s="38"/>
      <c r="G196" s="38"/>
      <c r="H196" s="38"/>
      <c r="I196" s="38"/>
      <c r="J196" s="38"/>
      <c r="K196" s="35"/>
      <c r="L196" s="35"/>
      <c r="M196" s="39">
        <f>IF(U196&lt;&gt;1,"",IF(P196="DIRECTA",G196,IF(ISNUMBER(G196),G196,1)*IF(ISNUMBER(H196),H196,1)*IF(ISNUMBER(I196),I196,1)*IF(ISNUMBER(J196),J196,1)))</f>
      </c>
      <c r="N196" s="30">
        <f>IF(COUNTA(B196:L196)=0,"",IF(X196=0,IF(P196="CABECERA","VERDE · Fila descriptiva; la suma usa las líneas del ID","VERDE · Datos numéricos interpretables"),IF(X196=2,"ROJO · ","ÁMBAR · ")&amp;IF(NOT(IF(ISNUMBER($E$6),AND($E$6&gt;=0,$E$6&lt;=6,$E$6=INT($E$6)),FALSE)),"Indicamos entre 0 y 6 decimales en E6. ","")&amp;IF(O196=0,"Falta un ID numérico. ","")&amp;IF(R196=0,"Faltan capítulo, código, unidad o total numérico del ID. ","")&amp;IF(T196&gt;0,"Los datos o el total del ID se contradicen. ","")&amp;IF(AND(P196&lt;&gt;"DIMENSIONES",P196&lt;&gt;"DIRECTA",P196&lt;&gt;"SIN LÍNEAS",P196&lt;&gt;"CABECERA"),"Tipo de fila no reconocido. ","")&amp;IF(AND(OR(P196="SIN LÍNEAS",P196="CABECERA"),COUNTA(G196:J196)&gt;0),"La fila dice que no mide, pero contiene medidas. ","")&amp;IF(AND(OR(P196="DIRECTA",P196="DIMENSIONES"),U196=0),"Línea incompleta o con medidas no numéricas. ","")&amp;IF(P196="SIN LÍNEAS","No constan medidas de esta fila. ","")&amp;IF(Y196&gt;0,"Parece m³: tres dimensiones bajo m². ","")&amp;IF(AND(AB196&lt;&gt;"",SUMPRODUCT(--('LÉEME'!$B$65:$B$86=AC196))&lt;&gt;1),"Revisamos el significado de la unidad. ","")&amp;IF(Z196&gt;0,"Más precisión que los decimales indicados: cotejamos el original. ","")&amp;IF(AA196&gt;0,"Revisamos dimensiones, cantidad directa, ceros o deducción. ","")))</f>
      </c>
      <c r="O196" s="0" t="n">
        <f>IF(ISNUMBER(K196),IF(AND(K196&gt;0,K196=INT(K196),K196&lt;=999999),K196,0),0)</f>
        <v>0</v>
      </c>
      <c r="P196" s="0">
        <f>IF(COUNTA(B196:L196)=0,"",IF(L196="",IF(COUNTA(G196:J196)&gt;0,"DIMENSIONES","SIN LÍNEAS"),UPPER(TRIM(L196))))</f>
      </c>
      <c r="Q196" s="0">
        <f>IF(AND(O196&gt;0,LEN(TRIM(B196&amp;""))&gt;0,LEN(TRIM(C196&amp;""))&gt;0,LEN(TRIM(E196&amp;""))&gt;0,ISNUMBER(F196)),O196,"")</f>
      </c>
      <c r="R196" s="0" t="n">
        <f>IF(O196=0,0,IF(COUNTIFS($Q$13:$Q$512,O196)&gt;0,MATCH(O196,$Q$13:$Q$512,0),0))</f>
        <v>0</v>
      </c>
      <c r="S196" s="0">
        <f>IF(AB196="","",IF(SUMPRODUCT(--('LÉEME'!$B$65:$B$86=AC196))=1,INDEX('LÉEME'!$C$65:$C$86,MATCH(AC196,'LÉEME'!$B$65:$B$86,0)),UPPER(TRIM(AB196))))</f>
      </c>
      <c r="T196" s="0" t="n">
        <f>IF(R196=0,0,IF(OR(AND(LEN(TRIM(B196&amp;""))&gt;0,UPPER(TRIM(B196&amp;""))&lt;&gt;UPPER(TRIM(INDEX($B$13:$B$512,R196)&amp;""))),AND(LEN(TRIM(C196&amp;""))&gt;0,UPPER(TRIM(C196&amp;""))&lt;&gt;UPPER(TRIM(INDEX($C$13:$C$512,R196)&amp;""))),AND(LEN(TRIM(E196&amp;""))&gt;0,S196&lt;&gt;INDEX($S$13:$S$512,R196)),AND(F196&lt;&gt;"",NOT(ISNUMBER(F196)))),1,IF(ISNUMBER(F196),IF(ABS(F196-INDEX($F$13:$F$512,R196))&gt;0.00000001,1,0),0)))</f>
        <v>0</v>
      </c>
      <c r="U196" s="0" t="n">
        <f>IF(P196="DIRECTA",IF(AND(ISNUMBER(G196),COUNTA(H196:J196)=0),1,0),IF(P196="DIMENSIONES",IF(AND(COUNT(G196:J196)&gt;0,COUNTA(G196:J196)=COUNT(G196:J196)),1,0),0))</f>
        <v>0</v>
      </c>
      <c r="V196" s="0" t="n">
        <f>IF(O196=0,0,IF(COUNTIFS($O$13:O196,O196)=1,1,0))</f>
        <v>0</v>
      </c>
      <c r="W196" s="0">
        <f>IF(V196=1,COUNTIFS($V$13:V196,1),"")</f>
      </c>
      <c r="X196" s="0">
        <f>IF(COUNTA(B196:L196)=0,"",IF(OR(NOT(IF(ISNUMBER($E$6),AND($E$6&gt;=0,$E$6&lt;=6,$E$6=INT($E$6)),FALSE)),O196=0,R196=0,T196&gt;0,AND(P196&lt;&gt;"DIMENSIONES",P196&lt;&gt;"DIRECTA",P196&lt;&gt;"SIN LÍNEAS",P196&lt;&gt;"CABECERA"),AND(OR(P196="DIRECTA",P196="DIMENSIONES"),U196=0),AND(OR(P196="SIN LÍNEAS",P196="CABECERA"),COUNTA(G196:J196)&gt;0)),2,IF(OR(P196="SIN LÍNEAS",Y196&gt;0,Z196&gt;0,AA196&gt;0,SUMPRODUCT(--('LÉEME'!$B$65:$B$86=AC196))&lt;&gt;1),1,0)))</f>
      </c>
      <c r="Y196" s="0" t="n">
        <f>IF(AND(P196="DIMENSIONES",S196="m²",COUNT(H196:J196)=3),1,0)</f>
        <v>0</v>
      </c>
      <c r="Z196" s="0" t="n">
        <f>IF(IF(ISNUMBER($E$6),AND($E$6&gt;=0,$E$6&lt;=6,$E$6=INT($E$6)),FALSE),IF(SUM(IF(ISNUMBER(F196),IF(ABS(F196-ROUND(F196,$E$6))&gt;0.00000001,1,0),0),IF(ISNUMBER(G196),IF(ABS(G196-ROUND(G196,$E$6))&gt;0.00000001,1,0),0),IF(ISNUMBER(H196),IF(ABS(H196-ROUND(H196,$E$6))&gt;0.00000001,1,0),0),IF(ISNUMBER(I196),IF(ABS(I196-ROUND(I196,$E$6))&gt;0.00000001,1,0),0),IF(ISNUMBER(J196),IF(ABS(J196-ROUND(J196,$E$6))&gt;0.00000001,1,0),0),IF(ISNUMBER(M196),IF(ABS(M196-ROUND(M196,$E$6))&gt;0.00000001,1,0),0))&gt;0,1,0),0)</f>
        <v>0</v>
      </c>
      <c r="AA196" s="0" t="n">
        <f>IF(COUNTA(B196:L196)=0,0,IF(OR(AND(ISNUMBER(F196),F196&lt;0),AND(U196=1,OR(SUM(IF(ISNUMBER(G196),IF(G196=0,1,0),0),IF(ISNUMBER(H196),IF(H196=0,1,0),0),IF(ISNUMBER(I196),IF(I196=0,1,0),0),IF(ISNUMBER(J196),IF(J196=0,1,0),0))&gt;0,COUNTIFS(G196:J196,"&lt;0")&gt;0)),AND(P196="DIMENSIONES",U196=1,OR(AND(S196="m",COUNT(H196:J196)&lt;&gt;1),AND(S196="m²",COUNT(H196:J196)&lt;&gt;2,Y196=0),AND(S196="m³",COUNT(H196:J196)&lt;&gt;3),AND(S196="ud",COUNT(H196:J196)&gt;0))),AND(P196="DIRECTA",OR(S196="m",S196="m²",S196="m³"))),1,0))</f>
        <v>0</v>
      </c>
      <c r="AB196" s="0">
        <f>IF(LEN(TRIM(E196&amp;""))&gt;0,E196,IF(R196&gt;0,INDEX($E$13:$E$512,R196),""))</f>
      </c>
      <c r="AC196" s="0">
        <f>UPPER(SUBSTITUTE(SUBSTITUTE(SUBSTITUTE(SUBSTITUTE(SUBSTITUTE(TRIM(AB196),"²","2"),"³","3"),"^",""),".","")," ",""))</f>
      </c>
    </row>
    <row r="197" ht="35" customHeight="1">
      <c r="B197" s="35"/>
      <c r="C197" s="35"/>
      <c r="D197" s="37"/>
      <c r="E197" s="35"/>
      <c r="F197" s="38"/>
      <c r="G197" s="38"/>
      <c r="H197" s="38"/>
      <c r="I197" s="38"/>
      <c r="J197" s="38"/>
      <c r="K197" s="35"/>
      <c r="L197" s="35"/>
      <c r="M197" s="39">
        <f>IF(U197&lt;&gt;1,"",IF(P197="DIRECTA",G197,IF(ISNUMBER(G197),G197,1)*IF(ISNUMBER(H197),H197,1)*IF(ISNUMBER(I197),I197,1)*IF(ISNUMBER(J197),J197,1)))</f>
      </c>
      <c r="N197" s="30">
        <f>IF(COUNTA(B197:L197)=0,"",IF(X197=0,IF(P197="CABECERA","VERDE · Fila descriptiva; la suma usa las líneas del ID","VERDE · Datos numéricos interpretables"),IF(X197=2,"ROJO · ","ÁMBAR · ")&amp;IF(NOT(IF(ISNUMBER($E$6),AND($E$6&gt;=0,$E$6&lt;=6,$E$6=INT($E$6)),FALSE)),"Indicamos entre 0 y 6 decimales en E6. ","")&amp;IF(O197=0,"Falta un ID numérico. ","")&amp;IF(R197=0,"Faltan capítulo, código, unidad o total numérico del ID. ","")&amp;IF(T197&gt;0,"Los datos o el total del ID se contradicen. ","")&amp;IF(AND(P197&lt;&gt;"DIMENSIONES",P197&lt;&gt;"DIRECTA",P197&lt;&gt;"SIN LÍNEAS",P197&lt;&gt;"CABECERA"),"Tipo de fila no reconocido. ","")&amp;IF(AND(OR(P197="SIN LÍNEAS",P197="CABECERA"),COUNTA(G197:J197)&gt;0),"La fila dice que no mide, pero contiene medidas. ","")&amp;IF(AND(OR(P197="DIRECTA",P197="DIMENSIONES"),U197=0),"Línea incompleta o con medidas no numéricas. ","")&amp;IF(P197="SIN LÍNEAS","No constan medidas de esta fila. ","")&amp;IF(Y197&gt;0,"Parece m³: tres dimensiones bajo m². ","")&amp;IF(AND(AB197&lt;&gt;"",SUMPRODUCT(--('LÉEME'!$B$65:$B$86=AC197))&lt;&gt;1),"Revisamos el significado de la unidad. ","")&amp;IF(Z197&gt;0,"Más precisión que los decimales indicados: cotejamos el original. ","")&amp;IF(AA197&gt;0,"Revisamos dimensiones, cantidad directa, ceros o deducción. ","")))</f>
      </c>
      <c r="O197" s="0" t="n">
        <f>IF(ISNUMBER(K197),IF(AND(K197&gt;0,K197=INT(K197),K197&lt;=999999),K197,0),0)</f>
        <v>0</v>
      </c>
      <c r="P197" s="0">
        <f>IF(COUNTA(B197:L197)=0,"",IF(L197="",IF(COUNTA(G197:J197)&gt;0,"DIMENSIONES","SIN LÍNEAS"),UPPER(TRIM(L197))))</f>
      </c>
      <c r="Q197" s="0">
        <f>IF(AND(O197&gt;0,LEN(TRIM(B197&amp;""))&gt;0,LEN(TRIM(C197&amp;""))&gt;0,LEN(TRIM(E197&amp;""))&gt;0,ISNUMBER(F197)),O197,"")</f>
      </c>
      <c r="R197" s="0" t="n">
        <f>IF(O197=0,0,IF(COUNTIFS($Q$13:$Q$512,O197)&gt;0,MATCH(O197,$Q$13:$Q$512,0),0))</f>
        <v>0</v>
      </c>
      <c r="S197" s="0">
        <f>IF(AB197="","",IF(SUMPRODUCT(--('LÉEME'!$B$65:$B$86=AC197))=1,INDEX('LÉEME'!$C$65:$C$86,MATCH(AC197,'LÉEME'!$B$65:$B$86,0)),UPPER(TRIM(AB197))))</f>
      </c>
      <c r="T197" s="0" t="n">
        <f>IF(R197=0,0,IF(OR(AND(LEN(TRIM(B197&amp;""))&gt;0,UPPER(TRIM(B197&amp;""))&lt;&gt;UPPER(TRIM(INDEX($B$13:$B$512,R197)&amp;""))),AND(LEN(TRIM(C197&amp;""))&gt;0,UPPER(TRIM(C197&amp;""))&lt;&gt;UPPER(TRIM(INDEX($C$13:$C$512,R197)&amp;""))),AND(LEN(TRIM(E197&amp;""))&gt;0,S197&lt;&gt;INDEX($S$13:$S$512,R197)),AND(F197&lt;&gt;"",NOT(ISNUMBER(F197)))),1,IF(ISNUMBER(F197),IF(ABS(F197-INDEX($F$13:$F$512,R197))&gt;0.00000001,1,0),0)))</f>
        <v>0</v>
      </c>
      <c r="U197" s="0" t="n">
        <f>IF(P197="DIRECTA",IF(AND(ISNUMBER(G197),COUNTA(H197:J197)=0),1,0),IF(P197="DIMENSIONES",IF(AND(COUNT(G197:J197)&gt;0,COUNTA(G197:J197)=COUNT(G197:J197)),1,0),0))</f>
        <v>0</v>
      </c>
      <c r="V197" s="0" t="n">
        <f>IF(O197=0,0,IF(COUNTIFS($O$13:O197,O197)=1,1,0))</f>
        <v>0</v>
      </c>
      <c r="W197" s="0">
        <f>IF(V197=1,COUNTIFS($V$13:V197,1),"")</f>
      </c>
      <c r="X197" s="0">
        <f>IF(COUNTA(B197:L197)=0,"",IF(OR(NOT(IF(ISNUMBER($E$6),AND($E$6&gt;=0,$E$6&lt;=6,$E$6=INT($E$6)),FALSE)),O197=0,R197=0,T197&gt;0,AND(P197&lt;&gt;"DIMENSIONES",P197&lt;&gt;"DIRECTA",P197&lt;&gt;"SIN LÍNEAS",P197&lt;&gt;"CABECERA"),AND(OR(P197="DIRECTA",P197="DIMENSIONES"),U197=0),AND(OR(P197="SIN LÍNEAS",P197="CABECERA"),COUNTA(G197:J197)&gt;0)),2,IF(OR(P197="SIN LÍNEAS",Y197&gt;0,Z197&gt;0,AA197&gt;0,SUMPRODUCT(--('LÉEME'!$B$65:$B$86=AC197))&lt;&gt;1),1,0)))</f>
      </c>
      <c r="Y197" s="0" t="n">
        <f>IF(AND(P197="DIMENSIONES",S197="m²",COUNT(H197:J197)=3),1,0)</f>
        <v>0</v>
      </c>
      <c r="Z197" s="0" t="n">
        <f>IF(IF(ISNUMBER($E$6),AND($E$6&gt;=0,$E$6&lt;=6,$E$6=INT($E$6)),FALSE),IF(SUM(IF(ISNUMBER(F197),IF(ABS(F197-ROUND(F197,$E$6))&gt;0.00000001,1,0),0),IF(ISNUMBER(G197),IF(ABS(G197-ROUND(G197,$E$6))&gt;0.00000001,1,0),0),IF(ISNUMBER(H197),IF(ABS(H197-ROUND(H197,$E$6))&gt;0.00000001,1,0),0),IF(ISNUMBER(I197),IF(ABS(I197-ROUND(I197,$E$6))&gt;0.00000001,1,0),0),IF(ISNUMBER(J197),IF(ABS(J197-ROUND(J197,$E$6))&gt;0.00000001,1,0),0),IF(ISNUMBER(M197),IF(ABS(M197-ROUND(M197,$E$6))&gt;0.00000001,1,0),0))&gt;0,1,0),0)</f>
        <v>0</v>
      </c>
      <c r="AA197" s="0" t="n">
        <f>IF(COUNTA(B197:L197)=0,0,IF(OR(AND(ISNUMBER(F197),F197&lt;0),AND(U197=1,OR(SUM(IF(ISNUMBER(G197),IF(G197=0,1,0),0),IF(ISNUMBER(H197),IF(H197=0,1,0),0),IF(ISNUMBER(I197),IF(I197=0,1,0),0),IF(ISNUMBER(J197),IF(J197=0,1,0),0))&gt;0,COUNTIFS(G197:J197,"&lt;0")&gt;0)),AND(P197="DIMENSIONES",U197=1,OR(AND(S197="m",COUNT(H197:J197)&lt;&gt;1),AND(S197="m²",COUNT(H197:J197)&lt;&gt;2,Y197=0),AND(S197="m³",COUNT(H197:J197)&lt;&gt;3),AND(S197="ud",COUNT(H197:J197)&gt;0))),AND(P197="DIRECTA",OR(S197="m",S197="m²",S197="m³"))),1,0))</f>
        <v>0</v>
      </c>
      <c r="AB197" s="0">
        <f>IF(LEN(TRIM(E197&amp;""))&gt;0,E197,IF(R197&gt;0,INDEX($E$13:$E$512,R197),""))</f>
      </c>
      <c r="AC197" s="0">
        <f>UPPER(SUBSTITUTE(SUBSTITUTE(SUBSTITUTE(SUBSTITUTE(SUBSTITUTE(TRIM(AB197),"²","2"),"³","3"),"^",""),".","")," ",""))</f>
      </c>
    </row>
    <row r="198" ht="35" customHeight="1">
      <c r="B198" s="35"/>
      <c r="C198" s="35"/>
      <c r="D198" s="37"/>
      <c r="E198" s="35"/>
      <c r="F198" s="38"/>
      <c r="G198" s="38"/>
      <c r="H198" s="38"/>
      <c r="I198" s="38"/>
      <c r="J198" s="38"/>
      <c r="K198" s="35"/>
      <c r="L198" s="35"/>
      <c r="M198" s="39">
        <f>IF(U198&lt;&gt;1,"",IF(P198="DIRECTA",G198,IF(ISNUMBER(G198),G198,1)*IF(ISNUMBER(H198),H198,1)*IF(ISNUMBER(I198),I198,1)*IF(ISNUMBER(J198),J198,1)))</f>
      </c>
      <c r="N198" s="30">
        <f>IF(COUNTA(B198:L198)=0,"",IF(X198=0,IF(P198="CABECERA","VERDE · Fila descriptiva; la suma usa las líneas del ID","VERDE · Datos numéricos interpretables"),IF(X198=2,"ROJO · ","ÁMBAR · ")&amp;IF(NOT(IF(ISNUMBER($E$6),AND($E$6&gt;=0,$E$6&lt;=6,$E$6=INT($E$6)),FALSE)),"Indicamos entre 0 y 6 decimales en E6. ","")&amp;IF(O198=0,"Falta un ID numérico. ","")&amp;IF(R198=0,"Faltan capítulo, código, unidad o total numérico del ID. ","")&amp;IF(T198&gt;0,"Los datos o el total del ID se contradicen. ","")&amp;IF(AND(P198&lt;&gt;"DIMENSIONES",P198&lt;&gt;"DIRECTA",P198&lt;&gt;"SIN LÍNEAS",P198&lt;&gt;"CABECERA"),"Tipo de fila no reconocido. ","")&amp;IF(AND(OR(P198="SIN LÍNEAS",P198="CABECERA"),COUNTA(G198:J198)&gt;0),"La fila dice que no mide, pero contiene medidas. ","")&amp;IF(AND(OR(P198="DIRECTA",P198="DIMENSIONES"),U198=0),"Línea incompleta o con medidas no numéricas. ","")&amp;IF(P198="SIN LÍNEAS","No constan medidas de esta fila. ","")&amp;IF(Y198&gt;0,"Parece m³: tres dimensiones bajo m². ","")&amp;IF(AND(AB198&lt;&gt;"",SUMPRODUCT(--('LÉEME'!$B$65:$B$86=AC198))&lt;&gt;1),"Revisamos el significado de la unidad. ","")&amp;IF(Z198&gt;0,"Más precisión que los decimales indicados: cotejamos el original. ","")&amp;IF(AA198&gt;0,"Revisamos dimensiones, cantidad directa, ceros o deducción. ","")))</f>
      </c>
      <c r="O198" s="0" t="n">
        <f>IF(ISNUMBER(K198),IF(AND(K198&gt;0,K198=INT(K198),K198&lt;=999999),K198,0),0)</f>
        <v>0</v>
      </c>
      <c r="P198" s="0">
        <f>IF(COUNTA(B198:L198)=0,"",IF(L198="",IF(COUNTA(G198:J198)&gt;0,"DIMENSIONES","SIN LÍNEAS"),UPPER(TRIM(L198))))</f>
      </c>
      <c r="Q198" s="0">
        <f>IF(AND(O198&gt;0,LEN(TRIM(B198&amp;""))&gt;0,LEN(TRIM(C198&amp;""))&gt;0,LEN(TRIM(E198&amp;""))&gt;0,ISNUMBER(F198)),O198,"")</f>
      </c>
      <c r="R198" s="0" t="n">
        <f>IF(O198=0,0,IF(COUNTIFS($Q$13:$Q$512,O198)&gt;0,MATCH(O198,$Q$13:$Q$512,0),0))</f>
        <v>0</v>
      </c>
      <c r="S198" s="0">
        <f>IF(AB198="","",IF(SUMPRODUCT(--('LÉEME'!$B$65:$B$86=AC198))=1,INDEX('LÉEME'!$C$65:$C$86,MATCH(AC198,'LÉEME'!$B$65:$B$86,0)),UPPER(TRIM(AB198))))</f>
      </c>
      <c r="T198" s="0" t="n">
        <f>IF(R198=0,0,IF(OR(AND(LEN(TRIM(B198&amp;""))&gt;0,UPPER(TRIM(B198&amp;""))&lt;&gt;UPPER(TRIM(INDEX($B$13:$B$512,R198)&amp;""))),AND(LEN(TRIM(C198&amp;""))&gt;0,UPPER(TRIM(C198&amp;""))&lt;&gt;UPPER(TRIM(INDEX($C$13:$C$512,R198)&amp;""))),AND(LEN(TRIM(E198&amp;""))&gt;0,S198&lt;&gt;INDEX($S$13:$S$512,R198)),AND(F198&lt;&gt;"",NOT(ISNUMBER(F198)))),1,IF(ISNUMBER(F198),IF(ABS(F198-INDEX($F$13:$F$512,R198))&gt;0.00000001,1,0),0)))</f>
        <v>0</v>
      </c>
      <c r="U198" s="0" t="n">
        <f>IF(P198="DIRECTA",IF(AND(ISNUMBER(G198),COUNTA(H198:J198)=0),1,0),IF(P198="DIMENSIONES",IF(AND(COUNT(G198:J198)&gt;0,COUNTA(G198:J198)=COUNT(G198:J198)),1,0),0))</f>
        <v>0</v>
      </c>
      <c r="V198" s="0" t="n">
        <f>IF(O198=0,0,IF(COUNTIFS($O$13:O198,O198)=1,1,0))</f>
        <v>0</v>
      </c>
      <c r="W198" s="0">
        <f>IF(V198=1,COUNTIFS($V$13:V198,1),"")</f>
      </c>
      <c r="X198" s="0">
        <f>IF(COUNTA(B198:L198)=0,"",IF(OR(NOT(IF(ISNUMBER($E$6),AND($E$6&gt;=0,$E$6&lt;=6,$E$6=INT($E$6)),FALSE)),O198=0,R198=0,T198&gt;0,AND(P198&lt;&gt;"DIMENSIONES",P198&lt;&gt;"DIRECTA",P198&lt;&gt;"SIN LÍNEAS",P198&lt;&gt;"CABECERA"),AND(OR(P198="DIRECTA",P198="DIMENSIONES"),U198=0),AND(OR(P198="SIN LÍNEAS",P198="CABECERA"),COUNTA(G198:J198)&gt;0)),2,IF(OR(P198="SIN LÍNEAS",Y198&gt;0,Z198&gt;0,AA198&gt;0,SUMPRODUCT(--('LÉEME'!$B$65:$B$86=AC198))&lt;&gt;1),1,0)))</f>
      </c>
      <c r="Y198" s="0" t="n">
        <f>IF(AND(P198="DIMENSIONES",S198="m²",COUNT(H198:J198)=3),1,0)</f>
        <v>0</v>
      </c>
      <c r="Z198" s="0" t="n">
        <f>IF(IF(ISNUMBER($E$6),AND($E$6&gt;=0,$E$6&lt;=6,$E$6=INT($E$6)),FALSE),IF(SUM(IF(ISNUMBER(F198),IF(ABS(F198-ROUND(F198,$E$6))&gt;0.00000001,1,0),0),IF(ISNUMBER(G198),IF(ABS(G198-ROUND(G198,$E$6))&gt;0.00000001,1,0),0),IF(ISNUMBER(H198),IF(ABS(H198-ROUND(H198,$E$6))&gt;0.00000001,1,0),0),IF(ISNUMBER(I198),IF(ABS(I198-ROUND(I198,$E$6))&gt;0.00000001,1,0),0),IF(ISNUMBER(J198),IF(ABS(J198-ROUND(J198,$E$6))&gt;0.00000001,1,0),0),IF(ISNUMBER(M198),IF(ABS(M198-ROUND(M198,$E$6))&gt;0.00000001,1,0),0))&gt;0,1,0),0)</f>
        <v>0</v>
      </c>
      <c r="AA198" s="0" t="n">
        <f>IF(COUNTA(B198:L198)=0,0,IF(OR(AND(ISNUMBER(F198),F198&lt;0),AND(U198=1,OR(SUM(IF(ISNUMBER(G198),IF(G198=0,1,0),0),IF(ISNUMBER(H198),IF(H198=0,1,0),0),IF(ISNUMBER(I198),IF(I198=0,1,0),0),IF(ISNUMBER(J198),IF(J198=0,1,0),0))&gt;0,COUNTIFS(G198:J198,"&lt;0")&gt;0)),AND(P198="DIMENSIONES",U198=1,OR(AND(S198="m",COUNT(H198:J198)&lt;&gt;1),AND(S198="m²",COUNT(H198:J198)&lt;&gt;2,Y198=0),AND(S198="m³",COUNT(H198:J198)&lt;&gt;3),AND(S198="ud",COUNT(H198:J198)&gt;0))),AND(P198="DIRECTA",OR(S198="m",S198="m²",S198="m³"))),1,0))</f>
        <v>0</v>
      </c>
      <c r="AB198" s="0">
        <f>IF(LEN(TRIM(E198&amp;""))&gt;0,E198,IF(R198&gt;0,INDEX($E$13:$E$512,R198),""))</f>
      </c>
      <c r="AC198" s="0">
        <f>UPPER(SUBSTITUTE(SUBSTITUTE(SUBSTITUTE(SUBSTITUTE(SUBSTITUTE(TRIM(AB198),"²","2"),"³","3"),"^",""),".","")," ",""))</f>
      </c>
    </row>
    <row r="199" ht="35" customHeight="1">
      <c r="B199" s="35"/>
      <c r="C199" s="35"/>
      <c r="D199" s="37"/>
      <c r="E199" s="35"/>
      <c r="F199" s="38"/>
      <c r="G199" s="38"/>
      <c r="H199" s="38"/>
      <c r="I199" s="38"/>
      <c r="J199" s="38"/>
      <c r="K199" s="35"/>
      <c r="L199" s="35"/>
      <c r="M199" s="39">
        <f>IF(U199&lt;&gt;1,"",IF(P199="DIRECTA",G199,IF(ISNUMBER(G199),G199,1)*IF(ISNUMBER(H199),H199,1)*IF(ISNUMBER(I199),I199,1)*IF(ISNUMBER(J199),J199,1)))</f>
      </c>
      <c r="N199" s="30">
        <f>IF(COUNTA(B199:L199)=0,"",IF(X199=0,IF(P199="CABECERA","VERDE · Fila descriptiva; la suma usa las líneas del ID","VERDE · Datos numéricos interpretables"),IF(X199=2,"ROJO · ","ÁMBAR · ")&amp;IF(NOT(IF(ISNUMBER($E$6),AND($E$6&gt;=0,$E$6&lt;=6,$E$6=INT($E$6)),FALSE)),"Indicamos entre 0 y 6 decimales en E6. ","")&amp;IF(O199=0,"Falta un ID numérico. ","")&amp;IF(R199=0,"Faltan capítulo, código, unidad o total numérico del ID. ","")&amp;IF(T199&gt;0,"Los datos o el total del ID se contradicen. ","")&amp;IF(AND(P199&lt;&gt;"DIMENSIONES",P199&lt;&gt;"DIRECTA",P199&lt;&gt;"SIN LÍNEAS",P199&lt;&gt;"CABECERA"),"Tipo de fila no reconocido. ","")&amp;IF(AND(OR(P199="SIN LÍNEAS",P199="CABECERA"),COUNTA(G199:J199)&gt;0),"La fila dice que no mide, pero contiene medidas. ","")&amp;IF(AND(OR(P199="DIRECTA",P199="DIMENSIONES"),U199=0),"Línea incompleta o con medidas no numéricas. ","")&amp;IF(P199="SIN LÍNEAS","No constan medidas de esta fila. ","")&amp;IF(Y199&gt;0,"Parece m³: tres dimensiones bajo m². ","")&amp;IF(AND(AB199&lt;&gt;"",SUMPRODUCT(--('LÉEME'!$B$65:$B$86=AC199))&lt;&gt;1),"Revisamos el significado de la unidad. ","")&amp;IF(Z199&gt;0,"Más precisión que los decimales indicados: cotejamos el original. ","")&amp;IF(AA199&gt;0,"Revisamos dimensiones, cantidad directa, ceros o deducción. ","")))</f>
      </c>
      <c r="O199" s="0" t="n">
        <f>IF(ISNUMBER(K199),IF(AND(K199&gt;0,K199=INT(K199),K199&lt;=999999),K199,0),0)</f>
        <v>0</v>
      </c>
      <c r="P199" s="0">
        <f>IF(COUNTA(B199:L199)=0,"",IF(L199="",IF(COUNTA(G199:J199)&gt;0,"DIMENSIONES","SIN LÍNEAS"),UPPER(TRIM(L199))))</f>
      </c>
      <c r="Q199" s="0">
        <f>IF(AND(O199&gt;0,LEN(TRIM(B199&amp;""))&gt;0,LEN(TRIM(C199&amp;""))&gt;0,LEN(TRIM(E199&amp;""))&gt;0,ISNUMBER(F199)),O199,"")</f>
      </c>
      <c r="R199" s="0" t="n">
        <f>IF(O199=0,0,IF(COUNTIFS($Q$13:$Q$512,O199)&gt;0,MATCH(O199,$Q$13:$Q$512,0),0))</f>
        <v>0</v>
      </c>
      <c r="S199" s="0">
        <f>IF(AB199="","",IF(SUMPRODUCT(--('LÉEME'!$B$65:$B$86=AC199))=1,INDEX('LÉEME'!$C$65:$C$86,MATCH(AC199,'LÉEME'!$B$65:$B$86,0)),UPPER(TRIM(AB199))))</f>
      </c>
      <c r="T199" s="0" t="n">
        <f>IF(R199=0,0,IF(OR(AND(LEN(TRIM(B199&amp;""))&gt;0,UPPER(TRIM(B199&amp;""))&lt;&gt;UPPER(TRIM(INDEX($B$13:$B$512,R199)&amp;""))),AND(LEN(TRIM(C199&amp;""))&gt;0,UPPER(TRIM(C199&amp;""))&lt;&gt;UPPER(TRIM(INDEX($C$13:$C$512,R199)&amp;""))),AND(LEN(TRIM(E199&amp;""))&gt;0,S199&lt;&gt;INDEX($S$13:$S$512,R199)),AND(F199&lt;&gt;"",NOT(ISNUMBER(F199)))),1,IF(ISNUMBER(F199),IF(ABS(F199-INDEX($F$13:$F$512,R199))&gt;0.00000001,1,0),0)))</f>
        <v>0</v>
      </c>
      <c r="U199" s="0" t="n">
        <f>IF(P199="DIRECTA",IF(AND(ISNUMBER(G199),COUNTA(H199:J199)=0),1,0),IF(P199="DIMENSIONES",IF(AND(COUNT(G199:J199)&gt;0,COUNTA(G199:J199)=COUNT(G199:J199)),1,0),0))</f>
        <v>0</v>
      </c>
      <c r="V199" s="0" t="n">
        <f>IF(O199=0,0,IF(COUNTIFS($O$13:O199,O199)=1,1,0))</f>
        <v>0</v>
      </c>
      <c r="W199" s="0">
        <f>IF(V199=1,COUNTIFS($V$13:V199,1),"")</f>
      </c>
      <c r="X199" s="0">
        <f>IF(COUNTA(B199:L199)=0,"",IF(OR(NOT(IF(ISNUMBER($E$6),AND($E$6&gt;=0,$E$6&lt;=6,$E$6=INT($E$6)),FALSE)),O199=0,R199=0,T199&gt;0,AND(P199&lt;&gt;"DIMENSIONES",P199&lt;&gt;"DIRECTA",P199&lt;&gt;"SIN LÍNEAS",P199&lt;&gt;"CABECERA"),AND(OR(P199="DIRECTA",P199="DIMENSIONES"),U199=0),AND(OR(P199="SIN LÍNEAS",P199="CABECERA"),COUNTA(G199:J199)&gt;0)),2,IF(OR(P199="SIN LÍNEAS",Y199&gt;0,Z199&gt;0,AA199&gt;0,SUMPRODUCT(--('LÉEME'!$B$65:$B$86=AC199))&lt;&gt;1),1,0)))</f>
      </c>
      <c r="Y199" s="0" t="n">
        <f>IF(AND(P199="DIMENSIONES",S199="m²",COUNT(H199:J199)=3),1,0)</f>
        <v>0</v>
      </c>
      <c r="Z199" s="0" t="n">
        <f>IF(IF(ISNUMBER($E$6),AND($E$6&gt;=0,$E$6&lt;=6,$E$6=INT($E$6)),FALSE),IF(SUM(IF(ISNUMBER(F199),IF(ABS(F199-ROUND(F199,$E$6))&gt;0.00000001,1,0),0),IF(ISNUMBER(G199),IF(ABS(G199-ROUND(G199,$E$6))&gt;0.00000001,1,0),0),IF(ISNUMBER(H199),IF(ABS(H199-ROUND(H199,$E$6))&gt;0.00000001,1,0),0),IF(ISNUMBER(I199),IF(ABS(I199-ROUND(I199,$E$6))&gt;0.00000001,1,0),0),IF(ISNUMBER(J199),IF(ABS(J199-ROUND(J199,$E$6))&gt;0.00000001,1,0),0),IF(ISNUMBER(M199),IF(ABS(M199-ROUND(M199,$E$6))&gt;0.00000001,1,0),0))&gt;0,1,0),0)</f>
        <v>0</v>
      </c>
      <c r="AA199" s="0" t="n">
        <f>IF(COUNTA(B199:L199)=0,0,IF(OR(AND(ISNUMBER(F199),F199&lt;0),AND(U199=1,OR(SUM(IF(ISNUMBER(G199),IF(G199=0,1,0),0),IF(ISNUMBER(H199),IF(H199=0,1,0),0),IF(ISNUMBER(I199),IF(I199=0,1,0),0),IF(ISNUMBER(J199),IF(J199=0,1,0),0))&gt;0,COUNTIFS(G199:J199,"&lt;0")&gt;0)),AND(P199="DIMENSIONES",U199=1,OR(AND(S199="m",COUNT(H199:J199)&lt;&gt;1),AND(S199="m²",COUNT(H199:J199)&lt;&gt;2,Y199=0),AND(S199="m³",COUNT(H199:J199)&lt;&gt;3),AND(S199="ud",COUNT(H199:J199)&gt;0))),AND(P199="DIRECTA",OR(S199="m",S199="m²",S199="m³"))),1,0))</f>
        <v>0</v>
      </c>
      <c r="AB199" s="0">
        <f>IF(LEN(TRIM(E199&amp;""))&gt;0,E199,IF(R199&gt;0,INDEX($E$13:$E$512,R199),""))</f>
      </c>
      <c r="AC199" s="0">
        <f>UPPER(SUBSTITUTE(SUBSTITUTE(SUBSTITUTE(SUBSTITUTE(SUBSTITUTE(TRIM(AB199),"²","2"),"³","3"),"^",""),".","")," ",""))</f>
      </c>
    </row>
    <row r="200" ht="35" customHeight="1">
      <c r="B200" s="35"/>
      <c r="C200" s="35"/>
      <c r="D200" s="37"/>
      <c r="E200" s="35"/>
      <c r="F200" s="38"/>
      <c r="G200" s="38"/>
      <c r="H200" s="38"/>
      <c r="I200" s="38"/>
      <c r="J200" s="38"/>
      <c r="K200" s="35"/>
      <c r="L200" s="35"/>
      <c r="M200" s="39">
        <f>IF(U200&lt;&gt;1,"",IF(P200="DIRECTA",G200,IF(ISNUMBER(G200),G200,1)*IF(ISNUMBER(H200),H200,1)*IF(ISNUMBER(I200),I200,1)*IF(ISNUMBER(J200),J200,1)))</f>
      </c>
      <c r="N200" s="30">
        <f>IF(COUNTA(B200:L200)=0,"",IF(X200=0,IF(P200="CABECERA","VERDE · Fila descriptiva; la suma usa las líneas del ID","VERDE · Datos numéricos interpretables"),IF(X200=2,"ROJO · ","ÁMBAR · ")&amp;IF(NOT(IF(ISNUMBER($E$6),AND($E$6&gt;=0,$E$6&lt;=6,$E$6=INT($E$6)),FALSE)),"Indicamos entre 0 y 6 decimales en E6. ","")&amp;IF(O200=0,"Falta un ID numérico. ","")&amp;IF(R200=0,"Faltan capítulo, código, unidad o total numérico del ID. ","")&amp;IF(T200&gt;0,"Los datos o el total del ID se contradicen. ","")&amp;IF(AND(P200&lt;&gt;"DIMENSIONES",P200&lt;&gt;"DIRECTA",P200&lt;&gt;"SIN LÍNEAS",P200&lt;&gt;"CABECERA"),"Tipo de fila no reconocido. ","")&amp;IF(AND(OR(P200="SIN LÍNEAS",P200="CABECERA"),COUNTA(G200:J200)&gt;0),"La fila dice que no mide, pero contiene medidas. ","")&amp;IF(AND(OR(P200="DIRECTA",P200="DIMENSIONES"),U200=0),"Línea incompleta o con medidas no numéricas. ","")&amp;IF(P200="SIN LÍNEAS","No constan medidas de esta fila. ","")&amp;IF(Y200&gt;0,"Parece m³: tres dimensiones bajo m². ","")&amp;IF(AND(AB200&lt;&gt;"",SUMPRODUCT(--('LÉEME'!$B$65:$B$86=AC200))&lt;&gt;1),"Revisamos el significado de la unidad. ","")&amp;IF(Z200&gt;0,"Más precisión que los decimales indicados: cotejamos el original. ","")&amp;IF(AA200&gt;0,"Revisamos dimensiones, cantidad directa, ceros o deducción. ","")))</f>
      </c>
      <c r="O200" s="0" t="n">
        <f>IF(ISNUMBER(K200),IF(AND(K200&gt;0,K200=INT(K200),K200&lt;=999999),K200,0),0)</f>
        <v>0</v>
      </c>
      <c r="P200" s="0">
        <f>IF(COUNTA(B200:L200)=0,"",IF(L200="",IF(COUNTA(G200:J200)&gt;0,"DIMENSIONES","SIN LÍNEAS"),UPPER(TRIM(L200))))</f>
      </c>
      <c r="Q200" s="0">
        <f>IF(AND(O200&gt;0,LEN(TRIM(B200&amp;""))&gt;0,LEN(TRIM(C200&amp;""))&gt;0,LEN(TRIM(E200&amp;""))&gt;0,ISNUMBER(F200)),O200,"")</f>
      </c>
      <c r="R200" s="0" t="n">
        <f>IF(O200=0,0,IF(COUNTIFS($Q$13:$Q$512,O200)&gt;0,MATCH(O200,$Q$13:$Q$512,0),0))</f>
        <v>0</v>
      </c>
      <c r="S200" s="0">
        <f>IF(AB200="","",IF(SUMPRODUCT(--('LÉEME'!$B$65:$B$86=AC200))=1,INDEX('LÉEME'!$C$65:$C$86,MATCH(AC200,'LÉEME'!$B$65:$B$86,0)),UPPER(TRIM(AB200))))</f>
      </c>
      <c r="T200" s="0" t="n">
        <f>IF(R200=0,0,IF(OR(AND(LEN(TRIM(B200&amp;""))&gt;0,UPPER(TRIM(B200&amp;""))&lt;&gt;UPPER(TRIM(INDEX($B$13:$B$512,R200)&amp;""))),AND(LEN(TRIM(C200&amp;""))&gt;0,UPPER(TRIM(C200&amp;""))&lt;&gt;UPPER(TRIM(INDEX($C$13:$C$512,R200)&amp;""))),AND(LEN(TRIM(E200&amp;""))&gt;0,S200&lt;&gt;INDEX($S$13:$S$512,R200)),AND(F200&lt;&gt;"",NOT(ISNUMBER(F200)))),1,IF(ISNUMBER(F200),IF(ABS(F200-INDEX($F$13:$F$512,R200))&gt;0.00000001,1,0),0)))</f>
        <v>0</v>
      </c>
      <c r="U200" s="0" t="n">
        <f>IF(P200="DIRECTA",IF(AND(ISNUMBER(G200),COUNTA(H200:J200)=0),1,0),IF(P200="DIMENSIONES",IF(AND(COUNT(G200:J200)&gt;0,COUNTA(G200:J200)=COUNT(G200:J200)),1,0),0))</f>
        <v>0</v>
      </c>
      <c r="V200" s="0" t="n">
        <f>IF(O200=0,0,IF(COUNTIFS($O$13:O200,O200)=1,1,0))</f>
        <v>0</v>
      </c>
      <c r="W200" s="0">
        <f>IF(V200=1,COUNTIFS($V$13:V200,1),"")</f>
      </c>
      <c r="X200" s="0">
        <f>IF(COUNTA(B200:L200)=0,"",IF(OR(NOT(IF(ISNUMBER($E$6),AND($E$6&gt;=0,$E$6&lt;=6,$E$6=INT($E$6)),FALSE)),O200=0,R200=0,T200&gt;0,AND(P200&lt;&gt;"DIMENSIONES",P200&lt;&gt;"DIRECTA",P200&lt;&gt;"SIN LÍNEAS",P200&lt;&gt;"CABECERA"),AND(OR(P200="DIRECTA",P200="DIMENSIONES"),U200=0),AND(OR(P200="SIN LÍNEAS",P200="CABECERA"),COUNTA(G200:J200)&gt;0)),2,IF(OR(P200="SIN LÍNEAS",Y200&gt;0,Z200&gt;0,AA200&gt;0,SUMPRODUCT(--('LÉEME'!$B$65:$B$86=AC200))&lt;&gt;1),1,0)))</f>
      </c>
      <c r="Y200" s="0" t="n">
        <f>IF(AND(P200="DIMENSIONES",S200="m²",COUNT(H200:J200)=3),1,0)</f>
        <v>0</v>
      </c>
      <c r="Z200" s="0" t="n">
        <f>IF(IF(ISNUMBER($E$6),AND($E$6&gt;=0,$E$6&lt;=6,$E$6=INT($E$6)),FALSE),IF(SUM(IF(ISNUMBER(F200),IF(ABS(F200-ROUND(F200,$E$6))&gt;0.00000001,1,0),0),IF(ISNUMBER(G200),IF(ABS(G200-ROUND(G200,$E$6))&gt;0.00000001,1,0),0),IF(ISNUMBER(H200),IF(ABS(H200-ROUND(H200,$E$6))&gt;0.00000001,1,0),0),IF(ISNUMBER(I200),IF(ABS(I200-ROUND(I200,$E$6))&gt;0.00000001,1,0),0),IF(ISNUMBER(J200),IF(ABS(J200-ROUND(J200,$E$6))&gt;0.00000001,1,0),0),IF(ISNUMBER(M200),IF(ABS(M200-ROUND(M200,$E$6))&gt;0.00000001,1,0),0))&gt;0,1,0),0)</f>
        <v>0</v>
      </c>
      <c r="AA200" s="0" t="n">
        <f>IF(COUNTA(B200:L200)=0,0,IF(OR(AND(ISNUMBER(F200),F200&lt;0),AND(U200=1,OR(SUM(IF(ISNUMBER(G200),IF(G200=0,1,0),0),IF(ISNUMBER(H200),IF(H200=0,1,0),0),IF(ISNUMBER(I200),IF(I200=0,1,0),0),IF(ISNUMBER(J200),IF(J200=0,1,0),0))&gt;0,COUNTIFS(G200:J200,"&lt;0")&gt;0)),AND(P200="DIMENSIONES",U200=1,OR(AND(S200="m",COUNT(H200:J200)&lt;&gt;1),AND(S200="m²",COUNT(H200:J200)&lt;&gt;2,Y200=0),AND(S200="m³",COUNT(H200:J200)&lt;&gt;3),AND(S200="ud",COUNT(H200:J200)&gt;0))),AND(P200="DIRECTA",OR(S200="m",S200="m²",S200="m³"))),1,0))</f>
        <v>0</v>
      </c>
      <c r="AB200" s="0">
        <f>IF(LEN(TRIM(E200&amp;""))&gt;0,E200,IF(R200&gt;0,INDEX($E$13:$E$512,R200),""))</f>
      </c>
      <c r="AC200" s="0">
        <f>UPPER(SUBSTITUTE(SUBSTITUTE(SUBSTITUTE(SUBSTITUTE(SUBSTITUTE(TRIM(AB200),"²","2"),"³","3"),"^",""),".","")," ",""))</f>
      </c>
    </row>
    <row r="201" ht="35" customHeight="1">
      <c r="B201" s="35"/>
      <c r="C201" s="35"/>
      <c r="D201" s="37"/>
      <c r="E201" s="35"/>
      <c r="F201" s="38"/>
      <c r="G201" s="38"/>
      <c r="H201" s="38"/>
      <c r="I201" s="38"/>
      <c r="J201" s="38"/>
      <c r="K201" s="35"/>
      <c r="L201" s="35"/>
      <c r="M201" s="39">
        <f>IF(U201&lt;&gt;1,"",IF(P201="DIRECTA",G201,IF(ISNUMBER(G201),G201,1)*IF(ISNUMBER(H201),H201,1)*IF(ISNUMBER(I201),I201,1)*IF(ISNUMBER(J201),J201,1)))</f>
      </c>
      <c r="N201" s="30">
        <f>IF(COUNTA(B201:L201)=0,"",IF(X201=0,IF(P201="CABECERA","VERDE · Fila descriptiva; la suma usa las líneas del ID","VERDE · Datos numéricos interpretables"),IF(X201=2,"ROJO · ","ÁMBAR · ")&amp;IF(NOT(IF(ISNUMBER($E$6),AND($E$6&gt;=0,$E$6&lt;=6,$E$6=INT($E$6)),FALSE)),"Indicamos entre 0 y 6 decimales en E6. ","")&amp;IF(O201=0,"Falta un ID numérico. ","")&amp;IF(R201=0,"Faltan capítulo, código, unidad o total numérico del ID. ","")&amp;IF(T201&gt;0,"Los datos o el total del ID se contradicen. ","")&amp;IF(AND(P201&lt;&gt;"DIMENSIONES",P201&lt;&gt;"DIRECTA",P201&lt;&gt;"SIN LÍNEAS",P201&lt;&gt;"CABECERA"),"Tipo de fila no reconocido. ","")&amp;IF(AND(OR(P201="SIN LÍNEAS",P201="CABECERA"),COUNTA(G201:J201)&gt;0),"La fila dice que no mide, pero contiene medidas. ","")&amp;IF(AND(OR(P201="DIRECTA",P201="DIMENSIONES"),U201=0),"Línea incompleta o con medidas no numéricas. ","")&amp;IF(P201="SIN LÍNEAS","No constan medidas de esta fila. ","")&amp;IF(Y201&gt;0,"Parece m³: tres dimensiones bajo m². ","")&amp;IF(AND(AB201&lt;&gt;"",SUMPRODUCT(--('LÉEME'!$B$65:$B$86=AC201))&lt;&gt;1),"Revisamos el significado de la unidad. ","")&amp;IF(Z201&gt;0,"Más precisión que los decimales indicados: cotejamos el original. ","")&amp;IF(AA201&gt;0,"Revisamos dimensiones, cantidad directa, ceros o deducción. ","")))</f>
      </c>
      <c r="O201" s="0" t="n">
        <f>IF(ISNUMBER(K201),IF(AND(K201&gt;0,K201=INT(K201),K201&lt;=999999),K201,0),0)</f>
        <v>0</v>
      </c>
      <c r="P201" s="0">
        <f>IF(COUNTA(B201:L201)=0,"",IF(L201="",IF(COUNTA(G201:J201)&gt;0,"DIMENSIONES","SIN LÍNEAS"),UPPER(TRIM(L201))))</f>
      </c>
      <c r="Q201" s="0">
        <f>IF(AND(O201&gt;0,LEN(TRIM(B201&amp;""))&gt;0,LEN(TRIM(C201&amp;""))&gt;0,LEN(TRIM(E201&amp;""))&gt;0,ISNUMBER(F201)),O201,"")</f>
      </c>
      <c r="R201" s="0" t="n">
        <f>IF(O201=0,0,IF(COUNTIFS($Q$13:$Q$512,O201)&gt;0,MATCH(O201,$Q$13:$Q$512,0),0))</f>
        <v>0</v>
      </c>
      <c r="S201" s="0">
        <f>IF(AB201="","",IF(SUMPRODUCT(--('LÉEME'!$B$65:$B$86=AC201))=1,INDEX('LÉEME'!$C$65:$C$86,MATCH(AC201,'LÉEME'!$B$65:$B$86,0)),UPPER(TRIM(AB201))))</f>
      </c>
      <c r="T201" s="0" t="n">
        <f>IF(R201=0,0,IF(OR(AND(LEN(TRIM(B201&amp;""))&gt;0,UPPER(TRIM(B201&amp;""))&lt;&gt;UPPER(TRIM(INDEX($B$13:$B$512,R201)&amp;""))),AND(LEN(TRIM(C201&amp;""))&gt;0,UPPER(TRIM(C201&amp;""))&lt;&gt;UPPER(TRIM(INDEX($C$13:$C$512,R201)&amp;""))),AND(LEN(TRIM(E201&amp;""))&gt;0,S201&lt;&gt;INDEX($S$13:$S$512,R201)),AND(F201&lt;&gt;"",NOT(ISNUMBER(F201)))),1,IF(ISNUMBER(F201),IF(ABS(F201-INDEX($F$13:$F$512,R201))&gt;0.00000001,1,0),0)))</f>
        <v>0</v>
      </c>
      <c r="U201" s="0" t="n">
        <f>IF(P201="DIRECTA",IF(AND(ISNUMBER(G201),COUNTA(H201:J201)=0),1,0),IF(P201="DIMENSIONES",IF(AND(COUNT(G201:J201)&gt;0,COUNTA(G201:J201)=COUNT(G201:J201)),1,0),0))</f>
        <v>0</v>
      </c>
      <c r="V201" s="0" t="n">
        <f>IF(O201=0,0,IF(COUNTIFS($O$13:O201,O201)=1,1,0))</f>
        <v>0</v>
      </c>
      <c r="W201" s="0">
        <f>IF(V201=1,COUNTIFS($V$13:V201,1),"")</f>
      </c>
      <c r="X201" s="0">
        <f>IF(COUNTA(B201:L201)=0,"",IF(OR(NOT(IF(ISNUMBER($E$6),AND($E$6&gt;=0,$E$6&lt;=6,$E$6=INT($E$6)),FALSE)),O201=0,R201=0,T201&gt;0,AND(P201&lt;&gt;"DIMENSIONES",P201&lt;&gt;"DIRECTA",P201&lt;&gt;"SIN LÍNEAS",P201&lt;&gt;"CABECERA"),AND(OR(P201="DIRECTA",P201="DIMENSIONES"),U201=0),AND(OR(P201="SIN LÍNEAS",P201="CABECERA"),COUNTA(G201:J201)&gt;0)),2,IF(OR(P201="SIN LÍNEAS",Y201&gt;0,Z201&gt;0,AA201&gt;0,SUMPRODUCT(--('LÉEME'!$B$65:$B$86=AC201))&lt;&gt;1),1,0)))</f>
      </c>
      <c r="Y201" s="0" t="n">
        <f>IF(AND(P201="DIMENSIONES",S201="m²",COUNT(H201:J201)=3),1,0)</f>
        <v>0</v>
      </c>
      <c r="Z201" s="0" t="n">
        <f>IF(IF(ISNUMBER($E$6),AND($E$6&gt;=0,$E$6&lt;=6,$E$6=INT($E$6)),FALSE),IF(SUM(IF(ISNUMBER(F201),IF(ABS(F201-ROUND(F201,$E$6))&gt;0.00000001,1,0),0),IF(ISNUMBER(G201),IF(ABS(G201-ROUND(G201,$E$6))&gt;0.00000001,1,0),0),IF(ISNUMBER(H201),IF(ABS(H201-ROUND(H201,$E$6))&gt;0.00000001,1,0),0),IF(ISNUMBER(I201),IF(ABS(I201-ROUND(I201,$E$6))&gt;0.00000001,1,0),0),IF(ISNUMBER(J201),IF(ABS(J201-ROUND(J201,$E$6))&gt;0.00000001,1,0),0),IF(ISNUMBER(M201),IF(ABS(M201-ROUND(M201,$E$6))&gt;0.00000001,1,0),0))&gt;0,1,0),0)</f>
        <v>0</v>
      </c>
      <c r="AA201" s="0" t="n">
        <f>IF(COUNTA(B201:L201)=0,0,IF(OR(AND(ISNUMBER(F201),F201&lt;0),AND(U201=1,OR(SUM(IF(ISNUMBER(G201),IF(G201=0,1,0),0),IF(ISNUMBER(H201),IF(H201=0,1,0),0),IF(ISNUMBER(I201),IF(I201=0,1,0),0),IF(ISNUMBER(J201),IF(J201=0,1,0),0))&gt;0,COUNTIFS(G201:J201,"&lt;0")&gt;0)),AND(P201="DIMENSIONES",U201=1,OR(AND(S201="m",COUNT(H201:J201)&lt;&gt;1),AND(S201="m²",COUNT(H201:J201)&lt;&gt;2,Y201=0),AND(S201="m³",COUNT(H201:J201)&lt;&gt;3),AND(S201="ud",COUNT(H201:J201)&gt;0))),AND(P201="DIRECTA",OR(S201="m",S201="m²",S201="m³"))),1,0))</f>
        <v>0</v>
      </c>
      <c r="AB201" s="0">
        <f>IF(LEN(TRIM(E201&amp;""))&gt;0,E201,IF(R201&gt;0,INDEX($E$13:$E$512,R201),""))</f>
      </c>
      <c r="AC201" s="0">
        <f>UPPER(SUBSTITUTE(SUBSTITUTE(SUBSTITUTE(SUBSTITUTE(SUBSTITUTE(TRIM(AB201),"²","2"),"³","3"),"^",""),".","")," ",""))</f>
      </c>
    </row>
    <row r="202" ht="35" customHeight="1">
      <c r="B202" s="35"/>
      <c r="C202" s="35"/>
      <c r="D202" s="37"/>
      <c r="E202" s="35"/>
      <c r="F202" s="38"/>
      <c r="G202" s="38"/>
      <c r="H202" s="38"/>
      <c r="I202" s="38"/>
      <c r="J202" s="38"/>
      <c r="K202" s="35"/>
      <c r="L202" s="35"/>
      <c r="M202" s="39">
        <f>IF(U202&lt;&gt;1,"",IF(P202="DIRECTA",G202,IF(ISNUMBER(G202),G202,1)*IF(ISNUMBER(H202),H202,1)*IF(ISNUMBER(I202),I202,1)*IF(ISNUMBER(J202),J202,1)))</f>
      </c>
      <c r="N202" s="30">
        <f>IF(COUNTA(B202:L202)=0,"",IF(X202=0,IF(P202="CABECERA","VERDE · Fila descriptiva; la suma usa las líneas del ID","VERDE · Datos numéricos interpretables"),IF(X202=2,"ROJO · ","ÁMBAR · ")&amp;IF(NOT(IF(ISNUMBER($E$6),AND($E$6&gt;=0,$E$6&lt;=6,$E$6=INT($E$6)),FALSE)),"Indicamos entre 0 y 6 decimales en E6. ","")&amp;IF(O202=0,"Falta un ID numérico. ","")&amp;IF(R202=0,"Faltan capítulo, código, unidad o total numérico del ID. ","")&amp;IF(T202&gt;0,"Los datos o el total del ID se contradicen. ","")&amp;IF(AND(P202&lt;&gt;"DIMENSIONES",P202&lt;&gt;"DIRECTA",P202&lt;&gt;"SIN LÍNEAS",P202&lt;&gt;"CABECERA"),"Tipo de fila no reconocido. ","")&amp;IF(AND(OR(P202="SIN LÍNEAS",P202="CABECERA"),COUNTA(G202:J202)&gt;0),"La fila dice que no mide, pero contiene medidas. ","")&amp;IF(AND(OR(P202="DIRECTA",P202="DIMENSIONES"),U202=0),"Línea incompleta o con medidas no numéricas. ","")&amp;IF(P202="SIN LÍNEAS","No constan medidas de esta fila. ","")&amp;IF(Y202&gt;0,"Parece m³: tres dimensiones bajo m². ","")&amp;IF(AND(AB202&lt;&gt;"",SUMPRODUCT(--('LÉEME'!$B$65:$B$86=AC202))&lt;&gt;1),"Revisamos el significado de la unidad. ","")&amp;IF(Z202&gt;0,"Más precisión que los decimales indicados: cotejamos el original. ","")&amp;IF(AA202&gt;0,"Revisamos dimensiones, cantidad directa, ceros o deducción. ","")))</f>
      </c>
      <c r="O202" s="0" t="n">
        <f>IF(ISNUMBER(K202),IF(AND(K202&gt;0,K202=INT(K202),K202&lt;=999999),K202,0),0)</f>
        <v>0</v>
      </c>
      <c r="P202" s="0">
        <f>IF(COUNTA(B202:L202)=0,"",IF(L202="",IF(COUNTA(G202:J202)&gt;0,"DIMENSIONES","SIN LÍNEAS"),UPPER(TRIM(L202))))</f>
      </c>
      <c r="Q202" s="0">
        <f>IF(AND(O202&gt;0,LEN(TRIM(B202&amp;""))&gt;0,LEN(TRIM(C202&amp;""))&gt;0,LEN(TRIM(E202&amp;""))&gt;0,ISNUMBER(F202)),O202,"")</f>
      </c>
      <c r="R202" s="0" t="n">
        <f>IF(O202=0,0,IF(COUNTIFS($Q$13:$Q$512,O202)&gt;0,MATCH(O202,$Q$13:$Q$512,0),0))</f>
        <v>0</v>
      </c>
      <c r="S202" s="0">
        <f>IF(AB202="","",IF(SUMPRODUCT(--('LÉEME'!$B$65:$B$86=AC202))=1,INDEX('LÉEME'!$C$65:$C$86,MATCH(AC202,'LÉEME'!$B$65:$B$86,0)),UPPER(TRIM(AB202))))</f>
      </c>
      <c r="T202" s="0" t="n">
        <f>IF(R202=0,0,IF(OR(AND(LEN(TRIM(B202&amp;""))&gt;0,UPPER(TRIM(B202&amp;""))&lt;&gt;UPPER(TRIM(INDEX($B$13:$B$512,R202)&amp;""))),AND(LEN(TRIM(C202&amp;""))&gt;0,UPPER(TRIM(C202&amp;""))&lt;&gt;UPPER(TRIM(INDEX($C$13:$C$512,R202)&amp;""))),AND(LEN(TRIM(E202&amp;""))&gt;0,S202&lt;&gt;INDEX($S$13:$S$512,R202)),AND(F202&lt;&gt;"",NOT(ISNUMBER(F202)))),1,IF(ISNUMBER(F202),IF(ABS(F202-INDEX($F$13:$F$512,R202))&gt;0.00000001,1,0),0)))</f>
        <v>0</v>
      </c>
      <c r="U202" s="0" t="n">
        <f>IF(P202="DIRECTA",IF(AND(ISNUMBER(G202),COUNTA(H202:J202)=0),1,0),IF(P202="DIMENSIONES",IF(AND(COUNT(G202:J202)&gt;0,COUNTA(G202:J202)=COUNT(G202:J202)),1,0),0))</f>
        <v>0</v>
      </c>
      <c r="V202" s="0" t="n">
        <f>IF(O202=0,0,IF(COUNTIFS($O$13:O202,O202)=1,1,0))</f>
        <v>0</v>
      </c>
      <c r="W202" s="0">
        <f>IF(V202=1,COUNTIFS($V$13:V202,1),"")</f>
      </c>
      <c r="X202" s="0">
        <f>IF(COUNTA(B202:L202)=0,"",IF(OR(NOT(IF(ISNUMBER($E$6),AND($E$6&gt;=0,$E$6&lt;=6,$E$6=INT($E$6)),FALSE)),O202=0,R202=0,T202&gt;0,AND(P202&lt;&gt;"DIMENSIONES",P202&lt;&gt;"DIRECTA",P202&lt;&gt;"SIN LÍNEAS",P202&lt;&gt;"CABECERA"),AND(OR(P202="DIRECTA",P202="DIMENSIONES"),U202=0),AND(OR(P202="SIN LÍNEAS",P202="CABECERA"),COUNTA(G202:J202)&gt;0)),2,IF(OR(P202="SIN LÍNEAS",Y202&gt;0,Z202&gt;0,AA202&gt;0,SUMPRODUCT(--('LÉEME'!$B$65:$B$86=AC202))&lt;&gt;1),1,0)))</f>
      </c>
      <c r="Y202" s="0" t="n">
        <f>IF(AND(P202="DIMENSIONES",S202="m²",COUNT(H202:J202)=3),1,0)</f>
        <v>0</v>
      </c>
      <c r="Z202" s="0" t="n">
        <f>IF(IF(ISNUMBER($E$6),AND($E$6&gt;=0,$E$6&lt;=6,$E$6=INT($E$6)),FALSE),IF(SUM(IF(ISNUMBER(F202),IF(ABS(F202-ROUND(F202,$E$6))&gt;0.00000001,1,0),0),IF(ISNUMBER(G202),IF(ABS(G202-ROUND(G202,$E$6))&gt;0.00000001,1,0),0),IF(ISNUMBER(H202),IF(ABS(H202-ROUND(H202,$E$6))&gt;0.00000001,1,0),0),IF(ISNUMBER(I202),IF(ABS(I202-ROUND(I202,$E$6))&gt;0.00000001,1,0),0),IF(ISNUMBER(J202),IF(ABS(J202-ROUND(J202,$E$6))&gt;0.00000001,1,0),0),IF(ISNUMBER(M202),IF(ABS(M202-ROUND(M202,$E$6))&gt;0.00000001,1,0),0))&gt;0,1,0),0)</f>
        <v>0</v>
      </c>
      <c r="AA202" s="0" t="n">
        <f>IF(COUNTA(B202:L202)=0,0,IF(OR(AND(ISNUMBER(F202),F202&lt;0),AND(U202=1,OR(SUM(IF(ISNUMBER(G202),IF(G202=0,1,0),0),IF(ISNUMBER(H202),IF(H202=0,1,0),0),IF(ISNUMBER(I202),IF(I202=0,1,0),0),IF(ISNUMBER(J202),IF(J202=0,1,0),0))&gt;0,COUNTIFS(G202:J202,"&lt;0")&gt;0)),AND(P202="DIMENSIONES",U202=1,OR(AND(S202="m",COUNT(H202:J202)&lt;&gt;1),AND(S202="m²",COUNT(H202:J202)&lt;&gt;2,Y202=0),AND(S202="m³",COUNT(H202:J202)&lt;&gt;3),AND(S202="ud",COUNT(H202:J202)&gt;0))),AND(P202="DIRECTA",OR(S202="m",S202="m²",S202="m³"))),1,0))</f>
        <v>0</v>
      </c>
      <c r="AB202" s="0">
        <f>IF(LEN(TRIM(E202&amp;""))&gt;0,E202,IF(R202&gt;0,INDEX($E$13:$E$512,R202),""))</f>
      </c>
      <c r="AC202" s="0">
        <f>UPPER(SUBSTITUTE(SUBSTITUTE(SUBSTITUTE(SUBSTITUTE(SUBSTITUTE(TRIM(AB202),"²","2"),"³","3"),"^",""),".","")," ",""))</f>
      </c>
    </row>
    <row r="203" ht="35" customHeight="1">
      <c r="B203" s="35"/>
      <c r="C203" s="35"/>
      <c r="D203" s="37"/>
      <c r="E203" s="35"/>
      <c r="F203" s="38"/>
      <c r="G203" s="38"/>
      <c r="H203" s="38"/>
      <c r="I203" s="38"/>
      <c r="J203" s="38"/>
      <c r="K203" s="35"/>
      <c r="L203" s="35"/>
      <c r="M203" s="39">
        <f>IF(U203&lt;&gt;1,"",IF(P203="DIRECTA",G203,IF(ISNUMBER(G203),G203,1)*IF(ISNUMBER(H203),H203,1)*IF(ISNUMBER(I203),I203,1)*IF(ISNUMBER(J203),J203,1)))</f>
      </c>
      <c r="N203" s="30">
        <f>IF(COUNTA(B203:L203)=0,"",IF(X203=0,IF(P203="CABECERA","VERDE · Fila descriptiva; la suma usa las líneas del ID","VERDE · Datos numéricos interpretables"),IF(X203=2,"ROJO · ","ÁMBAR · ")&amp;IF(NOT(IF(ISNUMBER($E$6),AND($E$6&gt;=0,$E$6&lt;=6,$E$6=INT($E$6)),FALSE)),"Indicamos entre 0 y 6 decimales en E6. ","")&amp;IF(O203=0,"Falta un ID numérico. ","")&amp;IF(R203=0,"Faltan capítulo, código, unidad o total numérico del ID. ","")&amp;IF(T203&gt;0,"Los datos o el total del ID se contradicen. ","")&amp;IF(AND(P203&lt;&gt;"DIMENSIONES",P203&lt;&gt;"DIRECTA",P203&lt;&gt;"SIN LÍNEAS",P203&lt;&gt;"CABECERA"),"Tipo de fila no reconocido. ","")&amp;IF(AND(OR(P203="SIN LÍNEAS",P203="CABECERA"),COUNTA(G203:J203)&gt;0),"La fila dice que no mide, pero contiene medidas. ","")&amp;IF(AND(OR(P203="DIRECTA",P203="DIMENSIONES"),U203=0),"Línea incompleta o con medidas no numéricas. ","")&amp;IF(P203="SIN LÍNEAS","No constan medidas de esta fila. ","")&amp;IF(Y203&gt;0,"Parece m³: tres dimensiones bajo m². ","")&amp;IF(AND(AB203&lt;&gt;"",SUMPRODUCT(--('LÉEME'!$B$65:$B$86=AC203))&lt;&gt;1),"Revisamos el significado de la unidad. ","")&amp;IF(Z203&gt;0,"Más precisión que los decimales indicados: cotejamos el original. ","")&amp;IF(AA203&gt;0,"Revisamos dimensiones, cantidad directa, ceros o deducción. ","")))</f>
      </c>
      <c r="O203" s="0" t="n">
        <f>IF(ISNUMBER(K203),IF(AND(K203&gt;0,K203=INT(K203),K203&lt;=999999),K203,0),0)</f>
        <v>0</v>
      </c>
      <c r="P203" s="0">
        <f>IF(COUNTA(B203:L203)=0,"",IF(L203="",IF(COUNTA(G203:J203)&gt;0,"DIMENSIONES","SIN LÍNEAS"),UPPER(TRIM(L203))))</f>
      </c>
      <c r="Q203" s="0">
        <f>IF(AND(O203&gt;0,LEN(TRIM(B203&amp;""))&gt;0,LEN(TRIM(C203&amp;""))&gt;0,LEN(TRIM(E203&amp;""))&gt;0,ISNUMBER(F203)),O203,"")</f>
      </c>
      <c r="R203" s="0" t="n">
        <f>IF(O203=0,0,IF(COUNTIFS($Q$13:$Q$512,O203)&gt;0,MATCH(O203,$Q$13:$Q$512,0),0))</f>
        <v>0</v>
      </c>
      <c r="S203" s="0">
        <f>IF(AB203="","",IF(SUMPRODUCT(--('LÉEME'!$B$65:$B$86=AC203))=1,INDEX('LÉEME'!$C$65:$C$86,MATCH(AC203,'LÉEME'!$B$65:$B$86,0)),UPPER(TRIM(AB203))))</f>
      </c>
      <c r="T203" s="0" t="n">
        <f>IF(R203=0,0,IF(OR(AND(LEN(TRIM(B203&amp;""))&gt;0,UPPER(TRIM(B203&amp;""))&lt;&gt;UPPER(TRIM(INDEX($B$13:$B$512,R203)&amp;""))),AND(LEN(TRIM(C203&amp;""))&gt;0,UPPER(TRIM(C203&amp;""))&lt;&gt;UPPER(TRIM(INDEX($C$13:$C$512,R203)&amp;""))),AND(LEN(TRIM(E203&amp;""))&gt;0,S203&lt;&gt;INDEX($S$13:$S$512,R203)),AND(F203&lt;&gt;"",NOT(ISNUMBER(F203)))),1,IF(ISNUMBER(F203),IF(ABS(F203-INDEX($F$13:$F$512,R203))&gt;0.00000001,1,0),0)))</f>
        <v>0</v>
      </c>
      <c r="U203" s="0" t="n">
        <f>IF(P203="DIRECTA",IF(AND(ISNUMBER(G203),COUNTA(H203:J203)=0),1,0),IF(P203="DIMENSIONES",IF(AND(COUNT(G203:J203)&gt;0,COUNTA(G203:J203)=COUNT(G203:J203)),1,0),0))</f>
        <v>0</v>
      </c>
      <c r="V203" s="0" t="n">
        <f>IF(O203=0,0,IF(COUNTIFS($O$13:O203,O203)=1,1,0))</f>
        <v>0</v>
      </c>
      <c r="W203" s="0">
        <f>IF(V203=1,COUNTIFS($V$13:V203,1),"")</f>
      </c>
      <c r="X203" s="0">
        <f>IF(COUNTA(B203:L203)=0,"",IF(OR(NOT(IF(ISNUMBER($E$6),AND($E$6&gt;=0,$E$6&lt;=6,$E$6=INT($E$6)),FALSE)),O203=0,R203=0,T203&gt;0,AND(P203&lt;&gt;"DIMENSIONES",P203&lt;&gt;"DIRECTA",P203&lt;&gt;"SIN LÍNEAS",P203&lt;&gt;"CABECERA"),AND(OR(P203="DIRECTA",P203="DIMENSIONES"),U203=0),AND(OR(P203="SIN LÍNEAS",P203="CABECERA"),COUNTA(G203:J203)&gt;0)),2,IF(OR(P203="SIN LÍNEAS",Y203&gt;0,Z203&gt;0,AA203&gt;0,SUMPRODUCT(--('LÉEME'!$B$65:$B$86=AC203))&lt;&gt;1),1,0)))</f>
      </c>
      <c r="Y203" s="0" t="n">
        <f>IF(AND(P203="DIMENSIONES",S203="m²",COUNT(H203:J203)=3),1,0)</f>
        <v>0</v>
      </c>
      <c r="Z203" s="0" t="n">
        <f>IF(IF(ISNUMBER($E$6),AND($E$6&gt;=0,$E$6&lt;=6,$E$6=INT($E$6)),FALSE),IF(SUM(IF(ISNUMBER(F203),IF(ABS(F203-ROUND(F203,$E$6))&gt;0.00000001,1,0),0),IF(ISNUMBER(G203),IF(ABS(G203-ROUND(G203,$E$6))&gt;0.00000001,1,0),0),IF(ISNUMBER(H203),IF(ABS(H203-ROUND(H203,$E$6))&gt;0.00000001,1,0),0),IF(ISNUMBER(I203),IF(ABS(I203-ROUND(I203,$E$6))&gt;0.00000001,1,0),0),IF(ISNUMBER(J203),IF(ABS(J203-ROUND(J203,$E$6))&gt;0.00000001,1,0),0),IF(ISNUMBER(M203),IF(ABS(M203-ROUND(M203,$E$6))&gt;0.00000001,1,0),0))&gt;0,1,0),0)</f>
        <v>0</v>
      </c>
      <c r="AA203" s="0" t="n">
        <f>IF(COUNTA(B203:L203)=0,0,IF(OR(AND(ISNUMBER(F203),F203&lt;0),AND(U203=1,OR(SUM(IF(ISNUMBER(G203),IF(G203=0,1,0),0),IF(ISNUMBER(H203),IF(H203=0,1,0),0),IF(ISNUMBER(I203),IF(I203=0,1,0),0),IF(ISNUMBER(J203),IF(J203=0,1,0),0))&gt;0,COUNTIFS(G203:J203,"&lt;0")&gt;0)),AND(P203="DIMENSIONES",U203=1,OR(AND(S203="m",COUNT(H203:J203)&lt;&gt;1),AND(S203="m²",COUNT(H203:J203)&lt;&gt;2,Y203=0),AND(S203="m³",COUNT(H203:J203)&lt;&gt;3),AND(S203="ud",COUNT(H203:J203)&gt;0))),AND(P203="DIRECTA",OR(S203="m",S203="m²",S203="m³"))),1,0))</f>
        <v>0</v>
      </c>
      <c r="AB203" s="0">
        <f>IF(LEN(TRIM(E203&amp;""))&gt;0,E203,IF(R203&gt;0,INDEX($E$13:$E$512,R203),""))</f>
      </c>
      <c r="AC203" s="0">
        <f>UPPER(SUBSTITUTE(SUBSTITUTE(SUBSTITUTE(SUBSTITUTE(SUBSTITUTE(TRIM(AB203),"²","2"),"³","3"),"^",""),".","")," ",""))</f>
      </c>
    </row>
    <row r="204" ht="35" customHeight="1">
      <c r="B204" s="35"/>
      <c r="C204" s="35"/>
      <c r="D204" s="37"/>
      <c r="E204" s="35"/>
      <c r="F204" s="38"/>
      <c r="G204" s="38"/>
      <c r="H204" s="38"/>
      <c r="I204" s="38"/>
      <c r="J204" s="38"/>
      <c r="K204" s="35"/>
      <c r="L204" s="35"/>
      <c r="M204" s="39">
        <f>IF(U204&lt;&gt;1,"",IF(P204="DIRECTA",G204,IF(ISNUMBER(G204),G204,1)*IF(ISNUMBER(H204),H204,1)*IF(ISNUMBER(I204),I204,1)*IF(ISNUMBER(J204),J204,1)))</f>
      </c>
      <c r="N204" s="30">
        <f>IF(COUNTA(B204:L204)=0,"",IF(X204=0,IF(P204="CABECERA","VERDE · Fila descriptiva; la suma usa las líneas del ID","VERDE · Datos numéricos interpretables"),IF(X204=2,"ROJO · ","ÁMBAR · ")&amp;IF(NOT(IF(ISNUMBER($E$6),AND($E$6&gt;=0,$E$6&lt;=6,$E$6=INT($E$6)),FALSE)),"Indicamos entre 0 y 6 decimales en E6. ","")&amp;IF(O204=0,"Falta un ID numérico. ","")&amp;IF(R204=0,"Faltan capítulo, código, unidad o total numérico del ID. ","")&amp;IF(T204&gt;0,"Los datos o el total del ID se contradicen. ","")&amp;IF(AND(P204&lt;&gt;"DIMENSIONES",P204&lt;&gt;"DIRECTA",P204&lt;&gt;"SIN LÍNEAS",P204&lt;&gt;"CABECERA"),"Tipo de fila no reconocido. ","")&amp;IF(AND(OR(P204="SIN LÍNEAS",P204="CABECERA"),COUNTA(G204:J204)&gt;0),"La fila dice que no mide, pero contiene medidas. ","")&amp;IF(AND(OR(P204="DIRECTA",P204="DIMENSIONES"),U204=0),"Línea incompleta o con medidas no numéricas. ","")&amp;IF(P204="SIN LÍNEAS","No constan medidas de esta fila. ","")&amp;IF(Y204&gt;0,"Parece m³: tres dimensiones bajo m². ","")&amp;IF(AND(AB204&lt;&gt;"",SUMPRODUCT(--('LÉEME'!$B$65:$B$86=AC204))&lt;&gt;1),"Revisamos el significado de la unidad. ","")&amp;IF(Z204&gt;0,"Más precisión que los decimales indicados: cotejamos el original. ","")&amp;IF(AA204&gt;0,"Revisamos dimensiones, cantidad directa, ceros o deducción. ","")))</f>
      </c>
      <c r="O204" s="0" t="n">
        <f>IF(ISNUMBER(K204),IF(AND(K204&gt;0,K204=INT(K204),K204&lt;=999999),K204,0),0)</f>
        <v>0</v>
      </c>
      <c r="P204" s="0">
        <f>IF(COUNTA(B204:L204)=0,"",IF(L204="",IF(COUNTA(G204:J204)&gt;0,"DIMENSIONES","SIN LÍNEAS"),UPPER(TRIM(L204))))</f>
      </c>
      <c r="Q204" s="0">
        <f>IF(AND(O204&gt;0,LEN(TRIM(B204&amp;""))&gt;0,LEN(TRIM(C204&amp;""))&gt;0,LEN(TRIM(E204&amp;""))&gt;0,ISNUMBER(F204)),O204,"")</f>
      </c>
      <c r="R204" s="0" t="n">
        <f>IF(O204=0,0,IF(COUNTIFS($Q$13:$Q$512,O204)&gt;0,MATCH(O204,$Q$13:$Q$512,0),0))</f>
        <v>0</v>
      </c>
      <c r="S204" s="0">
        <f>IF(AB204="","",IF(SUMPRODUCT(--('LÉEME'!$B$65:$B$86=AC204))=1,INDEX('LÉEME'!$C$65:$C$86,MATCH(AC204,'LÉEME'!$B$65:$B$86,0)),UPPER(TRIM(AB204))))</f>
      </c>
      <c r="T204" s="0" t="n">
        <f>IF(R204=0,0,IF(OR(AND(LEN(TRIM(B204&amp;""))&gt;0,UPPER(TRIM(B204&amp;""))&lt;&gt;UPPER(TRIM(INDEX($B$13:$B$512,R204)&amp;""))),AND(LEN(TRIM(C204&amp;""))&gt;0,UPPER(TRIM(C204&amp;""))&lt;&gt;UPPER(TRIM(INDEX($C$13:$C$512,R204)&amp;""))),AND(LEN(TRIM(E204&amp;""))&gt;0,S204&lt;&gt;INDEX($S$13:$S$512,R204)),AND(F204&lt;&gt;"",NOT(ISNUMBER(F204)))),1,IF(ISNUMBER(F204),IF(ABS(F204-INDEX($F$13:$F$512,R204))&gt;0.00000001,1,0),0)))</f>
        <v>0</v>
      </c>
      <c r="U204" s="0" t="n">
        <f>IF(P204="DIRECTA",IF(AND(ISNUMBER(G204),COUNTA(H204:J204)=0),1,0),IF(P204="DIMENSIONES",IF(AND(COUNT(G204:J204)&gt;0,COUNTA(G204:J204)=COUNT(G204:J204)),1,0),0))</f>
        <v>0</v>
      </c>
      <c r="V204" s="0" t="n">
        <f>IF(O204=0,0,IF(COUNTIFS($O$13:O204,O204)=1,1,0))</f>
        <v>0</v>
      </c>
      <c r="W204" s="0">
        <f>IF(V204=1,COUNTIFS($V$13:V204,1),"")</f>
      </c>
      <c r="X204" s="0">
        <f>IF(COUNTA(B204:L204)=0,"",IF(OR(NOT(IF(ISNUMBER($E$6),AND($E$6&gt;=0,$E$6&lt;=6,$E$6=INT($E$6)),FALSE)),O204=0,R204=0,T204&gt;0,AND(P204&lt;&gt;"DIMENSIONES",P204&lt;&gt;"DIRECTA",P204&lt;&gt;"SIN LÍNEAS",P204&lt;&gt;"CABECERA"),AND(OR(P204="DIRECTA",P204="DIMENSIONES"),U204=0),AND(OR(P204="SIN LÍNEAS",P204="CABECERA"),COUNTA(G204:J204)&gt;0)),2,IF(OR(P204="SIN LÍNEAS",Y204&gt;0,Z204&gt;0,AA204&gt;0,SUMPRODUCT(--('LÉEME'!$B$65:$B$86=AC204))&lt;&gt;1),1,0)))</f>
      </c>
      <c r="Y204" s="0" t="n">
        <f>IF(AND(P204="DIMENSIONES",S204="m²",COUNT(H204:J204)=3),1,0)</f>
        <v>0</v>
      </c>
      <c r="Z204" s="0" t="n">
        <f>IF(IF(ISNUMBER($E$6),AND($E$6&gt;=0,$E$6&lt;=6,$E$6=INT($E$6)),FALSE),IF(SUM(IF(ISNUMBER(F204),IF(ABS(F204-ROUND(F204,$E$6))&gt;0.00000001,1,0),0),IF(ISNUMBER(G204),IF(ABS(G204-ROUND(G204,$E$6))&gt;0.00000001,1,0),0),IF(ISNUMBER(H204),IF(ABS(H204-ROUND(H204,$E$6))&gt;0.00000001,1,0),0),IF(ISNUMBER(I204),IF(ABS(I204-ROUND(I204,$E$6))&gt;0.00000001,1,0),0),IF(ISNUMBER(J204),IF(ABS(J204-ROUND(J204,$E$6))&gt;0.00000001,1,0),0),IF(ISNUMBER(M204),IF(ABS(M204-ROUND(M204,$E$6))&gt;0.00000001,1,0),0))&gt;0,1,0),0)</f>
        <v>0</v>
      </c>
      <c r="AA204" s="0" t="n">
        <f>IF(COUNTA(B204:L204)=0,0,IF(OR(AND(ISNUMBER(F204),F204&lt;0),AND(U204=1,OR(SUM(IF(ISNUMBER(G204),IF(G204=0,1,0),0),IF(ISNUMBER(H204),IF(H204=0,1,0),0),IF(ISNUMBER(I204),IF(I204=0,1,0),0),IF(ISNUMBER(J204),IF(J204=0,1,0),0))&gt;0,COUNTIFS(G204:J204,"&lt;0")&gt;0)),AND(P204="DIMENSIONES",U204=1,OR(AND(S204="m",COUNT(H204:J204)&lt;&gt;1),AND(S204="m²",COUNT(H204:J204)&lt;&gt;2,Y204=0),AND(S204="m³",COUNT(H204:J204)&lt;&gt;3),AND(S204="ud",COUNT(H204:J204)&gt;0))),AND(P204="DIRECTA",OR(S204="m",S204="m²",S204="m³"))),1,0))</f>
        <v>0</v>
      </c>
      <c r="AB204" s="0">
        <f>IF(LEN(TRIM(E204&amp;""))&gt;0,E204,IF(R204&gt;0,INDEX($E$13:$E$512,R204),""))</f>
      </c>
      <c r="AC204" s="0">
        <f>UPPER(SUBSTITUTE(SUBSTITUTE(SUBSTITUTE(SUBSTITUTE(SUBSTITUTE(TRIM(AB204),"²","2"),"³","3"),"^",""),".","")," ",""))</f>
      </c>
    </row>
    <row r="205" ht="35" customHeight="1">
      <c r="B205" s="35"/>
      <c r="C205" s="35"/>
      <c r="D205" s="37"/>
      <c r="E205" s="35"/>
      <c r="F205" s="38"/>
      <c r="G205" s="38"/>
      <c r="H205" s="38"/>
      <c r="I205" s="38"/>
      <c r="J205" s="38"/>
      <c r="K205" s="35"/>
      <c r="L205" s="35"/>
      <c r="M205" s="39">
        <f>IF(U205&lt;&gt;1,"",IF(P205="DIRECTA",G205,IF(ISNUMBER(G205),G205,1)*IF(ISNUMBER(H205),H205,1)*IF(ISNUMBER(I205),I205,1)*IF(ISNUMBER(J205),J205,1)))</f>
      </c>
      <c r="N205" s="30">
        <f>IF(COUNTA(B205:L205)=0,"",IF(X205=0,IF(P205="CABECERA","VERDE · Fila descriptiva; la suma usa las líneas del ID","VERDE · Datos numéricos interpretables"),IF(X205=2,"ROJO · ","ÁMBAR · ")&amp;IF(NOT(IF(ISNUMBER($E$6),AND($E$6&gt;=0,$E$6&lt;=6,$E$6=INT($E$6)),FALSE)),"Indicamos entre 0 y 6 decimales en E6. ","")&amp;IF(O205=0,"Falta un ID numérico. ","")&amp;IF(R205=0,"Faltan capítulo, código, unidad o total numérico del ID. ","")&amp;IF(T205&gt;0,"Los datos o el total del ID se contradicen. ","")&amp;IF(AND(P205&lt;&gt;"DIMENSIONES",P205&lt;&gt;"DIRECTA",P205&lt;&gt;"SIN LÍNEAS",P205&lt;&gt;"CABECERA"),"Tipo de fila no reconocido. ","")&amp;IF(AND(OR(P205="SIN LÍNEAS",P205="CABECERA"),COUNTA(G205:J205)&gt;0),"La fila dice que no mide, pero contiene medidas. ","")&amp;IF(AND(OR(P205="DIRECTA",P205="DIMENSIONES"),U205=0),"Línea incompleta o con medidas no numéricas. ","")&amp;IF(P205="SIN LÍNEAS","No constan medidas de esta fila. ","")&amp;IF(Y205&gt;0,"Parece m³: tres dimensiones bajo m². ","")&amp;IF(AND(AB205&lt;&gt;"",SUMPRODUCT(--('LÉEME'!$B$65:$B$86=AC205))&lt;&gt;1),"Revisamos el significado de la unidad. ","")&amp;IF(Z205&gt;0,"Más precisión que los decimales indicados: cotejamos el original. ","")&amp;IF(AA205&gt;0,"Revisamos dimensiones, cantidad directa, ceros o deducción. ","")))</f>
      </c>
      <c r="O205" s="0" t="n">
        <f>IF(ISNUMBER(K205),IF(AND(K205&gt;0,K205=INT(K205),K205&lt;=999999),K205,0),0)</f>
        <v>0</v>
      </c>
      <c r="P205" s="0">
        <f>IF(COUNTA(B205:L205)=0,"",IF(L205="",IF(COUNTA(G205:J205)&gt;0,"DIMENSIONES","SIN LÍNEAS"),UPPER(TRIM(L205))))</f>
      </c>
      <c r="Q205" s="0">
        <f>IF(AND(O205&gt;0,LEN(TRIM(B205&amp;""))&gt;0,LEN(TRIM(C205&amp;""))&gt;0,LEN(TRIM(E205&amp;""))&gt;0,ISNUMBER(F205)),O205,"")</f>
      </c>
      <c r="R205" s="0" t="n">
        <f>IF(O205=0,0,IF(COUNTIFS($Q$13:$Q$512,O205)&gt;0,MATCH(O205,$Q$13:$Q$512,0),0))</f>
        <v>0</v>
      </c>
      <c r="S205" s="0">
        <f>IF(AB205="","",IF(SUMPRODUCT(--('LÉEME'!$B$65:$B$86=AC205))=1,INDEX('LÉEME'!$C$65:$C$86,MATCH(AC205,'LÉEME'!$B$65:$B$86,0)),UPPER(TRIM(AB205))))</f>
      </c>
      <c r="T205" s="0" t="n">
        <f>IF(R205=0,0,IF(OR(AND(LEN(TRIM(B205&amp;""))&gt;0,UPPER(TRIM(B205&amp;""))&lt;&gt;UPPER(TRIM(INDEX($B$13:$B$512,R205)&amp;""))),AND(LEN(TRIM(C205&amp;""))&gt;0,UPPER(TRIM(C205&amp;""))&lt;&gt;UPPER(TRIM(INDEX($C$13:$C$512,R205)&amp;""))),AND(LEN(TRIM(E205&amp;""))&gt;0,S205&lt;&gt;INDEX($S$13:$S$512,R205)),AND(F205&lt;&gt;"",NOT(ISNUMBER(F205)))),1,IF(ISNUMBER(F205),IF(ABS(F205-INDEX($F$13:$F$512,R205))&gt;0.00000001,1,0),0)))</f>
        <v>0</v>
      </c>
      <c r="U205" s="0" t="n">
        <f>IF(P205="DIRECTA",IF(AND(ISNUMBER(G205),COUNTA(H205:J205)=0),1,0),IF(P205="DIMENSIONES",IF(AND(COUNT(G205:J205)&gt;0,COUNTA(G205:J205)=COUNT(G205:J205)),1,0),0))</f>
        <v>0</v>
      </c>
      <c r="V205" s="0" t="n">
        <f>IF(O205=0,0,IF(COUNTIFS($O$13:O205,O205)=1,1,0))</f>
        <v>0</v>
      </c>
      <c r="W205" s="0">
        <f>IF(V205=1,COUNTIFS($V$13:V205,1),"")</f>
      </c>
      <c r="X205" s="0">
        <f>IF(COUNTA(B205:L205)=0,"",IF(OR(NOT(IF(ISNUMBER($E$6),AND($E$6&gt;=0,$E$6&lt;=6,$E$6=INT($E$6)),FALSE)),O205=0,R205=0,T205&gt;0,AND(P205&lt;&gt;"DIMENSIONES",P205&lt;&gt;"DIRECTA",P205&lt;&gt;"SIN LÍNEAS",P205&lt;&gt;"CABECERA"),AND(OR(P205="DIRECTA",P205="DIMENSIONES"),U205=0),AND(OR(P205="SIN LÍNEAS",P205="CABECERA"),COUNTA(G205:J205)&gt;0)),2,IF(OR(P205="SIN LÍNEAS",Y205&gt;0,Z205&gt;0,AA205&gt;0,SUMPRODUCT(--('LÉEME'!$B$65:$B$86=AC205))&lt;&gt;1),1,0)))</f>
      </c>
      <c r="Y205" s="0" t="n">
        <f>IF(AND(P205="DIMENSIONES",S205="m²",COUNT(H205:J205)=3),1,0)</f>
        <v>0</v>
      </c>
      <c r="Z205" s="0" t="n">
        <f>IF(IF(ISNUMBER($E$6),AND($E$6&gt;=0,$E$6&lt;=6,$E$6=INT($E$6)),FALSE),IF(SUM(IF(ISNUMBER(F205),IF(ABS(F205-ROUND(F205,$E$6))&gt;0.00000001,1,0),0),IF(ISNUMBER(G205),IF(ABS(G205-ROUND(G205,$E$6))&gt;0.00000001,1,0),0),IF(ISNUMBER(H205),IF(ABS(H205-ROUND(H205,$E$6))&gt;0.00000001,1,0),0),IF(ISNUMBER(I205),IF(ABS(I205-ROUND(I205,$E$6))&gt;0.00000001,1,0),0),IF(ISNUMBER(J205),IF(ABS(J205-ROUND(J205,$E$6))&gt;0.00000001,1,0),0),IF(ISNUMBER(M205),IF(ABS(M205-ROUND(M205,$E$6))&gt;0.00000001,1,0),0))&gt;0,1,0),0)</f>
        <v>0</v>
      </c>
      <c r="AA205" s="0" t="n">
        <f>IF(COUNTA(B205:L205)=0,0,IF(OR(AND(ISNUMBER(F205),F205&lt;0),AND(U205=1,OR(SUM(IF(ISNUMBER(G205),IF(G205=0,1,0),0),IF(ISNUMBER(H205),IF(H205=0,1,0),0),IF(ISNUMBER(I205),IF(I205=0,1,0),0),IF(ISNUMBER(J205),IF(J205=0,1,0),0))&gt;0,COUNTIFS(G205:J205,"&lt;0")&gt;0)),AND(P205="DIMENSIONES",U205=1,OR(AND(S205="m",COUNT(H205:J205)&lt;&gt;1),AND(S205="m²",COUNT(H205:J205)&lt;&gt;2,Y205=0),AND(S205="m³",COUNT(H205:J205)&lt;&gt;3),AND(S205="ud",COUNT(H205:J205)&gt;0))),AND(P205="DIRECTA",OR(S205="m",S205="m²",S205="m³"))),1,0))</f>
        <v>0</v>
      </c>
      <c r="AB205" s="0">
        <f>IF(LEN(TRIM(E205&amp;""))&gt;0,E205,IF(R205&gt;0,INDEX($E$13:$E$512,R205),""))</f>
      </c>
      <c r="AC205" s="0">
        <f>UPPER(SUBSTITUTE(SUBSTITUTE(SUBSTITUTE(SUBSTITUTE(SUBSTITUTE(TRIM(AB205),"²","2"),"³","3"),"^",""),".","")," ",""))</f>
      </c>
    </row>
    <row r="206" ht="35" customHeight="1">
      <c r="B206" s="35"/>
      <c r="C206" s="35"/>
      <c r="D206" s="37"/>
      <c r="E206" s="35"/>
      <c r="F206" s="38"/>
      <c r="G206" s="38"/>
      <c r="H206" s="38"/>
      <c r="I206" s="38"/>
      <c r="J206" s="38"/>
      <c r="K206" s="35"/>
      <c r="L206" s="35"/>
      <c r="M206" s="39">
        <f>IF(U206&lt;&gt;1,"",IF(P206="DIRECTA",G206,IF(ISNUMBER(G206),G206,1)*IF(ISNUMBER(H206),H206,1)*IF(ISNUMBER(I206),I206,1)*IF(ISNUMBER(J206),J206,1)))</f>
      </c>
      <c r="N206" s="30">
        <f>IF(COUNTA(B206:L206)=0,"",IF(X206=0,IF(P206="CABECERA","VERDE · Fila descriptiva; la suma usa las líneas del ID","VERDE · Datos numéricos interpretables"),IF(X206=2,"ROJO · ","ÁMBAR · ")&amp;IF(NOT(IF(ISNUMBER($E$6),AND($E$6&gt;=0,$E$6&lt;=6,$E$6=INT($E$6)),FALSE)),"Indicamos entre 0 y 6 decimales en E6. ","")&amp;IF(O206=0,"Falta un ID numérico. ","")&amp;IF(R206=0,"Faltan capítulo, código, unidad o total numérico del ID. ","")&amp;IF(T206&gt;0,"Los datos o el total del ID se contradicen. ","")&amp;IF(AND(P206&lt;&gt;"DIMENSIONES",P206&lt;&gt;"DIRECTA",P206&lt;&gt;"SIN LÍNEAS",P206&lt;&gt;"CABECERA"),"Tipo de fila no reconocido. ","")&amp;IF(AND(OR(P206="SIN LÍNEAS",P206="CABECERA"),COUNTA(G206:J206)&gt;0),"La fila dice que no mide, pero contiene medidas. ","")&amp;IF(AND(OR(P206="DIRECTA",P206="DIMENSIONES"),U206=0),"Línea incompleta o con medidas no numéricas. ","")&amp;IF(P206="SIN LÍNEAS","No constan medidas de esta fila. ","")&amp;IF(Y206&gt;0,"Parece m³: tres dimensiones bajo m². ","")&amp;IF(AND(AB206&lt;&gt;"",SUMPRODUCT(--('LÉEME'!$B$65:$B$86=AC206))&lt;&gt;1),"Revisamos el significado de la unidad. ","")&amp;IF(Z206&gt;0,"Más precisión que los decimales indicados: cotejamos el original. ","")&amp;IF(AA206&gt;0,"Revisamos dimensiones, cantidad directa, ceros o deducción. ","")))</f>
      </c>
      <c r="O206" s="0" t="n">
        <f>IF(ISNUMBER(K206),IF(AND(K206&gt;0,K206=INT(K206),K206&lt;=999999),K206,0),0)</f>
        <v>0</v>
      </c>
      <c r="P206" s="0">
        <f>IF(COUNTA(B206:L206)=0,"",IF(L206="",IF(COUNTA(G206:J206)&gt;0,"DIMENSIONES","SIN LÍNEAS"),UPPER(TRIM(L206))))</f>
      </c>
      <c r="Q206" s="0">
        <f>IF(AND(O206&gt;0,LEN(TRIM(B206&amp;""))&gt;0,LEN(TRIM(C206&amp;""))&gt;0,LEN(TRIM(E206&amp;""))&gt;0,ISNUMBER(F206)),O206,"")</f>
      </c>
      <c r="R206" s="0" t="n">
        <f>IF(O206=0,0,IF(COUNTIFS($Q$13:$Q$512,O206)&gt;0,MATCH(O206,$Q$13:$Q$512,0),0))</f>
        <v>0</v>
      </c>
      <c r="S206" s="0">
        <f>IF(AB206="","",IF(SUMPRODUCT(--('LÉEME'!$B$65:$B$86=AC206))=1,INDEX('LÉEME'!$C$65:$C$86,MATCH(AC206,'LÉEME'!$B$65:$B$86,0)),UPPER(TRIM(AB206))))</f>
      </c>
      <c r="T206" s="0" t="n">
        <f>IF(R206=0,0,IF(OR(AND(LEN(TRIM(B206&amp;""))&gt;0,UPPER(TRIM(B206&amp;""))&lt;&gt;UPPER(TRIM(INDEX($B$13:$B$512,R206)&amp;""))),AND(LEN(TRIM(C206&amp;""))&gt;0,UPPER(TRIM(C206&amp;""))&lt;&gt;UPPER(TRIM(INDEX($C$13:$C$512,R206)&amp;""))),AND(LEN(TRIM(E206&amp;""))&gt;0,S206&lt;&gt;INDEX($S$13:$S$512,R206)),AND(F206&lt;&gt;"",NOT(ISNUMBER(F206)))),1,IF(ISNUMBER(F206),IF(ABS(F206-INDEX($F$13:$F$512,R206))&gt;0.00000001,1,0),0)))</f>
        <v>0</v>
      </c>
      <c r="U206" s="0" t="n">
        <f>IF(P206="DIRECTA",IF(AND(ISNUMBER(G206),COUNTA(H206:J206)=0),1,0),IF(P206="DIMENSIONES",IF(AND(COUNT(G206:J206)&gt;0,COUNTA(G206:J206)=COUNT(G206:J206)),1,0),0))</f>
        <v>0</v>
      </c>
      <c r="V206" s="0" t="n">
        <f>IF(O206=0,0,IF(COUNTIFS($O$13:O206,O206)=1,1,0))</f>
        <v>0</v>
      </c>
      <c r="W206" s="0">
        <f>IF(V206=1,COUNTIFS($V$13:V206,1),"")</f>
      </c>
      <c r="X206" s="0">
        <f>IF(COUNTA(B206:L206)=0,"",IF(OR(NOT(IF(ISNUMBER($E$6),AND($E$6&gt;=0,$E$6&lt;=6,$E$6=INT($E$6)),FALSE)),O206=0,R206=0,T206&gt;0,AND(P206&lt;&gt;"DIMENSIONES",P206&lt;&gt;"DIRECTA",P206&lt;&gt;"SIN LÍNEAS",P206&lt;&gt;"CABECERA"),AND(OR(P206="DIRECTA",P206="DIMENSIONES"),U206=0),AND(OR(P206="SIN LÍNEAS",P206="CABECERA"),COUNTA(G206:J206)&gt;0)),2,IF(OR(P206="SIN LÍNEAS",Y206&gt;0,Z206&gt;0,AA206&gt;0,SUMPRODUCT(--('LÉEME'!$B$65:$B$86=AC206))&lt;&gt;1),1,0)))</f>
      </c>
      <c r="Y206" s="0" t="n">
        <f>IF(AND(P206="DIMENSIONES",S206="m²",COUNT(H206:J206)=3),1,0)</f>
        <v>0</v>
      </c>
      <c r="Z206" s="0" t="n">
        <f>IF(IF(ISNUMBER($E$6),AND($E$6&gt;=0,$E$6&lt;=6,$E$6=INT($E$6)),FALSE),IF(SUM(IF(ISNUMBER(F206),IF(ABS(F206-ROUND(F206,$E$6))&gt;0.00000001,1,0),0),IF(ISNUMBER(G206),IF(ABS(G206-ROUND(G206,$E$6))&gt;0.00000001,1,0),0),IF(ISNUMBER(H206),IF(ABS(H206-ROUND(H206,$E$6))&gt;0.00000001,1,0),0),IF(ISNUMBER(I206),IF(ABS(I206-ROUND(I206,$E$6))&gt;0.00000001,1,0),0),IF(ISNUMBER(J206),IF(ABS(J206-ROUND(J206,$E$6))&gt;0.00000001,1,0),0),IF(ISNUMBER(M206),IF(ABS(M206-ROUND(M206,$E$6))&gt;0.00000001,1,0),0))&gt;0,1,0),0)</f>
        <v>0</v>
      </c>
      <c r="AA206" s="0" t="n">
        <f>IF(COUNTA(B206:L206)=0,0,IF(OR(AND(ISNUMBER(F206),F206&lt;0),AND(U206=1,OR(SUM(IF(ISNUMBER(G206),IF(G206=0,1,0),0),IF(ISNUMBER(H206),IF(H206=0,1,0),0),IF(ISNUMBER(I206),IF(I206=0,1,0),0),IF(ISNUMBER(J206),IF(J206=0,1,0),0))&gt;0,COUNTIFS(G206:J206,"&lt;0")&gt;0)),AND(P206="DIMENSIONES",U206=1,OR(AND(S206="m",COUNT(H206:J206)&lt;&gt;1),AND(S206="m²",COUNT(H206:J206)&lt;&gt;2,Y206=0),AND(S206="m³",COUNT(H206:J206)&lt;&gt;3),AND(S206="ud",COUNT(H206:J206)&gt;0))),AND(P206="DIRECTA",OR(S206="m",S206="m²",S206="m³"))),1,0))</f>
        <v>0</v>
      </c>
      <c r="AB206" s="0">
        <f>IF(LEN(TRIM(E206&amp;""))&gt;0,E206,IF(R206&gt;0,INDEX($E$13:$E$512,R206),""))</f>
      </c>
      <c r="AC206" s="0">
        <f>UPPER(SUBSTITUTE(SUBSTITUTE(SUBSTITUTE(SUBSTITUTE(SUBSTITUTE(TRIM(AB206),"²","2"),"³","3"),"^",""),".","")," ",""))</f>
      </c>
    </row>
    <row r="207" ht="35" customHeight="1">
      <c r="B207" s="35"/>
      <c r="C207" s="35"/>
      <c r="D207" s="37"/>
      <c r="E207" s="35"/>
      <c r="F207" s="38"/>
      <c r="G207" s="38"/>
      <c r="H207" s="38"/>
      <c r="I207" s="38"/>
      <c r="J207" s="38"/>
      <c r="K207" s="35"/>
      <c r="L207" s="35"/>
      <c r="M207" s="39">
        <f>IF(U207&lt;&gt;1,"",IF(P207="DIRECTA",G207,IF(ISNUMBER(G207),G207,1)*IF(ISNUMBER(H207),H207,1)*IF(ISNUMBER(I207),I207,1)*IF(ISNUMBER(J207),J207,1)))</f>
      </c>
      <c r="N207" s="30">
        <f>IF(COUNTA(B207:L207)=0,"",IF(X207=0,IF(P207="CABECERA","VERDE · Fila descriptiva; la suma usa las líneas del ID","VERDE · Datos numéricos interpretables"),IF(X207=2,"ROJO · ","ÁMBAR · ")&amp;IF(NOT(IF(ISNUMBER($E$6),AND($E$6&gt;=0,$E$6&lt;=6,$E$6=INT($E$6)),FALSE)),"Indicamos entre 0 y 6 decimales en E6. ","")&amp;IF(O207=0,"Falta un ID numérico. ","")&amp;IF(R207=0,"Faltan capítulo, código, unidad o total numérico del ID. ","")&amp;IF(T207&gt;0,"Los datos o el total del ID se contradicen. ","")&amp;IF(AND(P207&lt;&gt;"DIMENSIONES",P207&lt;&gt;"DIRECTA",P207&lt;&gt;"SIN LÍNEAS",P207&lt;&gt;"CABECERA"),"Tipo de fila no reconocido. ","")&amp;IF(AND(OR(P207="SIN LÍNEAS",P207="CABECERA"),COUNTA(G207:J207)&gt;0),"La fila dice que no mide, pero contiene medidas. ","")&amp;IF(AND(OR(P207="DIRECTA",P207="DIMENSIONES"),U207=0),"Línea incompleta o con medidas no numéricas. ","")&amp;IF(P207="SIN LÍNEAS","No constan medidas de esta fila. ","")&amp;IF(Y207&gt;0,"Parece m³: tres dimensiones bajo m². ","")&amp;IF(AND(AB207&lt;&gt;"",SUMPRODUCT(--('LÉEME'!$B$65:$B$86=AC207))&lt;&gt;1),"Revisamos el significado de la unidad. ","")&amp;IF(Z207&gt;0,"Más precisión que los decimales indicados: cotejamos el original. ","")&amp;IF(AA207&gt;0,"Revisamos dimensiones, cantidad directa, ceros o deducción. ","")))</f>
      </c>
      <c r="O207" s="0" t="n">
        <f>IF(ISNUMBER(K207),IF(AND(K207&gt;0,K207=INT(K207),K207&lt;=999999),K207,0),0)</f>
        <v>0</v>
      </c>
      <c r="P207" s="0">
        <f>IF(COUNTA(B207:L207)=0,"",IF(L207="",IF(COUNTA(G207:J207)&gt;0,"DIMENSIONES","SIN LÍNEAS"),UPPER(TRIM(L207))))</f>
      </c>
      <c r="Q207" s="0">
        <f>IF(AND(O207&gt;0,LEN(TRIM(B207&amp;""))&gt;0,LEN(TRIM(C207&amp;""))&gt;0,LEN(TRIM(E207&amp;""))&gt;0,ISNUMBER(F207)),O207,"")</f>
      </c>
      <c r="R207" s="0" t="n">
        <f>IF(O207=0,0,IF(COUNTIFS($Q$13:$Q$512,O207)&gt;0,MATCH(O207,$Q$13:$Q$512,0),0))</f>
        <v>0</v>
      </c>
      <c r="S207" s="0">
        <f>IF(AB207="","",IF(SUMPRODUCT(--('LÉEME'!$B$65:$B$86=AC207))=1,INDEX('LÉEME'!$C$65:$C$86,MATCH(AC207,'LÉEME'!$B$65:$B$86,0)),UPPER(TRIM(AB207))))</f>
      </c>
      <c r="T207" s="0" t="n">
        <f>IF(R207=0,0,IF(OR(AND(LEN(TRIM(B207&amp;""))&gt;0,UPPER(TRIM(B207&amp;""))&lt;&gt;UPPER(TRIM(INDEX($B$13:$B$512,R207)&amp;""))),AND(LEN(TRIM(C207&amp;""))&gt;0,UPPER(TRIM(C207&amp;""))&lt;&gt;UPPER(TRIM(INDEX($C$13:$C$512,R207)&amp;""))),AND(LEN(TRIM(E207&amp;""))&gt;0,S207&lt;&gt;INDEX($S$13:$S$512,R207)),AND(F207&lt;&gt;"",NOT(ISNUMBER(F207)))),1,IF(ISNUMBER(F207),IF(ABS(F207-INDEX($F$13:$F$512,R207))&gt;0.00000001,1,0),0)))</f>
        <v>0</v>
      </c>
      <c r="U207" s="0" t="n">
        <f>IF(P207="DIRECTA",IF(AND(ISNUMBER(G207),COUNTA(H207:J207)=0),1,0),IF(P207="DIMENSIONES",IF(AND(COUNT(G207:J207)&gt;0,COUNTA(G207:J207)=COUNT(G207:J207)),1,0),0))</f>
        <v>0</v>
      </c>
      <c r="V207" s="0" t="n">
        <f>IF(O207=0,0,IF(COUNTIFS($O$13:O207,O207)=1,1,0))</f>
        <v>0</v>
      </c>
      <c r="W207" s="0">
        <f>IF(V207=1,COUNTIFS($V$13:V207,1),"")</f>
      </c>
      <c r="X207" s="0">
        <f>IF(COUNTA(B207:L207)=0,"",IF(OR(NOT(IF(ISNUMBER($E$6),AND($E$6&gt;=0,$E$6&lt;=6,$E$6=INT($E$6)),FALSE)),O207=0,R207=0,T207&gt;0,AND(P207&lt;&gt;"DIMENSIONES",P207&lt;&gt;"DIRECTA",P207&lt;&gt;"SIN LÍNEAS",P207&lt;&gt;"CABECERA"),AND(OR(P207="DIRECTA",P207="DIMENSIONES"),U207=0),AND(OR(P207="SIN LÍNEAS",P207="CABECERA"),COUNTA(G207:J207)&gt;0)),2,IF(OR(P207="SIN LÍNEAS",Y207&gt;0,Z207&gt;0,AA207&gt;0,SUMPRODUCT(--('LÉEME'!$B$65:$B$86=AC207))&lt;&gt;1),1,0)))</f>
      </c>
      <c r="Y207" s="0" t="n">
        <f>IF(AND(P207="DIMENSIONES",S207="m²",COUNT(H207:J207)=3),1,0)</f>
        <v>0</v>
      </c>
      <c r="Z207" s="0" t="n">
        <f>IF(IF(ISNUMBER($E$6),AND($E$6&gt;=0,$E$6&lt;=6,$E$6=INT($E$6)),FALSE),IF(SUM(IF(ISNUMBER(F207),IF(ABS(F207-ROUND(F207,$E$6))&gt;0.00000001,1,0),0),IF(ISNUMBER(G207),IF(ABS(G207-ROUND(G207,$E$6))&gt;0.00000001,1,0),0),IF(ISNUMBER(H207),IF(ABS(H207-ROUND(H207,$E$6))&gt;0.00000001,1,0),0),IF(ISNUMBER(I207),IF(ABS(I207-ROUND(I207,$E$6))&gt;0.00000001,1,0),0),IF(ISNUMBER(J207),IF(ABS(J207-ROUND(J207,$E$6))&gt;0.00000001,1,0),0),IF(ISNUMBER(M207),IF(ABS(M207-ROUND(M207,$E$6))&gt;0.00000001,1,0),0))&gt;0,1,0),0)</f>
        <v>0</v>
      </c>
      <c r="AA207" s="0" t="n">
        <f>IF(COUNTA(B207:L207)=0,0,IF(OR(AND(ISNUMBER(F207),F207&lt;0),AND(U207=1,OR(SUM(IF(ISNUMBER(G207),IF(G207=0,1,0),0),IF(ISNUMBER(H207),IF(H207=0,1,0),0),IF(ISNUMBER(I207),IF(I207=0,1,0),0),IF(ISNUMBER(J207),IF(J207=0,1,0),0))&gt;0,COUNTIFS(G207:J207,"&lt;0")&gt;0)),AND(P207="DIMENSIONES",U207=1,OR(AND(S207="m",COUNT(H207:J207)&lt;&gt;1),AND(S207="m²",COUNT(H207:J207)&lt;&gt;2,Y207=0),AND(S207="m³",COUNT(H207:J207)&lt;&gt;3),AND(S207="ud",COUNT(H207:J207)&gt;0))),AND(P207="DIRECTA",OR(S207="m",S207="m²",S207="m³"))),1,0))</f>
        <v>0</v>
      </c>
      <c r="AB207" s="0">
        <f>IF(LEN(TRIM(E207&amp;""))&gt;0,E207,IF(R207&gt;0,INDEX($E$13:$E$512,R207),""))</f>
      </c>
      <c r="AC207" s="0">
        <f>UPPER(SUBSTITUTE(SUBSTITUTE(SUBSTITUTE(SUBSTITUTE(SUBSTITUTE(TRIM(AB207),"²","2"),"³","3"),"^",""),".","")," ",""))</f>
      </c>
    </row>
    <row r="208" ht="35" customHeight="1">
      <c r="B208" s="35"/>
      <c r="C208" s="35"/>
      <c r="D208" s="37"/>
      <c r="E208" s="35"/>
      <c r="F208" s="38"/>
      <c r="G208" s="38"/>
      <c r="H208" s="38"/>
      <c r="I208" s="38"/>
      <c r="J208" s="38"/>
      <c r="K208" s="35"/>
      <c r="L208" s="35"/>
      <c r="M208" s="39">
        <f>IF(U208&lt;&gt;1,"",IF(P208="DIRECTA",G208,IF(ISNUMBER(G208),G208,1)*IF(ISNUMBER(H208),H208,1)*IF(ISNUMBER(I208),I208,1)*IF(ISNUMBER(J208),J208,1)))</f>
      </c>
      <c r="N208" s="30">
        <f>IF(COUNTA(B208:L208)=0,"",IF(X208=0,IF(P208="CABECERA","VERDE · Fila descriptiva; la suma usa las líneas del ID","VERDE · Datos numéricos interpretables"),IF(X208=2,"ROJO · ","ÁMBAR · ")&amp;IF(NOT(IF(ISNUMBER($E$6),AND($E$6&gt;=0,$E$6&lt;=6,$E$6=INT($E$6)),FALSE)),"Indicamos entre 0 y 6 decimales en E6. ","")&amp;IF(O208=0,"Falta un ID numérico. ","")&amp;IF(R208=0,"Faltan capítulo, código, unidad o total numérico del ID. ","")&amp;IF(T208&gt;0,"Los datos o el total del ID se contradicen. ","")&amp;IF(AND(P208&lt;&gt;"DIMENSIONES",P208&lt;&gt;"DIRECTA",P208&lt;&gt;"SIN LÍNEAS",P208&lt;&gt;"CABECERA"),"Tipo de fila no reconocido. ","")&amp;IF(AND(OR(P208="SIN LÍNEAS",P208="CABECERA"),COUNTA(G208:J208)&gt;0),"La fila dice que no mide, pero contiene medidas. ","")&amp;IF(AND(OR(P208="DIRECTA",P208="DIMENSIONES"),U208=0),"Línea incompleta o con medidas no numéricas. ","")&amp;IF(P208="SIN LÍNEAS","No constan medidas de esta fila. ","")&amp;IF(Y208&gt;0,"Parece m³: tres dimensiones bajo m². ","")&amp;IF(AND(AB208&lt;&gt;"",SUMPRODUCT(--('LÉEME'!$B$65:$B$86=AC208))&lt;&gt;1),"Revisamos el significado de la unidad. ","")&amp;IF(Z208&gt;0,"Más precisión que los decimales indicados: cotejamos el original. ","")&amp;IF(AA208&gt;0,"Revisamos dimensiones, cantidad directa, ceros o deducción. ","")))</f>
      </c>
      <c r="O208" s="0" t="n">
        <f>IF(ISNUMBER(K208),IF(AND(K208&gt;0,K208=INT(K208),K208&lt;=999999),K208,0),0)</f>
        <v>0</v>
      </c>
      <c r="P208" s="0">
        <f>IF(COUNTA(B208:L208)=0,"",IF(L208="",IF(COUNTA(G208:J208)&gt;0,"DIMENSIONES","SIN LÍNEAS"),UPPER(TRIM(L208))))</f>
      </c>
      <c r="Q208" s="0">
        <f>IF(AND(O208&gt;0,LEN(TRIM(B208&amp;""))&gt;0,LEN(TRIM(C208&amp;""))&gt;0,LEN(TRIM(E208&amp;""))&gt;0,ISNUMBER(F208)),O208,"")</f>
      </c>
      <c r="R208" s="0" t="n">
        <f>IF(O208=0,0,IF(COUNTIFS($Q$13:$Q$512,O208)&gt;0,MATCH(O208,$Q$13:$Q$512,0),0))</f>
        <v>0</v>
      </c>
      <c r="S208" s="0">
        <f>IF(AB208="","",IF(SUMPRODUCT(--('LÉEME'!$B$65:$B$86=AC208))=1,INDEX('LÉEME'!$C$65:$C$86,MATCH(AC208,'LÉEME'!$B$65:$B$86,0)),UPPER(TRIM(AB208))))</f>
      </c>
      <c r="T208" s="0" t="n">
        <f>IF(R208=0,0,IF(OR(AND(LEN(TRIM(B208&amp;""))&gt;0,UPPER(TRIM(B208&amp;""))&lt;&gt;UPPER(TRIM(INDEX($B$13:$B$512,R208)&amp;""))),AND(LEN(TRIM(C208&amp;""))&gt;0,UPPER(TRIM(C208&amp;""))&lt;&gt;UPPER(TRIM(INDEX($C$13:$C$512,R208)&amp;""))),AND(LEN(TRIM(E208&amp;""))&gt;0,S208&lt;&gt;INDEX($S$13:$S$512,R208)),AND(F208&lt;&gt;"",NOT(ISNUMBER(F208)))),1,IF(ISNUMBER(F208),IF(ABS(F208-INDEX($F$13:$F$512,R208))&gt;0.00000001,1,0),0)))</f>
        <v>0</v>
      </c>
      <c r="U208" s="0" t="n">
        <f>IF(P208="DIRECTA",IF(AND(ISNUMBER(G208),COUNTA(H208:J208)=0),1,0),IF(P208="DIMENSIONES",IF(AND(COUNT(G208:J208)&gt;0,COUNTA(G208:J208)=COUNT(G208:J208)),1,0),0))</f>
        <v>0</v>
      </c>
      <c r="V208" s="0" t="n">
        <f>IF(O208=0,0,IF(COUNTIFS($O$13:O208,O208)=1,1,0))</f>
        <v>0</v>
      </c>
      <c r="W208" s="0">
        <f>IF(V208=1,COUNTIFS($V$13:V208,1),"")</f>
      </c>
      <c r="X208" s="0">
        <f>IF(COUNTA(B208:L208)=0,"",IF(OR(NOT(IF(ISNUMBER($E$6),AND($E$6&gt;=0,$E$6&lt;=6,$E$6=INT($E$6)),FALSE)),O208=0,R208=0,T208&gt;0,AND(P208&lt;&gt;"DIMENSIONES",P208&lt;&gt;"DIRECTA",P208&lt;&gt;"SIN LÍNEAS",P208&lt;&gt;"CABECERA"),AND(OR(P208="DIRECTA",P208="DIMENSIONES"),U208=0),AND(OR(P208="SIN LÍNEAS",P208="CABECERA"),COUNTA(G208:J208)&gt;0)),2,IF(OR(P208="SIN LÍNEAS",Y208&gt;0,Z208&gt;0,AA208&gt;0,SUMPRODUCT(--('LÉEME'!$B$65:$B$86=AC208))&lt;&gt;1),1,0)))</f>
      </c>
      <c r="Y208" s="0" t="n">
        <f>IF(AND(P208="DIMENSIONES",S208="m²",COUNT(H208:J208)=3),1,0)</f>
        <v>0</v>
      </c>
      <c r="Z208" s="0" t="n">
        <f>IF(IF(ISNUMBER($E$6),AND($E$6&gt;=0,$E$6&lt;=6,$E$6=INT($E$6)),FALSE),IF(SUM(IF(ISNUMBER(F208),IF(ABS(F208-ROUND(F208,$E$6))&gt;0.00000001,1,0),0),IF(ISNUMBER(G208),IF(ABS(G208-ROUND(G208,$E$6))&gt;0.00000001,1,0),0),IF(ISNUMBER(H208),IF(ABS(H208-ROUND(H208,$E$6))&gt;0.00000001,1,0),0),IF(ISNUMBER(I208),IF(ABS(I208-ROUND(I208,$E$6))&gt;0.00000001,1,0),0),IF(ISNUMBER(J208),IF(ABS(J208-ROUND(J208,$E$6))&gt;0.00000001,1,0),0),IF(ISNUMBER(M208),IF(ABS(M208-ROUND(M208,$E$6))&gt;0.00000001,1,0),0))&gt;0,1,0),0)</f>
        <v>0</v>
      </c>
      <c r="AA208" s="0" t="n">
        <f>IF(COUNTA(B208:L208)=0,0,IF(OR(AND(ISNUMBER(F208),F208&lt;0),AND(U208=1,OR(SUM(IF(ISNUMBER(G208),IF(G208=0,1,0),0),IF(ISNUMBER(H208),IF(H208=0,1,0),0),IF(ISNUMBER(I208),IF(I208=0,1,0),0),IF(ISNUMBER(J208),IF(J208=0,1,0),0))&gt;0,COUNTIFS(G208:J208,"&lt;0")&gt;0)),AND(P208="DIMENSIONES",U208=1,OR(AND(S208="m",COUNT(H208:J208)&lt;&gt;1),AND(S208="m²",COUNT(H208:J208)&lt;&gt;2,Y208=0),AND(S208="m³",COUNT(H208:J208)&lt;&gt;3),AND(S208="ud",COUNT(H208:J208)&gt;0))),AND(P208="DIRECTA",OR(S208="m",S208="m²",S208="m³"))),1,0))</f>
        <v>0</v>
      </c>
      <c r="AB208" s="0">
        <f>IF(LEN(TRIM(E208&amp;""))&gt;0,E208,IF(R208&gt;0,INDEX($E$13:$E$512,R208),""))</f>
      </c>
      <c r="AC208" s="0">
        <f>UPPER(SUBSTITUTE(SUBSTITUTE(SUBSTITUTE(SUBSTITUTE(SUBSTITUTE(TRIM(AB208),"²","2"),"³","3"),"^",""),".","")," ",""))</f>
      </c>
    </row>
    <row r="209" ht="35" customHeight="1">
      <c r="B209" s="35"/>
      <c r="C209" s="35"/>
      <c r="D209" s="37"/>
      <c r="E209" s="35"/>
      <c r="F209" s="38"/>
      <c r="G209" s="38"/>
      <c r="H209" s="38"/>
      <c r="I209" s="38"/>
      <c r="J209" s="38"/>
      <c r="K209" s="35"/>
      <c r="L209" s="35"/>
      <c r="M209" s="39">
        <f>IF(U209&lt;&gt;1,"",IF(P209="DIRECTA",G209,IF(ISNUMBER(G209),G209,1)*IF(ISNUMBER(H209),H209,1)*IF(ISNUMBER(I209),I209,1)*IF(ISNUMBER(J209),J209,1)))</f>
      </c>
      <c r="N209" s="30">
        <f>IF(COUNTA(B209:L209)=0,"",IF(X209=0,IF(P209="CABECERA","VERDE · Fila descriptiva; la suma usa las líneas del ID","VERDE · Datos numéricos interpretables"),IF(X209=2,"ROJO · ","ÁMBAR · ")&amp;IF(NOT(IF(ISNUMBER($E$6),AND($E$6&gt;=0,$E$6&lt;=6,$E$6=INT($E$6)),FALSE)),"Indicamos entre 0 y 6 decimales en E6. ","")&amp;IF(O209=0,"Falta un ID numérico. ","")&amp;IF(R209=0,"Faltan capítulo, código, unidad o total numérico del ID. ","")&amp;IF(T209&gt;0,"Los datos o el total del ID se contradicen. ","")&amp;IF(AND(P209&lt;&gt;"DIMENSIONES",P209&lt;&gt;"DIRECTA",P209&lt;&gt;"SIN LÍNEAS",P209&lt;&gt;"CABECERA"),"Tipo de fila no reconocido. ","")&amp;IF(AND(OR(P209="SIN LÍNEAS",P209="CABECERA"),COUNTA(G209:J209)&gt;0),"La fila dice que no mide, pero contiene medidas. ","")&amp;IF(AND(OR(P209="DIRECTA",P209="DIMENSIONES"),U209=0),"Línea incompleta o con medidas no numéricas. ","")&amp;IF(P209="SIN LÍNEAS","No constan medidas de esta fila. ","")&amp;IF(Y209&gt;0,"Parece m³: tres dimensiones bajo m². ","")&amp;IF(AND(AB209&lt;&gt;"",SUMPRODUCT(--('LÉEME'!$B$65:$B$86=AC209))&lt;&gt;1),"Revisamos el significado de la unidad. ","")&amp;IF(Z209&gt;0,"Más precisión que los decimales indicados: cotejamos el original. ","")&amp;IF(AA209&gt;0,"Revisamos dimensiones, cantidad directa, ceros o deducción. ","")))</f>
      </c>
      <c r="O209" s="0" t="n">
        <f>IF(ISNUMBER(K209),IF(AND(K209&gt;0,K209=INT(K209),K209&lt;=999999),K209,0),0)</f>
        <v>0</v>
      </c>
      <c r="P209" s="0">
        <f>IF(COUNTA(B209:L209)=0,"",IF(L209="",IF(COUNTA(G209:J209)&gt;0,"DIMENSIONES","SIN LÍNEAS"),UPPER(TRIM(L209))))</f>
      </c>
      <c r="Q209" s="0">
        <f>IF(AND(O209&gt;0,LEN(TRIM(B209&amp;""))&gt;0,LEN(TRIM(C209&amp;""))&gt;0,LEN(TRIM(E209&amp;""))&gt;0,ISNUMBER(F209)),O209,"")</f>
      </c>
      <c r="R209" s="0" t="n">
        <f>IF(O209=0,0,IF(COUNTIFS($Q$13:$Q$512,O209)&gt;0,MATCH(O209,$Q$13:$Q$512,0),0))</f>
        <v>0</v>
      </c>
      <c r="S209" s="0">
        <f>IF(AB209="","",IF(SUMPRODUCT(--('LÉEME'!$B$65:$B$86=AC209))=1,INDEX('LÉEME'!$C$65:$C$86,MATCH(AC209,'LÉEME'!$B$65:$B$86,0)),UPPER(TRIM(AB209))))</f>
      </c>
      <c r="T209" s="0" t="n">
        <f>IF(R209=0,0,IF(OR(AND(LEN(TRIM(B209&amp;""))&gt;0,UPPER(TRIM(B209&amp;""))&lt;&gt;UPPER(TRIM(INDEX($B$13:$B$512,R209)&amp;""))),AND(LEN(TRIM(C209&amp;""))&gt;0,UPPER(TRIM(C209&amp;""))&lt;&gt;UPPER(TRIM(INDEX($C$13:$C$512,R209)&amp;""))),AND(LEN(TRIM(E209&amp;""))&gt;0,S209&lt;&gt;INDEX($S$13:$S$512,R209)),AND(F209&lt;&gt;"",NOT(ISNUMBER(F209)))),1,IF(ISNUMBER(F209),IF(ABS(F209-INDEX($F$13:$F$512,R209))&gt;0.00000001,1,0),0)))</f>
        <v>0</v>
      </c>
      <c r="U209" s="0" t="n">
        <f>IF(P209="DIRECTA",IF(AND(ISNUMBER(G209),COUNTA(H209:J209)=0),1,0),IF(P209="DIMENSIONES",IF(AND(COUNT(G209:J209)&gt;0,COUNTA(G209:J209)=COUNT(G209:J209)),1,0),0))</f>
        <v>0</v>
      </c>
      <c r="V209" s="0" t="n">
        <f>IF(O209=0,0,IF(COUNTIFS($O$13:O209,O209)=1,1,0))</f>
        <v>0</v>
      </c>
      <c r="W209" s="0">
        <f>IF(V209=1,COUNTIFS($V$13:V209,1),"")</f>
      </c>
      <c r="X209" s="0">
        <f>IF(COUNTA(B209:L209)=0,"",IF(OR(NOT(IF(ISNUMBER($E$6),AND($E$6&gt;=0,$E$6&lt;=6,$E$6=INT($E$6)),FALSE)),O209=0,R209=0,T209&gt;0,AND(P209&lt;&gt;"DIMENSIONES",P209&lt;&gt;"DIRECTA",P209&lt;&gt;"SIN LÍNEAS",P209&lt;&gt;"CABECERA"),AND(OR(P209="DIRECTA",P209="DIMENSIONES"),U209=0),AND(OR(P209="SIN LÍNEAS",P209="CABECERA"),COUNTA(G209:J209)&gt;0)),2,IF(OR(P209="SIN LÍNEAS",Y209&gt;0,Z209&gt;0,AA209&gt;0,SUMPRODUCT(--('LÉEME'!$B$65:$B$86=AC209))&lt;&gt;1),1,0)))</f>
      </c>
      <c r="Y209" s="0" t="n">
        <f>IF(AND(P209="DIMENSIONES",S209="m²",COUNT(H209:J209)=3),1,0)</f>
        <v>0</v>
      </c>
      <c r="Z209" s="0" t="n">
        <f>IF(IF(ISNUMBER($E$6),AND($E$6&gt;=0,$E$6&lt;=6,$E$6=INT($E$6)),FALSE),IF(SUM(IF(ISNUMBER(F209),IF(ABS(F209-ROUND(F209,$E$6))&gt;0.00000001,1,0),0),IF(ISNUMBER(G209),IF(ABS(G209-ROUND(G209,$E$6))&gt;0.00000001,1,0),0),IF(ISNUMBER(H209),IF(ABS(H209-ROUND(H209,$E$6))&gt;0.00000001,1,0),0),IF(ISNUMBER(I209),IF(ABS(I209-ROUND(I209,$E$6))&gt;0.00000001,1,0),0),IF(ISNUMBER(J209),IF(ABS(J209-ROUND(J209,$E$6))&gt;0.00000001,1,0),0),IF(ISNUMBER(M209),IF(ABS(M209-ROUND(M209,$E$6))&gt;0.00000001,1,0),0))&gt;0,1,0),0)</f>
        <v>0</v>
      </c>
      <c r="AA209" s="0" t="n">
        <f>IF(COUNTA(B209:L209)=0,0,IF(OR(AND(ISNUMBER(F209),F209&lt;0),AND(U209=1,OR(SUM(IF(ISNUMBER(G209),IF(G209=0,1,0),0),IF(ISNUMBER(H209),IF(H209=0,1,0),0),IF(ISNUMBER(I209),IF(I209=0,1,0),0),IF(ISNUMBER(J209),IF(J209=0,1,0),0))&gt;0,COUNTIFS(G209:J209,"&lt;0")&gt;0)),AND(P209="DIMENSIONES",U209=1,OR(AND(S209="m",COUNT(H209:J209)&lt;&gt;1),AND(S209="m²",COUNT(H209:J209)&lt;&gt;2,Y209=0),AND(S209="m³",COUNT(H209:J209)&lt;&gt;3),AND(S209="ud",COUNT(H209:J209)&gt;0))),AND(P209="DIRECTA",OR(S209="m",S209="m²",S209="m³"))),1,0))</f>
        <v>0</v>
      </c>
      <c r="AB209" s="0">
        <f>IF(LEN(TRIM(E209&amp;""))&gt;0,E209,IF(R209&gt;0,INDEX($E$13:$E$512,R209),""))</f>
      </c>
      <c r="AC209" s="0">
        <f>UPPER(SUBSTITUTE(SUBSTITUTE(SUBSTITUTE(SUBSTITUTE(SUBSTITUTE(TRIM(AB209),"²","2"),"³","3"),"^",""),".","")," ",""))</f>
      </c>
    </row>
    <row r="210" ht="35" customHeight="1">
      <c r="B210" s="35"/>
      <c r="C210" s="35"/>
      <c r="D210" s="37"/>
      <c r="E210" s="35"/>
      <c r="F210" s="38"/>
      <c r="G210" s="38"/>
      <c r="H210" s="38"/>
      <c r="I210" s="38"/>
      <c r="J210" s="38"/>
      <c r="K210" s="35"/>
      <c r="L210" s="35"/>
      <c r="M210" s="39">
        <f>IF(U210&lt;&gt;1,"",IF(P210="DIRECTA",G210,IF(ISNUMBER(G210),G210,1)*IF(ISNUMBER(H210),H210,1)*IF(ISNUMBER(I210),I210,1)*IF(ISNUMBER(J210),J210,1)))</f>
      </c>
      <c r="N210" s="30">
        <f>IF(COUNTA(B210:L210)=0,"",IF(X210=0,IF(P210="CABECERA","VERDE · Fila descriptiva; la suma usa las líneas del ID","VERDE · Datos numéricos interpretables"),IF(X210=2,"ROJO · ","ÁMBAR · ")&amp;IF(NOT(IF(ISNUMBER($E$6),AND($E$6&gt;=0,$E$6&lt;=6,$E$6=INT($E$6)),FALSE)),"Indicamos entre 0 y 6 decimales en E6. ","")&amp;IF(O210=0,"Falta un ID numérico. ","")&amp;IF(R210=0,"Faltan capítulo, código, unidad o total numérico del ID. ","")&amp;IF(T210&gt;0,"Los datos o el total del ID se contradicen. ","")&amp;IF(AND(P210&lt;&gt;"DIMENSIONES",P210&lt;&gt;"DIRECTA",P210&lt;&gt;"SIN LÍNEAS",P210&lt;&gt;"CABECERA"),"Tipo de fila no reconocido. ","")&amp;IF(AND(OR(P210="SIN LÍNEAS",P210="CABECERA"),COUNTA(G210:J210)&gt;0),"La fila dice que no mide, pero contiene medidas. ","")&amp;IF(AND(OR(P210="DIRECTA",P210="DIMENSIONES"),U210=0),"Línea incompleta o con medidas no numéricas. ","")&amp;IF(P210="SIN LÍNEAS","No constan medidas de esta fila. ","")&amp;IF(Y210&gt;0,"Parece m³: tres dimensiones bajo m². ","")&amp;IF(AND(AB210&lt;&gt;"",SUMPRODUCT(--('LÉEME'!$B$65:$B$86=AC210))&lt;&gt;1),"Revisamos el significado de la unidad. ","")&amp;IF(Z210&gt;0,"Más precisión que los decimales indicados: cotejamos el original. ","")&amp;IF(AA210&gt;0,"Revisamos dimensiones, cantidad directa, ceros o deducción. ","")))</f>
      </c>
      <c r="O210" s="0" t="n">
        <f>IF(ISNUMBER(K210),IF(AND(K210&gt;0,K210=INT(K210),K210&lt;=999999),K210,0),0)</f>
        <v>0</v>
      </c>
      <c r="P210" s="0">
        <f>IF(COUNTA(B210:L210)=0,"",IF(L210="",IF(COUNTA(G210:J210)&gt;0,"DIMENSIONES","SIN LÍNEAS"),UPPER(TRIM(L210))))</f>
      </c>
      <c r="Q210" s="0">
        <f>IF(AND(O210&gt;0,LEN(TRIM(B210&amp;""))&gt;0,LEN(TRIM(C210&amp;""))&gt;0,LEN(TRIM(E210&amp;""))&gt;0,ISNUMBER(F210)),O210,"")</f>
      </c>
      <c r="R210" s="0" t="n">
        <f>IF(O210=0,0,IF(COUNTIFS($Q$13:$Q$512,O210)&gt;0,MATCH(O210,$Q$13:$Q$512,0),0))</f>
        <v>0</v>
      </c>
      <c r="S210" s="0">
        <f>IF(AB210="","",IF(SUMPRODUCT(--('LÉEME'!$B$65:$B$86=AC210))=1,INDEX('LÉEME'!$C$65:$C$86,MATCH(AC210,'LÉEME'!$B$65:$B$86,0)),UPPER(TRIM(AB210))))</f>
      </c>
      <c r="T210" s="0" t="n">
        <f>IF(R210=0,0,IF(OR(AND(LEN(TRIM(B210&amp;""))&gt;0,UPPER(TRIM(B210&amp;""))&lt;&gt;UPPER(TRIM(INDEX($B$13:$B$512,R210)&amp;""))),AND(LEN(TRIM(C210&amp;""))&gt;0,UPPER(TRIM(C210&amp;""))&lt;&gt;UPPER(TRIM(INDEX($C$13:$C$512,R210)&amp;""))),AND(LEN(TRIM(E210&amp;""))&gt;0,S210&lt;&gt;INDEX($S$13:$S$512,R210)),AND(F210&lt;&gt;"",NOT(ISNUMBER(F210)))),1,IF(ISNUMBER(F210),IF(ABS(F210-INDEX($F$13:$F$512,R210))&gt;0.00000001,1,0),0)))</f>
        <v>0</v>
      </c>
      <c r="U210" s="0" t="n">
        <f>IF(P210="DIRECTA",IF(AND(ISNUMBER(G210),COUNTA(H210:J210)=0),1,0),IF(P210="DIMENSIONES",IF(AND(COUNT(G210:J210)&gt;0,COUNTA(G210:J210)=COUNT(G210:J210)),1,0),0))</f>
        <v>0</v>
      </c>
      <c r="V210" s="0" t="n">
        <f>IF(O210=0,0,IF(COUNTIFS($O$13:O210,O210)=1,1,0))</f>
        <v>0</v>
      </c>
      <c r="W210" s="0">
        <f>IF(V210=1,COUNTIFS($V$13:V210,1),"")</f>
      </c>
      <c r="X210" s="0">
        <f>IF(COUNTA(B210:L210)=0,"",IF(OR(NOT(IF(ISNUMBER($E$6),AND($E$6&gt;=0,$E$6&lt;=6,$E$6=INT($E$6)),FALSE)),O210=0,R210=0,T210&gt;0,AND(P210&lt;&gt;"DIMENSIONES",P210&lt;&gt;"DIRECTA",P210&lt;&gt;"SIN LÍNEAS",P210&lt;&gt;"CABECERA"),AND(OR(P210="DIRECTA",P210="DIMENSIONES"),U210=0),AND(OR(P210="SIN LÍNEAS",P210="CABECERA"),COUNTA(G210:J210)&gt;0)),2,IF(OR(P210="SIN LÍNEAS",Y210&gt;0,Z210&gt;0,AA210&gt;0,SUMPRODUCT(--('LÉEME'!$B$65:$B$86=AC210))&lt;&gt;1),1,0)))</f>
      </c>
      <c r="Y210" s="0" t="n">
        <f>IF(AND(P210="DIMENSIONES",S210="m²",COUNT(H210:J210)=3),1,0)</f>
        <v>0</v>
      </c>
      <c r="Z210" s="0" t="n">
        <f>IF(IF(ISNUMBER($E$6),AND($E$6&gt;=0,$E$6&lt;=6,$E$6=INT($E$6)),FALSE),IF(SUM(IF(ISNUMBER(F210),IF(ABS(F210-ROUND(F210,$E$6))&gt;0.00000001,1,0),0),IF(ISNUMBER(G210),IF(ABS(G210-ROUND(G210,$E$6))&gt;0.00000001,1,0),0),IF(ISNUMBER(H210),IF(ABS(H210-ROUND(H210,$E$6))&gt;0.00000001,1,0),0),IF(ISNUMBER(I210),IF(ABS(I210-ROUND(I210,$E$6))&gt;0.00000001,1,0),0),IF(ISNUMBER(J210),IF(ABS(J210-ROUND(J210,$E$6))&gt;0.00000001,1,0),0),IF(ISNUMBER(M210),IF(ABS(M210-ROUND(M210,$E$6))&gt;0.00000001,1,0),0))&gt;0,1,0),0)</f>
        <v>0</v>
      </c>
      <c r="AA210" s="0" t="n">
        <f>IF(COUNTA(B210:L210)=0,0,IF(OR(AND(ISNUMBER(F210),F210&lt;0),AND(U210=1,OR(SUM(IF(ISNUMBER(G210),IF(G210=0,1,0),0),IF(ISNUMBER(H210),IF(H210=0,1,0),0),IF(ISNUMBER(I210),IF(I210=0,1,0),0),IF(ISNUMBER(J210),IF(J210=0,1,0),0))&gt;0,COUNTIFS(G210:J210,"&lt;0")&gt;0)),AND(P210="DIMENSIONES",U210=1,OR(AND(S210="m",COUNT(H210:J210)&lt;&gt;1),AND(S210="m²",COUNT(H210:J210)&lt;&gt;2,Y210=0),AND(S210="m³",COUNT(H210:J210)&lt;&gt;3),AND(S210="ud",COUNT(H210:J210)&gt;0))),AND(P210="DIRECTA",OR(S210="m",S210="m²",S210="m³"))),1,0))</f>
        <v>0</v>
      </c>
      <c r="AB210" s="0">
        <f>IF(LEN(TRIM(E210&amp;""))&gt;0,E210,IF(R210&gt;0,INDEX($E$13:$E$512,R210),""))</f>
      </c>
      <c r="AC210" s="0">
        <f>UPPER(SUBSTITUTE(SUBSTITUTE(SUBSTITUTE(SUBSTITUTE(SUBSTITUTE(TRIM(AB210),"²","2"),"³","3"),"^",""),".","")," ",""))</f>
      </c>
    </row>
    <row r="211" ht="35" customHeight="1">
      <c r="B211" s="35"/>
      <c r="C211" s="35"/>
      <c r="D211" s="37"/>
      <c r="E211" s="35"/>
      <c r="F211" s="38"/>
      <c r="G211" s="38"/>
      <c r="H211" s="38"/>
      <c r="I211" s="38"/>
      <c r="J211" s="38"/>
      <c r="K211" s="35"/>
      <c r="L211" s="35"/>
      <c r="M211" s="39">
        <f>IF(U211&lt;&gt;1,"",IF(P211="DIRECTA",G211,IF(ISNUMBER(G211),G211,1)*IF(ISNUMBER(H211),H211,1)*IF(ISNUMBER(I211),I211,1)*IF(ISNUMBER(J211),J211,1)))</f>
      </c>
      <c r="N211" s="30">
        <f>IF(COUNTA(B211:L211)=0,"",IF(X211=0,IF(P211="CABECERA","VERDE · Fila descriptiva; la suma usa las líneas del ID","VERDE · Datos numéricos interpretables"),IF(X211=2,"ROJO · ","ÁMBAR · ")&amp;IF(NOT(IF(ISNUMBER($E$6),AND($E$6&gt;=0,$E$6&lt;=6,$E$6=INT($E$6)),FALSE)),"Indicamos entre 0 y 6 decimales en E6. ","")&amp;IF(O211=0,"Falta un ID numérico. ","")&amp;IF(R211=0,"Faltan capítulo, código, unidad o total numérico del ID. ","")&amp;IF(T211&gt;0,"Los datos o el total del ID se contradicen. ","")&amp;IF(AND(P211&lt;&gt;"DIMENSIONES",P211&lt;&gt;"DIRECTA",P211&lt;&gt;"SIN LÍNEAS",P211&lt;&gt;"CABECERA"),"Tipo de fila no reconocido. ","")&amp;IF(AND(OR(P211="SIN LÍNEAS",P211="CABECERA"),COUNTA(G211:J211)&gt;0),"La fila dice que no mide, pero contiene medidas. ","")&amp;IF(AND(OR(P211="DIRECTA",P211="DIMENSIONES"),U211=0),"Línea incompleta o con medidas no numéricas. ","")&amp;IF(P211="SIN LÍNEAS","No constan medidas de esta fila. ","")&amp;IF(Y211&gt;0,"Parece m³: tres dimensiones bajo m². ","")&amp;IF(AND(AB211&lt;&gt;"",SUMPRODUCT(--('LÉEME'!$B$65:$B$86=AC211))&lt;&gt;1),"Revisamos el significado de la unidad. ","")&amp;IF(Z211&gt;0,"Más precisión que los decimales indicados: cotejamos el original. ","")&amp;IF(AA211&gt;0,"Revisamos dimensiones, cantidad directa, ceros o deducción. ","")))</f>
      </c>
      <c r="O211" s="0" t="n">
        <f>IF(ISNUMBER(K211),IF(AND(K211&gt;0,K211=INT(K211),K211&lt;=999999),K211,0),0)</f>
        <v>0</v>
      </c>
      <c r="P211" s="0">
        <f>IF(COUNTA(B211:L211)=0,"",IF(L211="",IF(COUNTA(G211:J211)&gt;0,"DIMENSIONES","SIN LÍNEAS"),UPPER(TRIM(L211))))</f>
      </c>
      <c r="Q211" s="0">
        <f>IF(AND(O211&gt;0,LEN(TRIM(B211&amp;""))&gt;0,LEN(TRIM(C211&amp;""))&gt;0,LEN(TRIM(E211&amp;""))&gt;0,ISNUMBER(F211)),O211,"")</f>
      </c>
      <c r="R211" s="0" t="n">
        <f>IF(O211=0,0,IF(COUNTIFS($Q$13:$Q$512,O211)&gt;0,MATCH(O211,$Q$13:$Q$512,0),0))</f>
        <v>0</v>
      </c>
      <c r="S211" s="0">
        <f>IF(AB211="","",IF(SUMPRODUCT(--('LÉEME'!$B$65:$B$86=AC211))=1,INDEX('LÉEME'!$C$65:$C$86,MATCH(AC211,'LÉEME'!$B$65:$B$86,0)),UPPER(TRIM(AB211))))</f>
      </c>
      <c r="T211" s="0" t="n">
        <f>IF(R211=0,0,IF(OR(AND(LEN(TRIM(B211&amp;""))&gt;0,UPPER(TRIM(B211&amp;""))&lt;&gt;UPPER(TRIM(INDEX($B$13:$B$512,R211)&amp;""))),AND(LEN(TRIM(C211&amp;""))&gt;0,UPPER(TRIM(C211&amp;""))&lt;&gt;UPPER(TRIM(INDEX($C$13:$C$512,R211)&amp;""))),AND(LEN(TRIM(E211&amp;""))&gt;0,S211&lt;&gt;INDEX($S$13:$S$512,R211)),AND(F211&lt;&gt;"",NOT(ISNUMBER(F211)))),1,IF(ISNUMBER(F211),IF(ABS(F211-INDEX($F$13:$F$512,R211))&gt;0.00000001,1,0),0)))</f>
        <v>0</v>
      </c>
      <c r="U211" s="0" t="n">
        <f>IF(P211="DIRECTA",IF(AND(ISNUMBER(G211),COUNTA(H211:J211)=0),1,0),IF(P211="DIMENSIONES",IF(AND(COUNT(G211:J211)&gt;0,COUNTA(G211:J211)=COUNT(G211:J211)),1,0),0))</f>
        <v>0</v>
      </c>
      <c r="V211" s="0" t="n">
        <f>IF(O211=0,0,IF(COUNTIFS($O$13:O211,O211)=1,1,0))</f>
        <v>0</v>
      </c>
      <c r="W211" s="0">
        <f>IF(V211=1,COUNTIFS($V$13:V211,1),"")</f>
      </c>
      <c r="X211" s="0">
        <f>IF(COUNTA(B211:L211)=0,"",IF(OR(NOT(IF(ISNUMBER($E$6),AND($E$6&gt;=0,$E$6&lt;=6,$E$6=INT($E$6)),FALSE)),O211=0,R211=0,T211&gt;0,AND(P211&lt;&gt;"DIMENSIONES",P211&lt;&gt;"DIRECTA",P211&lt;&gt;"SIN LÍNEAS",P211&lt;&gt;"CABECERA"),AND(OR(P211="DIRECTA",P211="DIMENSIONES"),U211=0),AND(OR(P211="SIN LÍNEAS",P211="CABECERA"),COUNTA(G211:J211)&gt;0)),2,IF(OR(P211="SIN LÍNEAS",Y211&gt;0,Z211&gt;0,AA211&gt;0,SUMPRODUCT(--('LÉEME'!$B$65:$B$86=AC211))&lt;&gt;1),1,0)))</f>
      </c>
      <c r="Y211" s="0" t="n">
        <f>IF(AND(P211="DIMENSIONES",S211="m²",COUNT(H211:J211)=3),1,0)</f>
        <v>0</v>
      </c>
      <c r="Z211" s="0" t="n">
        <f>IF(IF(ISNUMBER($E$6),AND($E$6&gt;=0,$E$6&lt;=6,$E$6=INT($E$6)),FALSE),IF(SUM(IF(ISNUMBER(F211),IF(ABS(F211-ROUND(F211,$E$6))&gt;0.00000001,1,0),0),IF(ISNUMBER(G211),IF(ABS(G211-ROUND(G211,$E$6))&gt;0.00000001,1,0),0),IF(ISNUMBER(H211),IF(ABS(H211-ROUND(H211,$E$6))&gt;0.00000001,1,0),0),IF(ISNUMBER(I211),IF(ABS(I211-ROUND(I211,$E$6))&gt;0.00000001,1,0),0),IF(ISNUMBER(J211),IF(ABS(J211-ROUND(J211,$E$6))&gt;0.00000001,1,0),0),IF(ISNUMBER(M211),IF(ABS(M211-ROUND(M211,$E$6))&gt;0.00000001,1,0),0))&gt;0,1,0),0)</f>
        <v>0</v>
      </c>
      <c r="AA211" s="0" t="n">
        <f>IF(COUNTA(B211:L211)=0,0,IF(OR(AND(ISNUMBER(F211),F211&lt;0),AND(U211=1,OR(SUM(IF(ISNUMBER(G211),IF(G211=0,1,0),0),IF(ISNUMBER(H211),IF(H211=0,1,0),0),IF(ISNUMBER(I211),IF(I211=0,1,0),0),IF(ISNUMBER(J211),IF(J211=0,1,0),0))&gt;0,COUNTIFS(G211:J211,"&lt;0")&gt;0)),AND(P211="DIMENSIONES",U211=1,OR(AND(S211="m",COUNT(H211:J211)&lt;&gt;1),AND(S211="m²",COUNT(H211:J211)&lt;&gt;2,Y211=0),AND(S211="m³",COUNT(H211:J211)&lt;&gt;3),AND(S211="ud",COUNT(H211:J211)&gt;0))),AND(P211="DIRECTA",OR(S211="m",S211="m²",S211="m³"))),1,0))</f>
        <v>0</v>
      </c>
      <c r="AB211" s="0">
        <f>IF(LEN(TRIM(E211&amp;""))&gt;0,E211,IF(R211&gt;0,INDEX($E$13:$E$512,R211),""))</f>
      </c>
      <c r="AC211" s="0">
        <f>UPPER(SUBSTITUTE(SUBSTITUTE(SUBSTITUTE(SUBSTITUTE(SUBSTITUTE(TRIM(AB211),"²","2"),"³","3"),"^",""),".","")," ",""))</f>
      </c>
    </row>
    <row r="212" ht="35" customHeight="1">
      <c r="B212" s="35"/>
      <c r="C212" s="35"/>
      <c r="D212" s="37"/>
      <c r="E212" s="35"/>
      <c r="F212" s="38"/>
      <c r="G212" s="38"/>
      <c r="H212" s="38"/>
      <c r="I212" s="38"/>
      <c r="J212" s="38"/>
      <c r="K212" s="35"/>
      <c r="L212" s="35"/>
      <c r="M212" s="39">
        <f>IF(U212&lt;&gt;1,"",IF(P212="DIRECTA",G212,IF(ISNUMBER(G212),G212,1)*IF(ISNUMBER(H212),H212,1)*IF(ISNUMBER(I212),I212,1)*IF(ISNUMBER(J212),J212,1)))</f>
      </c>
      <c r="N212" s="30">
        <f>IF(COUNTA(B212:L212)=0,"",IF(X212=0,IF(P212="CABECERA","VERDE · Fila descriptiva; la suma usa las líneas del ID","VERDE · Datos numéricos interpretables"),IF(X212=2,"ROJO · ","ÁMBAR · ")&amp;IF(NOT(IF(ISNUMBER($E$6),AND($E$6&gt;=0,$E$6&lt;=6,$E$6=INT($E$6)),FALSE)),"Indicamos entre 0 y 6 decimales en E6. ","")&amp;IF(O212=0,"Falta un ID numérico. ","")&amp;IF(R212=0,"Faltan capítulo, código, unidad o total numérico del ID. ","")&amp;IF(T212&gt;0,"Los datos o el total del ID se contradicen. ","")&amp;IF(AND(P212&lt;&gt;"DIMENSIONES",P212&lt;&gt;"DIRECTA",P212&lt;&gt;"SIN LÍNEAS",P212&lt;&gt;"CABECERA"),"Tipo de fila no reconocido. ","")&amp;IF(AND(OR(P212="SIN LÍNEAS",P212="CABECERA"),COUNTA(G212:J212)&gt;0),"La fila dice que no mide, pero contiene medidas. ","")&amp;IF(AND(OR(P212="DIRECTA",P212="DIMENSIONES"),U212=0),"Línea incompleta o con medidas no numéricas. ","")&amp;IF(P212="SIN LÍNEAS","No constan medidas de esta fila. ","")&amp;IF(Y212&gt;0,"Parece m³: tres dimensiones bajo m². ","")&amp;IF(AND(AB212&lt;&gt;"",SUMPRODUCT(--('LÉEME'!$B$65:$B$86=AC212))&lt;&gt;1),"Revisamos el significado de la unidad. ","")&amp;IF(Z212&gt;0,"Más precisión que los decimales indicados: cotejamos el original. ","")&amp;IF(AA212&gt;0,"Revisamos dimensiones, cantidad directa, ceros o deducción. ","")))</f>
      </c>
      <c r="O212" s="0" t="n">
        <f>IF(ISNUMBER(K212),IF(AND(K212&gt;0,K212=INT(K212),K212&lt;=999999),K212,0),0)</f>
        <v>0</v>
      </c>
      <c r="P212" s="0">
        <f>IF(COUNTA(B212:L212)=0,"",IF(L212="",IF(COUNTA(G212:J212)&gt;0,"DIMENSIONES","SIN LÍNEAS"),UPPER(TRIM(L212))))</f>
      </c>
      <c r="Q212" s="0">
        <f>IF(AND(O212&gt;0,LEN(TRIM(B212&amp;""))&gt;0,LEN(TRIM(C212&amp;""))&gt;0,LEN(TRIM(E212&amp;""))&gt;0,ISNUMBER(F212)),O212,"")</f>
      </c>
      <c r="R212" s="0" t="n">
        <f>IF(O212=0,0,IF(COUNTIFS($Q$13:$Q$512,O212)&gt;0,MATCH(O212,$Q$13:$Q$512,0),0))</f>
        <v>0</v>
      </c>
      <c r="S212" s="0">
        <f>IF(AB212="","",IF(SUMPRODUCT(--('LÉEME'!$B$65:$B$86=AC212))=1,INDEX('LÉEME'!$C$65:$C$86,MATCH(AC212,'LÉEME'!$B$65:$B$86,0)),UPPER(TRIM(AB212))))</f>
      </c>
      <c r="T212" s="0" t="n">
        <f>IF(R212=0,0,IF(OR(AND(LEN(TRIM(B212&amp;""))&gt;0,UPPER(TRIM(B212&amp;""))&lt;&gt;UPPER(TRIM(INDEX($B$13:$B$512,R212)&amp;""))),AND(LEN(TRIM(C212&amp;""))&gt;0,UPPER(TRIM(C212&amp;""))&lt;&gt;UPPER(TRIM(INDEX($C$13:$C$512,R212)&amp;""))),AND(LEN(TRIM(E212&amp;""))&gt;0,S212&lt;&gt;INDEX($S$13:$S$512,R212)),AND(F212&lt;&gt;"",NOT(ISNUMBER(F212)))),1,IF(ISNUMBER(F212),IF(ABS(F212-INDEX($F$13:$F$512,R212))&gt;0.00000001,1,0),0)))</f>
        <v>0</v>
      </c>
      <c r="U212" s="0" t="n">
        <f>IF(P212="DIRECTA",IF(AND(ISNUMBER(G212),COUNTA(H212:J212)=0),1,0),IF(P212="DIMENSIONES",IF(AND(COUNT(G212:J212)&gt;0,COUNTA(G212:J212)=COUNT(G212:J212)),1,0),0))</f>
        <v>0</v>
      </c>
      <c r="V212" s="0" t="n">
        <f>IF(O212=0,0,IF(COUNTIFS($O$13:O212,O212)=1,1,0))</f>
        <v>0</v>
      </c>
      <c r="W212" s="0">
        <f>IF(V212=1,COUNTIFS($V$13:V212,1),"")</f>
      </c>
      <c r="X212" s="0">
        <f>IF(COUNTA(B212:L212)=0,"",IF(OR(NOT(IF(ISNUMBER($E$6),AND($E$6&gt;=0,$E$6&lt;=6,$E$6=INT($E$6)),FALSE)),O212=0,R212=0,T212&gt;0,AND(P212&lt;&gt;"DIMENSIONES",P212&lt;&gt;"DIRECTA",P212&lt;&gt;"SIN LÍNEAS",P212&lt;&gt;"CABECERA"),AND(OR(P212="DIRECTA",P212="DIMENSIONES"),U212=0),AND(OR(P212="SIN LÍNEAS",P212="CABECERA"),COUNTA(G212:J212)&gt;0)),2,IF(OR(P212="SIN LÍNEAS",Y212&gt;0,Z212&gt;0,AA212&gt;0,SUMPRODUCT(--('LÉEME'!$B$65:$B$86=AC212))&lt;&gt;1),1,0)))</f>
      </c>
      <c r="Y212" s="0" t="n">
        <f>IF(AND(P212="DIMENSIONES",S212="m²",COUNT(H212:J212)=3),1,0)</f>
        <v>0</v>
      </c>
      <c r="Z212" s="0" t="n">
        <f>IF(IF(ISNUMBER($E$6),AND($E$6&gt;=0,$E$6&lt;=6,$E$6=INT($E$6)),FALSE),IF(SUM(IF(ISNUMBER(F212),IF(ABS(F212-ROUND(F212,$E$6))&gt;0.00000001,1,0),0),IF(ISNUMBER(G212),IF(ABS(G212-ROUND(G212,$E$6))&gt;0.00000001,1,0),0),IF(ISNUMBER(H212),IF(ABS(H212-ROUND(H212,$E$6))&gt;0.00000001,1,0),0),IF(ISNUMBER(I212),IF(ABS(I212-ROUND(I212,$E$6))&gt;0.00000001,1,0),0),IF(ISNUMBER(J212),IF(ABS(J212-ROUND(J212,$E$6))&gt;0.00000001,1,0),0),IF(ISNUMBER(M212),IF(ABS(M212-ROUND(M212,$E$6))&gt;0.00000001,1,0),0))&gt;0,1,0),0)</f>
        <v>0</v>
      </c>
      <c r="AA212" s="0" t="n">
        <f>IF(COUNTA(B212:L212)=0,0,IF(OR(AND(ISNUMBER(F212),F212&lt;0),AND(U212=1,OR(SUM(IF(ISNUMBER(G212),IF(G212=0,1,0),0),IF(ISNUMBER(H212),IF(H212=0,1,0),0),IF(ISNUMBER(I212),IF(I212=0,1,0),0),IF(ISNUMBER(J212),IF(J212=0,1,0),0))&gt;0,COUNTIFS(G212:J212,"&lt;0")&gt;0)),AND(P212="DIMENSIONES",U212=1,OR(AND(S212="m",COUNT(H212:J212)&lt;&gt;1),AND(S212="m²",COUNT(H212:J212)&lt;&gt;2,Y212=0),AND(S212="m³",COUNT(H212:J212)&lt;&gt;3),AND(S212="ud",COUNT(H212:J212)&gt;0))),AND(P212="DIRECTA",OR(S212="m",S212="m²",S212="m³"))),1,0))</f>
        <v>0</v>
      </c>
      <c r="AB212" s="0">
        <f>IF(LEN(TRIM(E212&amp;""))&gt;0,E212,IF(R212&gt;0,INDEX($E$13:$E$512,R212),""))</f>
      </c>
      <c r="AC212" s="0">
        <f>UPPER(SUBSTITUTE(SUBSTITUTE(SUBSTITUTE(SUBSTITUTE(SUBSTITUTE(TRIM(AB212),"²","2"),"³","3"),"^",""),".","")," ",""))</f>
      </c>
    </row>
    <row r="213" ht="35" customHeight="1">
      <c r="B213" s="35"/>
      <c r="C213" s="35"/>
      <c r="D213" s="37"/>
      <c r="E213" s="35"/>
      <c r="F213" s="38"/>
      <c r="G213" s="38"/>
      <c r="H213" s="38"/>
      <c r="I213" s="38"/>
      <c r="J213" s="38"/>
      <c r="K213" s="35"/>
      <c r="L213" s="35"/>
      <c r="M213" s="39">
        <f>IF(U213&lt;&gt;1,"",IF(P213="DIRECTA",G213,IF(ISNUMBER(G213),G213,1)*IF(ISNUMBER(H213),H213,1)*IF(ISNUMBER(I213),I213,1)*IF(ISNUMBER(J213),J213,1)))</f>
      </c>
      <c r="N213" s="30">
        <f>IF(COUNTA(B213:L213)=0,"",IF(X213=0,IF(P213="CABECERA","VERDE · Fila descriptiva; la suma usa las líneas del ID","VERDE · Datos numéricos interpretables"),IF(X213=2,"ROJO · ","ÁMBAR · ")&amp;IF(NOT(IF(ISNUMBER($E$6),AND($E$6&gt;=0,$E$6&lt;=6,$E$6=INT($E$6)),FALSE)),"Indicamos entre 0 y 6 decimales en E6. ","")&amp;IF(O213=0,"Falta un ID numérico. ","")&amp;IF(R213=0,"Faltan capítulo, código, unidad o total numérico del ID. ","")&amp;IF(T213&gt;0,"Los datos o el total del ID se contradicen. ","")&amp;IF(AND(P213&lt;&gt;"DIMENSIONES",P213&lt;&gt;"DIRECTA",P213&lt;&gt;"SIN LÍNEAS",P213&lt;&gt;"CABECERA"),"Tipo de fila no reconocido. ","")&amp;IF(AND(OR(P213="SIN LÍNEAS",P213="CABECERA"),COUNTA(G213:J213)&gt;0),"La fila dice que no mide, pero contiene medidas. ","")&amp;IF(AND(OR(P213="DIRECTA",P213="DIMENSIONES"),U213=0),"Línea incompleta o con medidas no numéricas. ","")&amp;IF(P213="SIN LÍNEAS","No constan medidas de esta fila. ","")&amp;IF(Y213&gt;0,"Parece m³: tres dimensiones bajo m². ","")&amp;IF(AND(AB213&lt;&gt;"",SUMPRODUCT(--('LÉEME'!$B$65:$B$86=AC213))&lt;&gt;1),"Revisamos el significado de la unidad. ","")&amp;IF(Z213&gt;0,"Más precisión que los decimales indicados: cotejamos el original. ","")&amp;IF(AA213&gt;0,"Revisamos dimensiones, cantidad directa, ceros o deducción. ","")))</f>
      </c>
      <c r="O213" s="0" t="n">
        <f>IF(ISNUMBER(K213),IF(AND(K213&gt;0,K213=INT(K213),K213&lt;=999999),K213,0),0)</f>
        <v>0</v>
      </c>
      <c r="P213" s="0">
        <f>IF(COUNTA(B213:L213)=0,"",IF(L213="",IF(COUNTA(G213:J213)&gt;0,"DIMENSIONES","SIN LÍNEAS"),UPPER(TRIM(L213))))</f>
      </c>
      <c r="Q213" s="0">
        <f>IF(AND(O213&gt;0,LEN(TRIM(B213&amp;""))&gt;0,LEN(TRIM(C213&amp;""))&gt;0,LEN(TRIM(E213&amp;""))&gt;0,ISNUMBER(F213)),O213,"")</f>
      </c>
      <c r="R213" s="0" t="n">
        <f>IF(O213=0,0,IF(COUNTIFS($Q$13:$Q$512,O213)&gt;0,MATCH(O213,$Q$13:$Q$512,0),0))</f>
        <v>0</v>
      </c>
      <c r="S213" s="0">
        <f>IF(AB213="","",IF(SUMPRODUCT(--('LÉEME'!$B$65:$B$86=AC213))=1,INDEX('LÉEME'!$C$65:$C$86,MATCH(AC213,'LÉEME'!$B$65:$B$86,0)),UPPER(TRIM(AB213))))</f>
      </c>
      <c r="T213" s="0" t="n">
        <f>IF(R213=0,0,IF(OR(AND(LEN(TRIM(B213&amp;""))&gt;0,UPPER(TRIM(B213&amp;""))&lt;&gt;UPPER(TRIM(INDEX($B$13:$B$512,R213)&amp;""))),AND(LEN(TRIM(C213&amp;""))&gt;0,UPPER(TRIM(C213&amp;""))&lt;&gt;UPPER(TRIM(INDEX($C$13:$C$512,R213)&amp;""))),AND(LEN(TRIM(E213&amp;""))&gt;0,S213&lt;&gt;INDEX($S$13:$S$512,R213)),AND(F213&lt;&gt;"",NOT(ISNUMBER(F213)))),1,IF(ISNUMBER(F213),IF(ABS(F213-INDEX($F$13:$F$512,R213))&gt;0.00000001,1,0),0)))</f>
        <v>0</v>
      </c>
      <c r="U213" s="0" t="n">
        <f>IF(P213="DIRECTA",IF(AND(ISNUMBER(G213),COUNTA(H213:J213)=0),1,0),IF(P213="DIMENSIONES",IF(AND(COUNT(G213:J213)&gt;0,COUNTA(G213:J213)=COUNT(G213:J213)),1,0),0))</f>
        <v>0</v>
      </c>
      <c r="V213" s="0" t="n">
        <f>IF(O213=0,0,IF(COUNTIFS($O$13:O213,O213)=1,1,0))</f>
        <v>0</v>
      </c>
      <c r="W213" s="0">
        <f>IF(V213=1,COUNTIFS($V$13:V213,1),"")</f>
      </c>
      <c r="X213" s="0">
        <f>IF(COUNTA(B213:L213)=0,"",IF(OR(NOT(IF(ISNUMBER($E$6),AND($E$6&gt;=0,$E$6&lt;=6,$E$6=INT($E$6)),FALSE)),O213=0,R213=0,T213&gt;0,AND(P213&lt;&gt;"DIMENSIONES",P213&lt;&gt;"DIRECTA",P213&lt;&gt;"SIN LÍNEAS",P213&lt;&gt;"CABECERA"),AND(OR(P213="DIRECTA",P213="DIMENSIONES"),U213=0),AND(OR(P213="SIN LÍNEAS",P213="CABECERA"),COUNTA(G213:J213)&gt;0)),2,IF(OR(P213="SIN LÍNEAS",Y213&gt;0,Z213&gt;0,AA213&gt;0,SUMPRODUCT(--('LÉEME'!$B$65:$B$86=AC213))&lt;&gt;1),1,0)))</f>
      </c>
      <c r="Y213" s="0" t="n">
        <f>IF(AND(P213="DIMENSIONES",S213="m²",COUNT(H213:J213)=3),1,0)</f>
        <v>0</v>
      </c>
      <c r="Z213" s="0" t="n">
        <f>IF(IF(ISNUMBER($E$6),AND($E$6&gt;=0,$E$6&lt;=6,$E$6=INT($E$6)),FALSE),IF(SUM(IF(ISNUMBER(F213),IF(ABS(F213-ROUND(F213,$E$6))&gt;0.00000001,1,0),0),IF(ISNUMBER(G213),IF(ABS(G213-ROUND(G213,$E$6))&gt;0.00000001,1,0),0),IF(ISNUMBER(H213),IF(ABS(H213-ROUND(H213,$E$6))&gt;0.00000001,1,0),0),IF(ISNUMBER(I213),IF(ABS(I213-ROUND(I213,$E$6))&gt;0.00000001,1,0),0),IF(ISNUMBER(J213),IF(ABS(J213-ROUND(J213,$E$6))&gt;0.00000001,1,0),0),IF(ISNUMBER(M213),IF(ABS(M213-ROUND(M213,$E$6))&gt;0.00000001,1,0),0))&gt;0,1,0),0)</f>
        <v>0</v>
      </c>
      <c r="AA213" s="0" t="n">
        <f>IF(COUNTA(B213:L213)=0,0,IF(OR(AND(ISNUMBER(F213),F213&lt;0),AND(U213=1,OR(SUM(IF(ISNUMBER(G213),IF(G213=0,1,0),0),IF(ISNUMBER(H213),IF(H213=0,1,0),0),IF(ISNUMBER(I213),IF(I213=0,1,0),0),IF(ISNUMBER(J213),IF(J213=0,1,0),0))&gt;0,COUNTIFS(G213:J213,"&lt;0")&gt;0)),AND(P213="DIMENSIONES",U213=1,OR(AND(S213="m",COUNT(H213:J213)&lt;&gt;1),AND(S213="m²",COUNT(H213:J213)&lt;&gt;2,Y213=0),AND(S213="m³",COUNT(H213:J213)&lt;&gt;3),AND(S213="ud",COUNT(H213:J213)&gt;0))),AND(P213="DIRECTA",OR(S213="m",S213="m²",S213="m³"))),1,0))</f>
        <v>0</v>
      </c>
      <c r="AB213" s="0">
        <f>IF(LEN(TRIM(E213&amp;""))&gt;0,E213,IF(R213&gt;0,INDEX($E$13:$E$512,R213),""))</f>
      </c>
      <c r="AC213" s="0">
        <f>UPPER(SUBSTITUTE(SUBSTITUTE(SUBSTITUTE(SUBSTITUTE(SUBSTITUTE(TRIM(AB213),"²","2"),"³","3"),"^",""),".","")," ",""))</f>
      </c>
    </row>
    <row r="214" ht="35" customHeight="1">
      <c r="B214" s="35"/>
      <c r="C214" s="35"/>
      <c r="D214" s="37"/>
      <c r="E214" s="35"/>
      <c r="F214" s="38"/>
      <c r="G214" s="38"/>
      <c r="H214" s="38"/>
      <c r="I214" s="38"/>
      <c r="J214" s="38"/>
      <c r="K214" s="35"/>
      <c r="L214" s="35"/>
      <c r="M214" s="39">
        <f>IF(U214&lt;&gt;1,"",IF(P214="DIRECTA",G214,IF(ISNUMBER(G214),G214,1)*IF(ISNUMBER(H214),H214,1)*IF(ISNUMBER(I214),I214,1)*IF(ISNUMBER(J214),J214,1)))</f>
      </c>
      <c r="N214" s="30">
        <f>IF(COUNTA(B214:L214)=0,"",IF(X214=0,IF(P214="CABECERA","VERDE · Fila descriptiva; la suma usa las líneas del ID","VERDE · Datos numéricos interpretables"),IF(X214=2,"ROJO · ","ÁMBAR · ")&amp;IF(NOT(IF(ISNUMBER($E$6),AND($E$6&gt;=0,$E$6&lt;=6,$E$6=INT($E$6)),FALSE)),"Indicamos entre 0 y 6 decimales en E6. ","")&amp;IF(O214=0,"Falta un ID numérico. ","")&amp;IF(R214=0,"Faltan capítulo, código, unidad o total numérico del ID. ","")&amp;IF(T214&gt;0,"Los datos o el total del ID se contradicen. ","")&amp;IF(AND(P214&lt;&gt;"DIMENSIONES",P214&lt;&gt;"DIRECTA",P214&lt;&gt;"SIN LÍNEAS",P214&lt;&gt;"CABECERA"),"Tipo de fila no reconocido. ","")&amp;IF(AND(OR(P214="SIN LÍNEAS",P214="CABECERA"),COUNTA(G214:J214)&gt;0),"La fila dice que no mide, pero contiene medidas. ","")&amp;IF(AND(OR(P214="DIRECTA",P214="DIMENSIONES"),U214=0),"Línea incompleta o con medidas no numéricas. ","")&amp;IF(P214="SIN LÍNEAS","No constan medidas de esta fila. ","")&amp;IF(Y214&gt;0,"Parece m³: tres dimensiones bajo m². ","")&amp;IF(AND(AB214&lt;&gt;"",SUMPRODUCT(--('LÉEME'!$B$65:$B$86=AC214))&lt;&gt;1),"Revisamos el significado de la unidad. ","")&amp;IF(Z214&gt;0,"Más precisión que los decimales indicados: cotejamos el original. ","")&amp;IF(AA214&gt;0,"Revisamos dimensiones, cantidad directa, ceros o deducción. ","")))</f>
      </c>
      <c r="O214" s="0" t="n">
        <f>IF(ISNUMBER(K214),IF(AND(K214&gt;0,K214=INT(K214),K214&lt;=999999),K214,0),0)</f>
        <v>0</v>
      </c>
      <c r="P214" s="0">
        <f>IF(COUNTA(B214:L214)=0,"",IF(L214="",IF(COUNTA(G214:J214)&gt;0,"DIMENSIONES","SIN LÍNEAS"),UPPER(TRIM(L214))))</f>
      </c>
      <c r="Q214" s="0">
        <f>IF(AND(O214&gt;0,LEN(TRIM(B214&amp;""))&gt;0,LEN(TRIM(C214&amp;""))&gt;0,LEN(TRIM(E214&amp;""))&gt;0,ISNUMBER(F214)),O214,"")</f>
      </c>
      <c r="R214" s="0" t="n">
        <f>IF(O214=0,0,IF(COUNTIFS($Q$13:$Q$512,O214)&gt;0,MATCH(O214,$Q$13:$Q$512,0),0))</f>
        <v>0</v>
      </c>
      <c r="S214" s="0">
        <f>IF(AB214="","",IF(SUMPRODUCT(--('LÉEME'!$B$65:$B$86=AC214))=1,INDEX('LÉEME'!$C$65:$C$86,MATCH(AC214,'LÉEME'!$B$65:$B$86,0)),UPPER(TRIM(AB214))))</f>
      </c>
      <c r="T214" s="0" t="n">
        <f>IF(R214=0,0,IF(OR(AND(LEN(TRIM(B214&amp;""))&gt;0,UPPER(TRIM(B214&amp;""))&lt;&gt;UPPER(TRIM(INDEX($B$13:$B$512,R214)&amp;""))),AND(LEN(TRIM(C214&amp;""))&gt;0,UPPER(TRIM(C214&amp;""))&lt;&gt;UPPER(TRIM(INDEX($C$13:$C$512,R214)&amp;""))),AND(LEN(TRIM(E214&amp;""))&gt;0,S214&lt;&gt;INDEX($S$13:$S$512,R214)),AND(F214&lt;&gt;"",NOT(ISNUMBER(F214)))),1,IF(ISNUMBER(F214),IF(ABS(F214-INDEX($F$13:$F$512,R214))&gt;0.00000001,1,0),0)))</f>
        <v>0</v>
      </c>
      <c r="U214" s="0" t="n">
        <f>IF(P214="DIRECTA",IF(AND(ISNUMBER(G214),COUNTA(H214:J214)=0),1,0),IF(P214="DIMENSIONES",IF(AND(COUNT(G214:J214)&gt;0,COUNTA(G214:J214)=COUNT(G214:J214)),1,0),0))</f>
        <v>0</v>
      </c>
      <c r="V214" s="0" t="n">
        <f>IF(O214=0,0,IF(COUNTIFS($O$13:O214,O214)=1,1,0))</f>
        <v>0</v>
      </c>
      <c r="W214" s="0">
        <f>IF(V214=1,COUNTIFS($V$13:V214,1),"")</f>
      </c>
      <c r="X214" s="0">
        <f>IF(COUNTA(B214:L214)=0,"",IF(OR(NOT(IF(ISNUMBER($E$6),AND($E$6&gt;=0,$E$6&lt;=6,$E$6=INT($E$6)),FALSE)),O214=0,R214=0,T214&gt;0,AND(P214&lt;&gt;"DIMENSIONES",P214&lt;&gt;"DIRECTA",P214&lt;&gt;"SIN LÍNEAS",P214&lt;&gt;"CABECERA"),AND(OR(P214="DIRECTA",P214="DIMENSIONES"),U214=0),AND(OR(P214="SIN LÍNEAS",P214="CABECERA"),COUNTA(G214:J214)&gt;0)),2,IF(OR(P214="SIN LÍNEAS",Y214&gt;0,Z214&gt;0,AA214&gt;0,SUMPRODUCT(--('LÉEME'!$B$65:$B$86=AC214))&lt;&gt;1),1,0)))</f>
      </c>
      <c r="Y214" s="0" t="n">
        <f>IF(AND(P214="DIMENSIONES",S214="m²",COUNT(H214:J214)=3),1,0)</f>
        <v>0</v>
      </c>
      <c r="Z214" s="0" t="n">
        <f>IF(IF(ISNUMBER($E$6),AND($E$6&gt;=0,$E$6&lt;=6,$E$6=INT($E$6)),FALSE),IF(SUM(IF(ISNUMBER(F214),IF(ABS(F214-ROUND(F214,$E$6))&gt;0.00000001,1,0),0),IF(ISNUMBER(G214),IF(ABS(G214-ROUND(G214,$E$6))&gt;0.00000001,1,0),0),IF(ISNUMBER(H214),IF(ABS(H214-ROUND(H214,$E$6))&gt;0.00000001,1,0),0),IF(ISNUMBER(I214),IF(ABS(I214-ROUND(I214,$E$6))&gt;0.00000001,1,0),0),IF(ISNUMBER(J214),IF(ABS(J214-ROUND(J214,$E$6))&gt;0.00000001,1,0),0),IF(ISNUMBER(M214),IF(ABS(M214-ROUND(M214,$E$6))&gt;0.00000001,1,0),0))&gt;0,1,0),0)</f>
        <v>0</v>
      </c>
      <c r="AA214" s="0" t="n">
        <f>IF(COUNTA(B214:L214)=0,0,IF(OR(AND(ISNUMBER(F214),F214&lt;0),AND(U214=1,OR(SUM(IF(ISNUMBER(G214),IF(G214=0,1,0),0),IF(ISNUMBER(H214),IF(H214=0,1,0),0),IF(ISNUMBER(I214),IF(I214=0,1,0),0),IF(ISNUMBER(J214),IF(J214=0,1,0),0))&gt;0,COUNTIFS(G214:J214,"&lt;0")&gt;0)),AND(P214="DIMENSIONES",U214=1,OR(AND(S214="m",COUNT(H214:J214)&lt;&gt;1),AND(S214="m²",COUNT(H214:J214)&lt;&gt;2,Y214=0),AND(S214="m³",COUNT(H214:J214)&lt;&gt;3),AND(S214="ud",COUNT(H214:J214)&gt;0))),AND(P214="DIRECTA",OR(S214="m",S214="m²",S214="m³"))),1,0))</f>
        <v>0</v>
      </c>
      <c r="AB214" s="0">
        <f>IF(LEN(TRIM(E214&amp;""))&gt;0,E214,IF(R214&gt;0,INDEX($E$13:$E$512,R214),""))</f>
      </c>
      <c r="AC214" s="0">
        <f>UPPER(SUBSTITUTE(SUBSTITUTE(SUBSTITUTE(SUBSTITUTE(SUBSTITUTE(TRIM(AB214),"²","2"),"³","3"),"^",""),".","")," ",""))</f>
      </c>
    </row>
    <row r="215" ht="35" customHeight="1">
      <c r="B215" s="35"/>
      <c r="C215" s="35"/>
      <c r="D215" s="37"/>
      <c r="E215" s="35"/>
      <c r="F215" s="38"/>
      <c r="G215" s="38"/>
      <c r="H215" s="38"/>
      <c r="I215" s="38"/>
      <c r="J215" s="38"/>
      <c r="K215" s="35"/>
      <c r="L215" s="35"/>
      <c r="M215" s="39">
        <f>IF(U215&lt;&gt;1,"",IF(P215="DIRECTA",G215,IF(ISNUMBER(G215),G215,1)*IF(ISNUMBER(H215),H215,1)*IF(ISNUMBER(I215),I215,1)*IF(ISNUMBER(J215),J215,1)))</f>
      </c>
      <c r="N215" s="30">
        <f>IF(COUNTA(B215:L215)=0,"",IF(X215=0,IF(P215="CABECERA","VERDE · Fila descriptiva; la suma usa las líneas del ID","VERDE · Datos numéricos interpretables"),IF(X215=2,"ROJO · ","ÁMBAR · ")&amp;IF(NOT(IF(ISNUMBER($E$6),AND($E$6&gt;=0,$E$6&lt;=6,$E$6=INT($E$6)),FALSE)),"Indicamos entre 0 y 6 decimales en E6. ","")&amp;IF(O215=0,"Falta un ID numérico. ","")&amp;IF(R215=0,"Faltan capítulo, código, unidad o total numérico del ID. ","")&amp;IF(T215&gt;0,"Los datos o el total del ID se contradicen. ","")&amp;IF(AND(P215&lt;&gt;"DIMENSIONES",P215&lt;&gt;"DIRECTA",P215&lt;&gt;"SIN LÍNEAS",P215&lt;&gt;"CABECERA"),"Tipo de fila no reconocido. ","")&amp;IF(AND(OR(P215="SIN LÍNEAS",P215="CABECERA"),COUNTA(G215:J215)&gt;0),"La fila dice que no mide, pero contiene medidas. ","")&amp;IF(AND(OR(P215="DIRECTA",P215="DIMENSIONES"),U215=0),"Línea incompleta o con medidas no numéricas. ","")&amp;IF(P215="SIN LÍNEAS","No constan medidas de esta fila. ","")&amp;IF(Y215&gt;0,"Parece m³: tres dimensiones bajo m². ","")&amp;IF(AND(AB215&lt;&gt;"",SUMPRODUCT(--('LÉEME'!$B$65:$B$86=AC215))&lt;&gt;1),"Revisamos el significado de la unidad. ","")&amp;IF(Z215&gt;0,"Más precisión que los decimales indicados: cotejamos el original. ","")&amp;IF(AA215&gt;0,"Revisamos dimensiones, cantidad directa, ceros o deducción. ","")))</f>
      </c>
      <c r="O215" s="0" t="n">
        <f>IF(ISNUMBER(K215),IF(AND(K215&gt;0,K215=INT(K215),K215&lt;=999999),K215,0),0)</f>
        <v>0</v>
      </c>
      <c r="P215" s="0">
        <f>IF(COUNTA(B215:L215)=0,"",IF(L215="",IF(COUNTA(G215:J215)&gt;0,"DIMENSIONES","SIN LÍNEAS"),UPPER(TRIM(L215))))</f>
      </c>
      <c r="Q215" s="0">
        <f>IF(AND(O215&gt;0,LEN(TRIM(B215&amp;""))&gt;0,LEN(TRIM(C215&amp;""))&gt;0,LEN(TRIM(E215&amp;""))&gt;0,ISNUMBER(F215)),O215,"")</f>
      </c>
      <c r="R215" s="0" t="n">
        <f>IF(O215=0,0,IF(COUNTIFS($Q$13:$Q$512,O215)&gt;0,MATCH(O215,$Q$13:$Q$512,0),0))</f>
        <v>0</v>
      </c>
      <c r="S215" s="0">
        <f>IF(AB215="","",IF(SUMPRODUCT(--('LÉEME'!$B$65:$B$86=AC215))=1,INDEX('LÉEME'!$C$65:$C$86,MATCH(AC215,'LÉEME'!$B$65:$B$86,0)),UPPER(TRIM(AB215))))</f>
      </c>
      <c r="T215" s="0" t="n">
        <f>IF(R215=0,0,IF(OR(AND(LEN(TRIM(B215&amp;""))&gt;0,UPPER(TRIM(B215&amp;""))&lt;&gt;UPPER(TRIM(INDEX($B$13:$B$512,R215)&amp;""))),AND(LEN(TRIM(C215&amp;""))&gt;0,UPPER(TRIM(C215&amp;""))&lt;&gt;UPPER(TRIM(INDEX($C$13:$C$512,R215)&amp;""))),AND(LEN(TRIM(E215&amp;""))&gt;0,S215&lt;&gt;INDEX($S$13:$S$512,R215)),AND(F215&lt;&gt;"",NOT(ISNUMBER(F215)))),1,IF(ISNUMBER(F215),IF(ABS(F215-INDEX($F$13:$F$512,R215))&gt;0.00000001,1,0),0)))</f>
        <v>0</v>
      </c>
      <c r="U215" s="0" t="n">
        <f>IF(P215="DIRECTA",IF(AND(ISNUMBER(G215),COUNTA(H215:J215)=0),1,0),IF(P215="DIMENSIONES",IF(AND(COUNT(G215:J215)&gt;0,COUNTA(G215:J215)=COUNT(G215:J215)),1,0),0))</f>
        <v>0</v>
      </c>
      <c r="V215" s="0" t="n">
        <f>IF(O215=0,0,IF(COUNTIFS($O$13:O215,O215)=1,1,0))</f>
        <v>0</v>
      </c>
      <c r="W215" s="0">
        <f>IF(V215=1,COUNTIFS($V$13:V215,1),"")</f>
      </c>
      <c r="X215" s="0">
        <f>IF(COUNTA(B215:L215)=0,"",IF(OR(NOT(IF(ISNUMBER($E$6),AND($E$6&gt;=0,$E$6&lt;=6,$E$6=INT($E$6)),FALSE)),O215=0,R215=0,T215&gt;0,AND(P215&lt;&gt;"DIMENSIONES",P215&lt;&gt;"DIRECTA",P215&lt;&gt;"SIN LÍNEAS",P215&lt;&gt;"CABECERA"),AND(OR(P215="DIRECTA",P215="DIMENSIONES"),U215=0),AND(OR(P215="SIN LÍNEAS",P215="CABECERA"),COUNTA(G215:J215)&gt;0)),2,IF(OR(P215="SIN LÍNEAS",Y215&gt;0,Z215&gt;0,AA215&gt;0,SUMPRODUCT(--('LÉEME'!$B$65:$B$86=AC215))&lt;&gt;1),1,0)))</f>
      </c>
      <c r="Y215" s="0" t="n">
        <f>IF(AND(P215="DIMENSIONES",S215="m²",COUNT(H215:J215)=3),1,0)</f>
        <v>0</v>
      </c>
      <c r="Z215" s="0" t="n">
        <f>IF(IF(ISNUMBER($E$6),AND($E$6&gt;=0,$E$6&lt;=6,$E$6=INT($E$6)),FALSE),IF(SUM(IF(ISNUMBER(F215),IF(ABS(F215-ROUND(F215,$E$6))&gt;0.00000001,1,0),0),IF(ISNUMBER(G215),IF(ABS(G215-ROUND(G215,$E$6))&gt;0.00000001,1,0),0),IF(ISNUMBER(H215),IF(ABS(H215-ROUND(H215,$E$6))&gt;0.00000001,1,0),0),IF(ISNUMBER(I215),IF(ABS(I215-ROUND(I215,$E$6))&gt;0.00000001,1,0),0),IF(ISNUMBER(J215),IF(ABS(J215-ROUND(J215,$E$6))&gt;0.00000001,1,0),0),IF(ISNUMBER(M215),IF(ABS(M215-ROUND(M215,$E$6))&gt;0.00000001,1,0),0))&gt;0,1,0),0)</f>
        <v>0</v>
      </c>
      <c r="AA215" s="0" t="n">
        <f>IF(COUNTA(B215:L215)=0,0,IF(OR(AND(ISNUMBER(F215),F215&lt;0),AND(U215=1,OR(SUM(IF(ISNUMBER(G215),IF(G215=0,1,0),0),IF(ISNUMBER(H215),IF(H215=0,1,0),0),IF(ISNUMBER(I215),IF(I215=0,1,0),0),IF(ISNUMBER(J215),IF(J215=0,1,0),0))&gt;0,COUNTIFS(G215:J215,"&lt;0")&gt;0)),AND(P215="DIMENSIONES",U215=1,OR(AND(S215="m",COUNT(H215:J215)&lt;&gt;1),AND(S215="m²",COUNT(H215:J215)&lt;&gt;2,Y215=0),AND(S215="m³",COUNT(H215:J215)&lt;&gt;3),AND(S215="ud",COUNT(H215:J215)&gt;0))),AND(P215="DIRECTA",OR(S215="m",S215="m²",S215="m³"))),1,0))</f>
        <v>0</v>
      </c>
      <c r="AB215" s="0">
        <f>IF(LEN(TRIM(E215&amp;""))&gt;0,E215,IF(R215&gt;0,INDEX($E$13:$E$512,R215),""))</f>
      </c>
      <c r="AC215" s="0">
        <f>UPPER(SUBSTITUTE(SUBSTITUTE(SUBSTITUTE(SUBSTITUTE(SUBSTITUTE(TRIM(AB215),"²","2"),"³","3"),"^",""),".","")," ",""))</f>
      </c>
    </row>
    <row r="216" ht="35" customHeight="1">
      <c r="B216" s="35"/>
      <c r="C216" s="35"/>
      <c r="D216" s="37"/>
      <c r="E216" s="35"/>
      <c r="F216" s="38"/>
      <c r="G216" s="38"/>
      <c r="H216" s="38"/>
      <c r="I216" s="38"/>
      <c r="J216" s="38"/>
      <c r="K216" s="35"/>
      <c r="L216" s="35"/>
      <c r="M216" s="39">
        <f>IF(U216&lt;&gt;1,"",IF(P216="DIRECTA",G216,IF(ISNUMBER(G216),G216,1)*IF(ISNUMBER(H216),H216,1)*IF(ISNUMBER(I216),I216,1)*IF(ISNUMBER(J216),J216,1)))</f>
      </c>
      <c r="N216" s="30">
        <f>IF(COUNTA(B216:L216)=0,"",IF(X216=0,IF(P216="CABECERA","VERDE · Fila descriptiva; la suma usa las líneas del ID","VERDE · Datos numéricos interpretables"),IF(X216=2,"ROJO · ","ÁMBAR · ")&amp;IF(NOT(IF(ISNUMBER($E$6),AND($E$6&gt;=0,$E$6&lt;=6,$E$6=INT($E$6)),FALSE)),"Indicamos entre 0 y 6 decimales en E6. ","")&amp;IF(O216=0,"Falta un ID numérico. ","")&amp;IF(R216=0,"Faltan capítulo, código, unidad o total numérico del ID. ","")&amp;IF(T216&gt;0,"Los datos o el total del ID se contradicen. ","")&amp;IF(AND(P216&lt;&gt;"DIMENSIONES",P216&lt;&gt;"DIRECTA",P216&lt;&gt;"SIN LÍNEAS",P216&lt;&gt;"CABECERA"),"Tipo de fila no reconocido. ","")&amp;IF(AND(OR(P216="SIN LÍNEAS",P216="CABECERA"),COUNTA(G216:J216)&gt;0),"La fila dice que no mide, pero contiene medidas. ","")&amp;IF(AND(OR(P216="DIRECTA",P216="DIMENSIONES"),U216=0),"Línea incompleta o con medidas no numéricas. ","")&amp;IF(P216="SIN LÍNEAS","No constan medidas de esta fila. ","")&amp;IF(Y216&gt;0,"Parece m³: tres dimensiones bajo m². ","")&amp;IF(AND(AB216&lt;&gt;"",SUMPRODUCT(--('LÉEME'!$B$65:$B$86=AC216))&lt;&gt;1),"Revisamos el significado de la unidad. ","")&amp;IF(Z216&gt;0,"Más precisión que los decimales indicados: cotejamos el original. ","")&amp;IF(AA216&gt;0,"Revisamos dimensiones, cantidad directa, ceros o deducción. ","")))</f>
      </c>
      <c r="O216" s="0" t="n">
        <f>IF(ISNUMBER(K216),IF(AND(K216&gt;0,K216=INT(K216),K216&lt;=999999),K216,0),0)</f>
        <v>0</v>
      </c>
      <c r="P216" s="0">
        <f>IF(COUNTA(B216:L216)=0,"",IF(L216="",IF(COUNTA(G216:J216)&gt;0,"DIMENSIONES","SIN LÍNEAS"),UPPER(TRIM(L216))))</f>
      </c>
      <c r="Q216" s="0">
        <f>IF(AND(O216&gt;0,LEN(TRIM(B216&amp;""))&gt;0,LEN(TRIM(C216&amp;""))&gt;0,LEN(TRIM(E216&amp;""))&gt;0,ISNUMBER(F216)),O216,"")</f>
      </c>
      <c r="R216" s="0" t="n">
        <f>IF(O216=0,0,IF(COUNTIFS($Q$13:$Q$512,O216)&gt;0,MATCH(O216,$Q$13:$Q$512,0),0))</f>
        <v>0</v>
      </c>
      <c r="S216" s="0">
        <f>IF(AB216="","",IF(SUMPRODUCT(--('LÉEME'!$B$65:$B$86=AC216))=1,INDEX('LÉEME'!$C$65:$C$86,MATCH(AC216,'LÉEME'!$B$65:$B$86,0)),UPPER(TRIM(AB216))))</f>
      </c>
      <c r="T216" s="0" t="n">
        <f>IF(R216=0,0,IF(OR(AND(LEN(TRIM(B216&amp;""))&gt;0,UPPER(TRIM(B216&amp;""))&lt;&gt;UPPER(TRIM(INDEX($B$13:$B$512,R216)&amp;""))),AND(LEN(TRIM(C216&amp;""))&gt;0,UPPER(TRIM(C216&amp;""))&lt;&gt;UPPER(TRIM(INDEX($C$13:$C$512,R216)&amp;""))),AND(LEN(TRIM(E216&amp;""))&gt;0,S216&lt;&gt;INDEX($S$13:$S$512,R216)),AND(F216&lt;&gt;"",NOT(ISNUMBER(F216)))),1,IF(ISNUMBER(F216),IF(ABS(F216-INDEX($F$13:$F$512,R216))&gt;0.00000001,1,0),0)))</f>
        <v>0</v>
      </c>
      <c r="U216" s="0" t="n">
        <f>IF(P216="DIRECTA",IF(AND(ISNUMBER(G216),COUNTA(H216:J216)=0),1,0),IF(P216="DIMENSIONES",IF(AND(COUNT(G216:J216)&gt;0,COUNTA(G216:J216)=COUNT(G216:J216)),1,0),0))</f>
        <v>0</v>
      </c>
      <c r="V216" s="0" t="n">
        <f>IF(O216=0,0,IF(COUNTIFS($O$13:O216,O216)=1,1,0))</f>
        <v>0</v>
      </c>
      <c r="W216" s="0">
        <f>IF(V216=1,COUNTIFS($V$13:V216,1),"")</f>
      </c>
      <c r="X216" s="0">
        <f>IF(COUNTA(B216:L216)=0,"",IF(OR(NOT(IF(ISNUMBER($E$6),AND($E$6&gt;=0,$E$6&lt;=6,$E$6=INT($E$6)),FALSE)),O216=0,R216=0,T216&gt;0,AND(P216&lt;&gt;"DIMENSIONES",P216&lt;&gt;"DIRECTA",P216&lt;&gt;"SIN LÍNEAS",P216&lt;&gt;"CABECERA"),AND(OR(P216="DIRECTA",P216="DIMENSIONES"),U216=0),AND(OR(P216="SIN LÍNEAS",P216="CABECERA"),COUNTA(G216:J216)&gt;0)),2,IF(OR(P216="SIN LÍNEAS",Y216&gt;0,Z216&gt;0,AA216&gt;0,SUMPRODUCT(--('LÉEME'!$B$65:$B$86=AC216))&lt;&gt;1),1,0)))</f>
      </c>
      <c r="Y216" s="0" t="n">
        <f>IF(AND(P216="DIMENSIONES",S216="m²",COUNT(H216:J216)=3),1,0)</f>
        <v>0</v>
      </c>
      <c r="Z216" s="0" t="n">
        <f>IF(IF(ISNUMBER($E$6),AND($E$6&gt;=0,$E$6&lt;=6,$E$6=INT($E$6)),FALSE),IF(SUM(IF(ISNUMBER(F216),IF(ABS(F216-ROUND(F216,$E$6))&gt;0.00000001,1,0),0),IF(ISNUMBER(G216),IF(ABS(G216-ROUND(G216,$E$6))&gt;0.00000001,1,0),0),IF(ISNUMBER(H216),IF(ABS(H216-ROUND(H216,$E$6))&gt;0.00000001,1,0),0),IF(ISNUMBER(I216),IF(ABS(I216-ROUND(I216,$E$6))&gt;0.00000001,1,0),0),IF(ISNUMBER(J216),IF(ABS(J216-ROUND(J216,$E$6))&gt;0.00000001,1,0),0),IF(ISNUMBER(M216),IF(ABS(M216-ROUND(M216,$E$6))&gt;0.00000001,1,0),0))&gt;0,1,0),0)</f>
        <v>0</v>
      </c>
      <c r="AA216" s="0" t="n">
        <f>IF(COUNTA(B216:L216)=0,0,IF(OR(AND(ISNUMBER(F216),F216&lt;0),AND(U216=1,OR(SUM(IF(ISNUMBER(G216),IF(G216=0,1,0),0),IF(ISNUMBER(H216),IF(H216=0,1,0),0),IF(ISNUMBER(I216),IF(I216=0,1,0),0),IF(ISNUMBER(J216),IF(J216=0,1,0),0))&gt;0,COUNTIFS(G216:J216,"&lt;0")&gt;0)),AND(P216="DIMENSIONES",U216=1,OR(AND(S216="m",COUNT(H216:J216)&lt;&gt;1),AND(S216="m²",COUNT(H216:J216)&lt;&gt;2,Y216=0),AND(S216="m³",COUNT(H216:J216)&lt;&gt;3),AND(S216="ud",COUNT(H216:J216)&gt;0))),AND(P216="DIRECTA",OR(S216="m",S216="m²",S216="m³"))),1,0))</f>
        <v>0</v>
      </c>
      <c r="AB216" s="0">
        <f>IF(LEN(TRIM(E216&amp;""))&gt;0,E216,IF(R216&gt;0,INDEX($E$13:$E$512,R216),""))</f>
      </c>
      <c r="AC216" s="0">
        <f>UPPER(SUBSTITUTE(SUBSTITUTE(SUBSTITUTE(SUBSTITUTE(SUBSTITUTE(TRIM(AB216),"²","2"),"³","3"),"^",""),".","")," ",""))</f>
      </c>
    </row>
    <row r="217" ht="35" customHeight="1">
      <c r="B217" s="35"/>
      <c r="C217" s="35"/>
      <c r="D217" s="37"/>
      <c r="E217" s="35"/>
      <c r="F217" s="38"/>
      <c r="G217" s="38"/>
      <c r="H217" s="38"/>
      <c r="I217" s="38"/>
      <c r="J217" s="38"/>
      <c r="K217" s="35"/>
      <c r="L217" s="35"/>
      <c r="M217" s="39">
        <f>IF(U217&lt;&gt;1,"",IF(P217="DIRECTA",G217,IF(ISNUMBER(G217),G217,1)*IF(ISNUMBER(H217),H217,1)*IF(ISNUMBER(I217),I217,1)*IF(ISNUMBER(J217),J217,1)))</f>
      </c>
      <c r="N217" s="30">
        <f>IF(COUNTA(B217:L217)=0,"",IF(X217=0,IF(P217="CABECERA","VERDE · Fila descriptiva; la suma usa las líneas del ID","VERDE · Datos numéricos interpretables"),IF(X217=2,"ROJO · ","ÁMBAR · ")&amp;IF(NOT(IF(ISNUMBER($E$6),AND($E$6&gt;=0,$E$6&lt;=6,$E$6=INT($E$6)),FALSE)),"Indicamos entre 0 y 6 decimales en E6. ","")&amp;IF(O217=0,"Falta un ID numérico. ","")&amp;IF(R217=0,"Faltan capítulo, código, unidad o total numérico del ID. ","")&amp;IF(T217&gt;0,"Los datos o el total del ID se contradicen. ","")&amp;IF(AND(P217&lt;&gt;"DIMENSIONES",P217&lt;&gt;"DIRECTA",P217&lt;&gt;"SIN LÍNEAS",P217&lt;&gt;"CABECERA"),"Tipo de fila no reconocido. ","")&amp;IF(AND(OR(P217="SIN LÍNEAS",P217="CABECERA"),COUNTA(G217:J217)&gt;0),"La fila dice que no mide, pero contiene medidas. ","")&amp;IF(AND(OR(P217="DIRECTA",P217="DIMENSIONES"),U217=0),"Línea incompleta o con medidas no numéricas. ","")&amp;IF(P217="SIN LÍNEAS","No constan medidas de esta fila. ","")&amp;IF(Y217&gt;0,"Parece m³: tres dimensiones bajo m². ","")&amp;IF(AND(AB217&lt;&gt;"",SUMPRODUCT(--('LÉEME'!$B$65:$B$86=AC217))&lt;&gt;1),"Revisamos el significado de la unidad. ","")&amp;IF(Z217&gt;0,"Más precisión que los decimales indicados: cotejamos el original. ","")&amp;IF(AA217&gt;0,"Revisamos dimensiones, cantidad directa, ceros o deducción. ","")))</f>
      </c>
      <c r="O217" s="0" t="n">
        <f>IF(ISNUMBER(K217),IF(AND(K217&gt;0,K217=INT(K217),K217&lt;=999999),K217,0),0)</f>
        <v>0</v>
      </c>
      <c r="P217" s="0">
        <f>IF(COUNTA(B217:L217)=0,"",IF(L217="",IF(COUNTA(G217:J217)&gt;0,"DIMENSIONES","SIN LÍNEAS"),UPPER(TRIM(L217))))</f>
      </c>
      <c r="Q217" s="0">
        <f>IF(AND(O217&gt;0,LEN(TRIM(B217&amp;""))&gt;0,LEN(TRIM(C217&amp;""))&gt;0,LEN(TRIM(E217&amp;""))&gt;0,ISNUMBER(F217)),O217,"")</f>
      </c>
      <c r="R217" s="0" t="n">
        <f>IF(O217=0,0,IF(COUNTIFS($Q$13:$Q$512,O217)&gt;0,MATCH(O217,$Q$13:$Q$512,0),0))</f>
        <v>0</v>
      </c>
      <c r="S217" s="0">
        <f>IF(AB217="","",IF(SUMPRODUCT(--('LÉEME'!$B$65:$B$86=AC217))=1,INDEX('LÉEME'!$C$65:$C$86,MATCH(AC217,'LÉEME'!$B$65:$B$86,0)),UPPER(TRIM(AB217))))</f>
      </c>
      <c r="T217" s="0" t="n">
        <f>IF(R217=0,0,IF(OR(AND(LEN(TRIM(B217&amp;""))&gt;0,UPPER(TRIM(B217&amp;""))&lt;&gt;UPPER(TRIM(INDEX($B$13:$B$512,R217)&amp;""))),AND(LEN(TRIM(C217&amp;""))&gt;0,UPPER(TRIM(C217&amp;""))&lt;&gt;UPPER(TRIM(INDEX($C$13:$C$512,R217)&amp;""))),AND(LEN(TRIM(E217&amp;""))&gt;0,S217&lt;&gt;INDEX($S$13:$S$512,R217)),AND(F217&lt;&gt;"",NOT(ISNUMBER(F217)))),1,IF(ISNUMBER(F217),IF(ABS(F217-INDEX($F$13:$F$512,R217))&gt;0.00000001,1,0),0)))</f>
        <v>0</v>
      </c>
      <c r="U217" s="0" t="n">
        <f>IF(P217="DIRECTA",IF(AND(ISNUMBER(G217),COUNTA(H217:J217)=0),1,0),IF(P217="DIMENSIONES",IF(AND(COUNT(G217:J217)&gt;0,COUNTA(G217:J217)=COUNT(G217:J217)),1,0),0))</f>
        <v>0</v>
      </c>
      <c r="V217" s="0" t="n">
        <f>IF(O217=0,0,IF(COUNTIFS($O$13:O217,O217)=1,1,0))</f>
        <v>0</v>
      </c>
      <c r="W217" s="0">
        <f>IF(V217=1,COUNTIFS($V$13:V217,1),"")</f>
      </c>
      <c r="X217" s="0">
        <f>IF(COUNTA(B217:L217)=0,"",IF(OR(NOT(IF(ISNUMBER($E$6),AND($E$6&gt;=0,$E$6&lt;=6,$E$6=INT($E$6)),FALSE)),O217=0,R217=0,T217&gt;0,AND(P217&lt;&gt;"DIMENSIONES",P217&lt;&gt;"DIRECTA",P217&lt;&gt;"SIN LÍNEAS",P217&lt;&gt;"CABECERA"),AND(OR(P217="DIRECTA",P217="DIMENSIONES"),U217=0),AND(OR(P217="SIN LÍNEAS",P217="CABECERA"),COUNTA(G217:J217)&gt;0)),2,IF(OR(P217="SIN LÍNEAS",Y217&gt;0,Z217&gt;0,AA217&gt;0,SUMPRODUCT(--('LÉEME'!$B$65:$B$86=AC217))&lt;&gt;1),1,0)))</f>
      </c>
      <c r="Y217" s="0" t="n">
        <f>IF(AND(P217="DIMENSIONES",S217="m²",COUNT(H217:J217)=3),1,0)</f>
        <v>0</v>
      </c>
      <c r="Z217" s="0" t="n">
        <f>IF(IF(ISNUMBER($E$6),AND($E$6&gt;=0,$E$6&lt;=6,$E$6=INT($E$6)),FALSE),IF(SUM(IF(ISNUMBER(F217),IF(ABS(F217-ROUND(F217,$E$6))&gt;0.00000001,1,0),0),IF(ISNUMBER(G217),IF(ABS(G217-ROUND(G217,$E$6))&gt;0.00000001,1,0),0),IF(ISNUMBER(H217),IF(ABS(H217-ROUND(H217,$E$6))&gt;0.00000001,1,0),0),IF(ISNUMBER(I217),IF(ABS(I217-ROUND(I217,$E$6))&gt;0.00000001,1,0),0),IF(ISNUMBER(J217),IF(ABS(J217-ROUND(J217,$E$6))&gt;0.00000001,1,0),0),IF(ISNUMBER(M217),IF(ABS(M217-ROUND(M217,$E$6))&gt;0.00000001,1,0),0))&gt;0,1,0),0)</f>
        <v>0</v>
      </c>
      <c r="AA217" s="0" t="n">
        <f>IF(COUNTA(B217:L217)=0,0,IF(OR(AND(ISNUMBER(F217),F217&lt;0),AND(U217=1,OR(SUM(IF(ISNUMBER(G217),IF(G217=0,1,0),0),IF(ISNUMBER(H217),IF(H217=0,1,0),0),IF(ISNUMBER(I217),IF(I217=0,1,0),0),IF(ISNUMBER(J217),IF(J217=0,1,0),0))&gt;0,COUNTIFS(G217:J217,"&lt;0")&gt;0)),AND(P217="DIMENSIONES",U217=1,OR(AND(S217="m",COUNT(H217:J217)&lt;&gt;1),AND(S217="m²",COUNT(H217:J217)&lt;&gt;2,Y217=0),AND(S217="m³",COUNT(H217:J217)&lt;&gt;3),AND(S217="ud",COUNT(H217:J217)&gt;0))),AND(P217="DIRECTA",OR(S217="m",S217="m²",S217="m³"))),1,0))</f>
        <v>0</v>
      </c>
      <c r="AB217" s="0">
        <f>IF(LEN(TRIM(E217&amp;""))&gt;0,E217,IF(R217&gt;0,INDEX($E$13:$E$512,R217),""))</f>
      </c>
      <c r="AC217" s="0">
        <f>UPPER(SUBSTITUTE(SUBSTITUTE(SUBSTITUTE(SUBSTITUTE(SUBSTITUTE(TRIM(AB217),"²","2"),"³","3"),"^",""),".","")," ",""))</f>
      </c>
    </row>
    <row r="218" ht="35" customHeight="1">
      <c r="B218" s="35"/>
      <c r="C218" s="35"/>
      <c r="D218" s="37"/>
      <c r="E218" s="35"/>
      <c r="F218" s="38"/>
      <c r="G218" s="38"/>
      <c r="H218" s="38"/>
      <c r="I218" s="38"/>
      <c r="J218" s="38"/>
      <c r="K218" s="35"/>
      <c r="L218" s="35"/>
      <c r="M218" s="39">
        <f>IF(U218&lt;&gt;1,"",IF(P218="DIRECTA",G218,IF(ISNUMBER(G218),G218,1)*IF(ISNUMBER(H218),H218,1)*IF(ISNUMBER(I218),I218,1)*IF(ISNUMBER(J218),J218,1)))</f>
      </c>
      <c r="N218" s="30">
        <f>IF(COUNTA(B218:L218)=0,"",IF(X218=0,IF(P218="CABECERA","VERDE · Fila descriptiva; la suma usa las líneas del ID","VERDE · Datos numéricos interpretables"),IF(X218=2,"ROJO · ","ÁMBAR · ")&amp;IF(NOT(IF(ISNUMBER($E$6),AND($E$6&gt;=0,$E$6&lt;=6,$E$6=INT($E$6)),FALSE)),"Indicamos entre 0 y 6 decimales en E6. ","")&amp;IF(O218=0,"Falta un ID numérico. ","")&amp;IF(R218=0,"Faltan capítulo, código, unidad o total numérico del ID. ","")&amp;IF(T218&gt;0,"Los datos o el total del ID se contradicen. ","")&amp;IF(AND(P218&lt;&gt;"DIMENSIONES",P218&lt;&gt;"DIRECTA",P218&lt;&gt;"SIN LÍNEAS",P218&lt;&gt;"CABECERA"),"Tipo de fila no reconocido. ","")&amp;IF(AND(OR(P218="SIN LÍNEAS",P218="CABECERA"),COUNTA(G218:J218)&gt;0),"La fila dice que no mide, pero contiene medidas. ","")&amp;IF(AND(OR(P218="DIRECTA",P218="DIMENSIONES"),U218=0),"Línea incompleta o con medidas no numéricas. ","")&amp;IF(P218="SIN LÍNEAS","No constan medidas de esta fila. ","")&amp;IF(Y218&gt;0,"Parece m³: tres dimensiones bajo m². ","")&amp;IF(AND(AB218&lt;&gt;"",SUMPRODUCT(--('LÉEME'!$B$65:$B$86=AC218))&lt;&gt;1),"Revisamos el significado de la unidad. ","")&amp;IF(Z218&gt;0,"Más precisión que los decimales indicados: cotejamos el original. ","")&amp;IF(AA218&gt;0,"Revisamos dimensiones, cantidad directa, ceros o deducción. ","")))</f>
      </c>
      <c r="O218" s="0" t="n">
        <f>IF(ISNUMBER(K218),IF(AND(K218&gt;0,K218=INT(K218),K218&lt;=999999),K218,0),0)</f>
        <v>0</v>
      </c>
      <c r="P218" s="0">
        <f>IF(COUNTA(B218:L218)=0,"",IF(L218="",IF(COUNTA(G218:J218)&gt;0,"DIMENSIONES","SIN LÍNEAS"),UPPER(TRIM(L218))))</f>
      </c>
      <c r="Q218" s="0">
        <f>IF(AND(O218&gt;0,LEN(TRIM(B218&amp;""))&gt;0,LEN(TRIM(C218&amp;""))&gt;0,LEN(TRIM(E218&amp;""))&gt;0,ISNUMBER(F218)),O218,"")</f>
      </c>
      <c r="R218" s="0" t="n">
        <f>IF(O218=0,0,IF(COUNTIFS($Q$13:$Q$512,O218)&gt;0,MATCH(O218,$Q$13:$Q$512,0),0))</f>
        <v>0</v>
      </c>
      <c r="S218" s="0">
        <f>IF(AB218="","",IF(SUMPRODUCT(--('LÉEME'!$B$65:$B$86=AC218))=1,INDEX('LÉEME'!$C$65:$C$86,MATCH(AC218,'LÉEME'!$B$65:$B$86,0)),UPPER(TRIM(AB218))))</f>
      </c>
      <c r="T218" s="0" t="n">
        <f>IF(R218=0,0,IF(OR(AND(LEN(TRIM(B218&amp;""))&gt;0,UPPER(TRIM(B218&amp;""))&lt;&gt;UPPER(TRIM(INDEX($B$13:$B$512,R218)&amp;""))),AND(LEN(TRIM(C218&amp;""))&gt;0,UPPER(TRIM(C218&amp;""))&lt;&gt;UPPER(TRIM(INDEX($C$13:$C$512,R218)&amp;""))),AND(LEN(TRIM(E218&amp;""))&gt;0,S218&lt;&gt;INDEX($S$13:$S$512,R218)),AND(F218&lt;&gt;"",NOT(ISNUMBER(F218)))),1,IF(ISNUMBER(F218),IF(ABS(F218-INDEX($F$13:$F$512,R218))&gt;0.00000001,1,0),0)))</f>
        <v>0</v>
      </c>
      <c r="U218" s="0" t="n">
        <f>IF(P218="DIRECTA",IF(AND(ISNUMBER(G218),COUNTA(H218:J218)=0),1,0),IF(P218="DIMENSIONES",IF(AND(COUNT(G218:J218)&gt;0,COUNTA(G218:J218)=COUNT(G218:J218)),1,0),0))</f>
        <v>0</v>
      </c>
      <c r="V218" s="0" t="n">
        <f>IF(O218=0,0,IF(COUNTIFS($O$13:O218,O218)=1,1,0))</f>
        <v>0</v>
      </c>
      <c r="W218" s="0">
        <f>IF(V218=1,COUNTIFS($V$13:V218,1),"")</f>
      </c>
      <c r="X218" s="0">
        <f>IF(COUNTA(B218:L218)=0,"",IF(OR(NOT(IF(ISNUMBER($E$6),AND($E$6&gt;=0,$E$6&lt;=6,$E$6=INT($E$6)),FALSE)),O218=0,R218=0,T218&gt;0,AND(P218&lt;&gt;"DIMENSIONES",P218&lt;&gt;"DIRECTA",P218&lt;&gt;"SIN LÍNEAS",P218&lt;&gt;"CABECERA"),AND(OR(P218="DIRECTA",P218="DIMENSIONES"),U218=0),AND(OR(P218="SIN LÍNEAS",P218="CABECERA"),COUNTA(G218:J218)&gt;0)),2,IF(OR(P218="SIN LÍNEAS",Y218&gt;0,Z218&gt;0,AA218&gt;0,SUMPRODUCT(--('LÉEME'!$B$65:$B$86=AC218))&lt;&gt;1),1,0)))</f>
      </c>
      <c r="Y218" s="0" t="n">
        <f>IF(AND(P218="DIMENSIONES",S218="m²",COUNT(H218:J218)=3),1,0)</f>
        <v>0</v>
      </c>
      <c r="Z218" s="0" t="n">
        <f>IF(IF(ISNUMBER($E$6),AND($E$6&gt;=0,$E$6&lt;=6,$E$6=INT($E$6)),FALSE),IF(SUM(IF(ISNUMBER(F218),IF(ABS(F218-ROUND(F218,$E$6))&gt;0.00000001,1,0),0),IF(ISNUMBER(G218),IF(ABS(G218-ROUND(G218,$E$6))&gt;0.00000001,1,0),0),IF(ISNUMBER(H218),IF(ABS(H218-ROUND(H218,$E$6))&gt;0.00000001,1,0),0),IF(ISNUMBER(I218),IF(ABS(I218-ROUND(I218,$E$6))&gt;0.00000001,1,0),0),IF(ISNUMBER(J218),IF(ABS(J218-ROUND(J218,$E$6))&gt;0.00000001,1,0),0),IF(ISNUMBER(M218),IF(ABS(M218-ROUND(M218,$E$6))&gt;0.00000001,1,0),0))&gt;0,1,0),0)</f>
        <v>0</v>
      </c>
      <c r="AA218" s="0" t="n">
        <f>IF(COUNTA(B218:L218)=0,0,IF(OR(AND(ISNUMBER(F218),F218&lt;0),AND(U218=1,OR(SUM(IF(ISNUMBER(G218),IF(G218=0,1,0),0),IF(ISNUMBER(H218),IF(H218=0,1,0),0),IF(ISNUMBER(I218),IF(I218=0,1,0),0),IF(ISNUMBER(J218),IF(J218=0,1,0),0))&gt;0,COUNTIFS(G218:J218,"&lt;0")&gt;0)),AND(P218="DIMENSIONES",U218=1,OR(AND(S218="m",COUNT(H218:J218)&lt;&gt;1),AND(S218="m²",COUNT(H218:J218)&lt;&gt;2,Y218=0),AND(S218="m³",COUNT(H218:J218)&lt;&gt;3),AND(S218="ud",COUNT(H218:J218)&gt;0))),AND(P218="DIRECTA",OR(S218="m",S218="m²",S218="m³"))),1,0))</f>
        <v>0</v>
      </c>
      <c r="AB218" s="0">
        <f>IF(LEN(TRIM(E218&amp;""))&gt;0,E218,IF(R218&gt;0,INDEX($E$13:$E$512,R218),""))</f>
      </c>
      <c r="AC218" s="0">
        <f>UPPER(SUBSTITUTE(SUBSTITUTE(SUBSTITUTE(SUBSTITUTE(SUBSTITUTE(TRIM(AB218),"²","2"),"³","3"),"^",""),".","")," ",""))</f>
      </c>
    </row>
    <row r="219" ht="35" customHeight="1">
      <c r="B219" s="35"/>
      <c r="C219" s="35"/>
      <c r="D219" s="37"/>
      <c r="E219" s="35"/>
      <c r="F219" s="38"/>
      <c r="G219" s="38"/>
      <c r="H219" s="38"/>
      <c r="I219" s="38"/>
      <c r="J219" s="38"/>
      <c r="K219" s="35"/>
      <c r="L219" s="35"/>
      <c r="M219" s="39">
        <f>IF(U219&lt;&gt;1,"",IF(P219="DIRECTA",G219,IF(ISNUMBER(G219),G219,1)*IF(ISNUMBER(H219),H219,1)*IF(ISNUMBER(I219),I219,1)*IF(ISNUMBER(J219),J219,1)))</f>
      </c>
      <c r="N219" s="30">
        <f>IF(COUNTA(B219:L219)=0,"",IF(X219=0,IF(P219="CABECERA","VERDE · Fila descriptiva; la suma usa las líneas del ID","VERDE · Datos numéricos interpretables"),IF(X219=2,"ROJO · ","ÁMBAR · ")&amp;IF(NOT(IF(ISNUMBER($E$6),AND($E$6&gt;=0,$E$6&lt;=6,$E$6=INT($E$6)),FALSE)),"Indicamos entre 0 y 6 decimales en E6. ","")&amp;IF(O219=0,"Falta un ID numérico. ","")&amp;IF(R219=0,"Faltan capítulo, código, unidad o total numérico del ID. ","")&amp;IF(T219&gt;0,"Los datos o el total del ID se contradicen. ","")&amp;IF(AND(P219&lt;&gt;"DIMENSIONES",P219&lt;&gt;"DIRECTA",P219&lt;&gt;"SIN LÍNEAS",P219&lt;&gt;"CABECERA"),"Tipo de fila no reconocido. ","")&amp;IF(AND(OR(P219="SIN LÍNEAS",P219="CABECERA"),COUNTA(G219:J219)&gt;0),"La fila dice que no mide, pero contiene medidas. ","")&amp;IF(AND(OR(P219="DIRECTA",P219="DIMENSIONES"),U219=0),"Línea incompleta o con medidas no numéricas. ","")&amp;IF(P219="SIN LÍNEAS","No constan medidas de esta fila. ","")&amp;IF(Y219&gt;0,"Parece m³: tres dimensiones bajo m². ","")&amp;IF(AND(AB219&lt;&gt;"",SUMPRODUCT(--('LÉEME'!$B$65:$B$86=AC219))&lt;&gt;1),"Revisamos el significado de la unidad. ","")&amp;IF(Z219&gt;0,"Más precisión que los decimales indicados: cotejamos el original. ","")&amp;IF(AA219&gt;0,"Revisamos dimensiones, cantidad directa, ceros o deducción. ","")))</f>
      </c>
      <c r="O219" s="0" t="n">
        <f>IF(ISNUMBER(K219),IF(AND(K219&gt;0,K219=INT(K219),K219&lt;=999999),K219,0),0)</f>
        <v>0</v>
      </c>
      <c r="P219" s="0">
        <f>IF(COUNTA(B219:L219)=0,"",IF(L219="",IF(COUNTA(G219:J219)&gt;0,"DIMENSIONES","SIN LÍNEAS"),UPPER(TRIM(L219))))</f>
      </c>
      <c r="Q219" s="0">
        <f>IF(AND(O219&gt;0,LEN(TRIM(B219&amp;""))&gt;0,LEN(TRIM(C219&amp;""))&gt;0,LEN(TRIM(E219&amp;""))&gt;0,ISNUMBER(F219)),O219,"")</f>
      </c>
      <c r="R219" s="0" t="n">
        <f>IF(O219=0,0,IF(COUNTIFS($Q$13:$Q$512,O219)&gt;0,MATCH(O219,$Q$13:$Q$512,0),0))</f>
        <v>0</v>
      </c>
      <c r="S219" s="0">
        <f>IF(AB219="","",IF(SUMPRODUCT(--('LÉEME'!$B$65:$B$86=AC219))=1,INDEX('LÉEME'!$C$65:$C$86,MATCH(AC219,'LÉEME'!$B$65:$B$86,0)),UPPER(TRIM(AB219))))</f>
      </c>
      <c r="T219" s="0" t="n">
        <f>IF(R219=0,0,IF(OR(AND(LEN(TRIM(B219&amp;""))&gt;0,UPPER(TRIM(B219&amp;""))&lt;&gt;UPPER(TRIM(INDEX($B$13:$B$512,R219)&amp;""))),AND(LEN(TRIM(C219&amp;""))&gt;0,UPPER(TRIM(C219&amp;""))&lt;&gt;UPPER(TRIM(INDEX($C$13:$C$512,R219)&amp;""))),AND(LEN(TRIM(E219&amp;""))&gt;0,S219&lt;&gt;INDEX($S$13:$S$512,R219)),AND(F219&lt;&gt;"",NOT(ISNUMBER(F219)))),1,IF(ISNUMBER(F219),IF(ABS(F219-INDEX($F$13:$F$512,R219))&gt;0.00000001,1,0),0)))</f>
        <v>0</v>
      </c>
      <c r="U219" s="0" t="n">
        <f>IF(P219="DIRECTA",IF(AND(ISNUMBER(G219),COUNTA(H219:J219)=0),1,0),IF(P219="DIMENSIONES",IF(AND(COUNT(G219:J219)&gt;0,COUNTA(G219:J219)=COUNT(G219:J219)),1,0),0))</f>
        <v>0</v>
      </c>
      <c r="V219" s="0" t="n">
        <f>IF(O219=0,0,IF(COUNTIFS($O$13:O219,O219)=1,1,0))</f>
        <v>0</v>
      </c>
      <c r="W219" s="0">
        <f>IF(V219=1,COUNTIFS($V$13:V219,1),"")</f>
      </c>
      <c r="X219" s="0">
        <f>IF(COUNTA(B219:L219)=0,"",IF(OR(NOT(IF(ISNUMBER($E$6),AND($E$6&gt;=0,$E$6&lt;=6,$E$6=INT($E$6)),FALSE)),O219=0,R219=0,T219&gt;0,AND(P219&lt;&gt;"DIMENSIONES",P219&lt;&gt;"DIRECTA",P219&lt;&gt;"SIN LÍNEAS",P219&lt;&gt;"CABECERA"),AND(OR(P219="DIRECTA",P219="DIMENSIONES"),U219=0),AND(OR(P219="SIN LÍNEAS",P219="CABECERA"),COUNTA(G219:J219)&gt;0)),2,IF(OR(P219="SIN LÍNEAS",Y219&gt;0,Z219&gt;0,AA219&gt;0,SUMPRODUCT(--('LÉEME'!$B$65:$B$86=AC219))&lt;&gt;1),1,0)))</f>
      </c>
      <c r="Y219" s="0" t="n">
        <f>IF(AND(P219="DIMENSIONES",S219="m²",COUNT(H219:J219)=3),1,0)</f>
        <v>0</v>
      </c>
      <c r="Z219" s="0" t="n">
        <f>IF(IF(ISNUMBER($E$6),AND($E$6&gt;=0,$E$6&lt;=6,$E$6=INT($E$6)),FALSE),IF(SUM(IF(ISNUMBER(F219),IF(ABS(F219-ROUND(F219,$E$6))&gt;0.00000001,1,0),0),IF(ISNUMBER(G219),IF(ABS(G219-ROUND(G219,$E$6))&gt;0.00000001,1,0),0),IF(ISNUMBER(H219),IF(ABS(H219-ROUND(H219,$E$6))&gt;0.00000001,1,0),0),IF(ISNUMBER(I219),IF(ABS(I219-ROUND(I219,$E$6))&gt;0.00000001,1,0),0),IF(ISNUMBER(J219),IF(ABS(J219-ROUND(J219,$E$6))&gt;0.00000001,1,0),0),IF(ISNUMBER(M219),IF(ABS(M219-ROUND(M219,$E$6))&gt;0.00000001,1,0),0))&gt;0,1,0),0)</f>
        <v>0</v>
      </c>
      <c r="AA219" s="0" t="n">
        <f>IF(COUNTA(B219:L219)=0,0,IF(OR(AND(ISNUMBER(F219),F219&lt;0),AND(U219=1,OR(SUM(IF(ISNUMBER(G219),IF(G219=0,1,0),0),IF(ISNUMBER(H219),IF(H219=0,1,0),0),IF(ISNUMBER(I219),IF(I219=0,1,0),0),IF(ISNUMBER(J219),IF(J219=0,1,0),0))&gt;0,COUNTIFS(G219:J219,"&lt;0")&gt;0)),AND(P219="DIMENSIONES",U219=1,OR(AND(S219="m",COUNT(H219:J219)&lt;&gt;1),AND(S219="m²",COUNT(H219:J219)&lt;&gt;2,Y219=0),AND(S219="m³",COUNT(H219:J219)&lt;&gt;3),AND(S219="ud",COUNT(H219:J219)&gt;0))),AND(P219="DIRECTA",OR(S219="m",S219="m²",S219="m³"))),1,0))</f>
        <v>0</v>
      </c>
      <c r="AB219" s="0">
        <f>IF(LEN(TRIM(E219&amp;""))&gt;0,E219,IF(R219&gt;0,INDEX($E$13:$E$512,R219),""))</f>
      </c>
      <c r="AC219" s="0">
        <f>UPPER(SUBSTITUTE(SUBSTITUTE(SUBSTITUTE(SUBSTITUTE(SUBSTITUTE(TRIM(AB219),"²","2"),"³","3"),"^",""),".","")," ",""))</f>
      </c>
    </row>
    <row r="220" ht="35" customHeight="1">
      <c r="B220" s="35"/>
      <c r="C220" s="35"/>
      <c r="D220" s="37"/>
      <c r="E220" s="35"/>
      <c r="F220" s="38"/>
      <c r="G220" s="38"/>
      <c r="H220" s="38"/>
      <c r="I220" s="38"/>
      <c r="J220" s="38"/>
      <c r="K220" s="35"/>
      <c r="L220" s="35"/>
      <c r="M220" s="39">
        <f>IF(U220&lt;&gt;1,"",IF(P220="DIRECTA",G220,IF(ISNUMBER(G220),G220,1)*IF(ISNUMBER(H220),H220,1)*IF(ISNUMBER(I220),I220,1)*IF(ISNUMBER(J220),J220,1)))</f>
      </c>
      <c r="N220" s="30">
        <f>IF(COUNTA(B220:L220)=0,"",IF(X220=0,IF(P220="CABECERA","VERDE · Fila descriptiva; la suma usa las líneas del ID","VERDE · Datos numéricos interpretables"),IF(X220=2,"ROJO · ","ÁMBAR · ")&amp;IF(NOT(IF(ISNUMBER($E$6),AND($E$6&gt;=0,$E$6&lt;=6,$E$6=INT($E$6)),FALSE)),"Indicamos entre 0 y 6 decimales en E6. ","")&amp;IF(O220=0,"Falta un ID numérico. ","")&amp;IF(R220=0,"Faltan capítulo, código, unidad o total numérico del ID. ","")&amp;IF(T220&gt;0,"Los datos o el total del ID se contradicen. ","")&amp;IF(AND(P220&lt;&gt;"DIMENSIONES",P220&lt;&gt;"DIRECTA",P220&lt;&gt;"SIN LÍNEAS",P220&lt;&gt;"CABECERA"),"Tipo de fila no reconocido. ","")&amp;IF(AND(OR(P220="SIN LÍNEAS",P220="CABECERA"),COUNTA(G220:J220)&gt;0),"La fila dice que no mide, pero contiene medidas. ","")&amp;IF(AND(OR(P220="DIRECTA",P220="DIMENSIONES"),U220=0),"Línea incompleta o con medidas no numéricas. ","")&amp;IF(P220="SIN LÍNEAS","No constan medidas de esta fila. ","")&amp;IF(Y220&gt;0,"Parece m³: tres dimensiones bajo m². ","")&amp;IF(AND(AB220&lt;&gt;"",SUMPRODUCT(--('LÉEME'!$B$65:$B$86=AC220))&lt;&gt;1),"Revisamos el significado de la unidad. ","")&amp;IF(Z220&gt;0,"Más precisión que los decimales indicados: cotejamos el original. ","")&amp;IF(AA220&gt;0,"Revisamos dimensiones, cantidad directa, ceros o deducción. ","")))</f>
      </c>
      <c r="O220" s="0" t="n">
        <f>IF(ISNUMBER(K220),IF(AND(K220&gt;0,K220=INT(K220),K220&lt;=999999),K220,0),0)</f>
        <v>0</v>
      </c>
      <c r="P220" s="0">
        <f>IF(COUNTA(B220:L220)=0,"",IF(L220="",IF(COUNTA(G220:J220)&gt;0,"DIMENSIONES","SIN LÍNEAS"),UPPER(TRIM(L220))))</f>
      </c>
      <c r="Q220" s="0">
        <f>IF(AND(O220&gt;0,LEN(TRIM(B220&amp;""))&gt;0,LEN(TRIM(C220&amp;""))&gt;0,LEN(TRIM(E220&amp;""))&gt;0,ISNUMBER(F220)),O220,"")</f>
      </c>
      <c r="R220" s="0" t="n">
        <f>IF(O220=0,0,IF(COUNTIFS($Q$13:$Q$512,O220)&gt;0,MATCH(O220,$Q$13:$Q$512,0),0))</f>
        <v>0</v>
      </c>
      <c r="S220" s="0">
        <f>IF(AB220="","",IF(SUMPRODUCT(--('LÉEME'!$B$65:$B$86=AC220))=1,INDEX('LÉEME'!$C$65:$C$86,MATCH(AC220,'LÉEME'!$B$65:$B$86,0)),UPPER(TRIM(AB220))))</f>
      </c>
      <c r="T220" s="0" t="n">
        <f>IF(R220=0,0,IF(OR(AND(LEN(TRIM(B220&amp;""))&gt;0,UPPER(TRIM(B220&amp;""))&lt;&gt;UPPER(TRIM(INDEX($B$13:$B$512,R220)&amp;""))),AND(LEN(TRIM(C220&amp;""))&gt;0,UPPER(TRIM(C220&amp;""))&lt;&gt;UPPER(TRIM(INDEX($C$13:$C$512,R220)&amp;""))),AND(LEN(TRIM(E220&amp;""))&gt;0,S220&lt;&gt;INDEX($S$13:$S$512,R220)),AND(F220&lt;&gt;"",NOT(ISNUMBER(F220)))),1,IF(ISNUMBER(F220),IF(ABS(F220-INDEX($F$13:$F$512,R220))&gt;0.00000001,1,0),0)))</f>
        <v>0</v>
      </c>
      <c r="U220" s="0" t="n">
        <f>IF(P220="DIRECTA",IF(AND(ISNUMBER(G220),COUNTA(H220:J220)=0),1,0),IF(P220="DIMENSIONES",IF(AND(COUNT(G220:J220)&gt;0,COUNTA(G220:J220)=COUNT(G220:J220)),1,0),0))</f>
        <v>0</v>
      </c>
      <c r="V220" s="0" t="n">
        <f>IF(O220=0,0,IF(COUNTIFS($O$13:O220,O220)=1,1,0))</f>
        <v>0</v>
      </c>
      <c r="W220" s="0">
        <f>IF(V220=1,COUNTIFS($V$13:V220,1),"")</f>
      </c>
      <c r="X220" s="0">
        <f>IF(COUNTA(B220:L220)=0,"",IF(OR(NOT(IF(ISNUMBER($E$6),AND($E$6&gt;=0,$E$6&lt;=6,$E$6=INT($E$6)),FALSE)),O220=0,R220=0,T220&gt;0,AND(P220&lt;&gt;"DIMENSIONES",P220&lt;&gt;"DIRECTA",P220&lt;&gt;"SIN LÍNEAS",P220&lt;&gt;"CABECERA"),AND(OR(P220="DIRECTA",P220="DIMENSIONES"),U220=0),AND(OR(P220="SIN LÍNEAS",P220="CABECERA"),COUNTA(G220:J220)&gt;0)),2,IF(OR(P220="SIN LÍNEAS",Y220&gt;0,Z220&gt;0,AA220&gt;0,SUMPRODUCT(--('LÉEME'!$B$65:$B$86=AC220))&lt;&gt;1),1,0)))</f>
      </c>
      <c r="Y220" s="0" t="n">
        <f>IF(AND(P220="DIMENSIONES",S220="m²",COUNT(H220:J220)=3),1,0)</f>
        <v>0</v>
      </c>
      <c r="Z220" s="0" t="n">
        <f>IF(IF(ISNUMBER($E$6),AND($E$6&gt;=0,$E$6&lt;=6,$E$6=INT($E$6)),FALSE),IF(SUM(IF(ISNUMBER(F220),IF(ABS(F220-ROUND(F220,$E$6))&gt;0.00000001,1,0),0),IF(ISNUMBER(G220),IF(ABS(G220-ROUND(G220,$E$6))&gt;0.00000001,1,0),0),IF(ISNUMBER(H220),IF(ABS(H220-ROUND(H220,$E$6))&gt;0.00000001,1,0),0),IF(ISNUMBER(I220),IF(ABS(I220-ROUND(I220,$E$6))&gt;0.00000001,1,0),0),IF(ISNUMBER(J220),IF(ABS(J220-ROUND(J220,$E$6))&gt;0.00000001,1,0),0),IF(ISNUMBER(M220),IF(ABS(M220-ROUND(M220,$E$6))&gt;0.00000001,1,0),0))&gt;0,1,0),0)</f>
        <v>0</v>
      </c>
      <c r="AA220" s="0" t="n">
        <f>IF(COUNTA(B220:L220)=0,0,IF(OR(AND(ISNUMBER(F220),F220&lt;0),AND(U220=1,OR(SUM(IF(ISNUMBER(G220),IF(G220=0,1,0),0),IF(ISNUMBER(H220),IF(H220=0,1,0),0),IF(ISNUMBER(I220),IF(I220=0,1,0),0),IF(ISNUMBER(J220),IF(J220=0,1,0),0))&gt;0,COUNTIFS(G220:J220,"&lt;0")&gt;0)),AND(P220="DIMENSIONES",U220=1,OR(AND(S220="m",COUNT(H220:J220)&lt;&gt;1),AND(S220="m²",COUNT(H220:J220)&lt;&gt;2,Y220=0),AND(S220="m³",COUNT(H220:J220)&lt;&gt;3),AND(S220="ud",COUNT(H220:J220)&gt;0))),AND(P220="DIRECTA",OR(S220="m",S220="m²",S220="m³"))),1,0))</f>
        <v>0</v>
      </c>
      <c r="AB220" s="0">
        <f>IF(LEN(TRIM(E220&amp;""))&gt;0,E220,IF(R220&gt;0,INDEX($E$13:$E$512,R220),""))</f>
      </c>
      <c r="AC220" s="0">
        <f>UPPER(SUBSTITUTE(SUBSTITUTE(SUBSTITUTE(SUBSTITUTE(SUBSTITUTE(TRIM(AB220),"²","2"),"³","3"),"^",""),".","")," ",""))</f>
      </c>
    </row>
    <row r="221" ht="35" customHeight="1">
      <c r="B221" s="35"/>
      <c r="C221" s="35"/>
      <c r="D221" s="37"/>
      <c r="E221" s="35"/>
      <c r="F221" s="38"/>
      <c r="G221" s="38"/>
      <c r="H221" s="38"/>
      <c r="I221" s="38"/>
      <c r="J221" s="38"/>
      <c r="K221" s="35"/>
      <c r="L221" s="35"/>
      <c r="M221" s="39">
        <f>IF(U221&lt;&gt;1,"",IF(P221="DIRECTA",G221,IF(ISNUMBER(G221),G221,1)*IF(ISNUMBER(H221),H221,1)*IF(ISNUMBER(I221),I221,1)*IF(ISNUMBER(J221),J221,1)))</f>
      </c>
      <c r="N221" s="30">
        <f>IF(COUNTA(B221:L221)=0,"",IF(X221=0,IF(P221="CABECERA","VERDE · Fila descriptiva; la suma usa las líneas del ID","VERDE · Datos numéricos interpretables"),IF(X221=2,"ROJO · ","ÁMBAR · ")&amp;IF(NOT(IF(ISNUMBER($E$6),AND($E$6&gt;=0,$E$6&lt;=6,$E$6=INT($E$6)),FALSE)),"Indicamos entre 0 y 6 decimales en E6. ","")&amp;IF(O221=0,"Falta un ID numérico. ","")&amp;IF(R221=0,"Faltan capítulo, código, unidad o total numérico del ID. ","")&amp;IF(T221&gt;0,"Los datos o el total del ID se contradicen. ","")&amp;IF(AND(P221&lt;&gt;"DIMENSIONES",P221&lt;&gt;"DIRECTA",P221&lt;&gt;"SIN LÍNEAS",P221&lt;&gt;"CABECERA"),"Tipo de fila no reconocido. ","")&amp;IF(AND(OR(P221="SIN LÍNEAS",P221="CABECERA"),COUNTA(G221:J221)&gt;0),"La fila dice que no mide, pero contiene medidas. ","")&amp;IF(AND(OR(P221="DIRECTA",P221="DIMENSIONES"),U221=0),"Línea incompleta o con medidas no numéricas. ","")&amp;IF(P221="SIN LÍNEAS","No constan medidas de esta fila. ","")&amp;IF(Y221&gt;0,"Parece m³: tres dimensiones bajo m². ","")&amp;IF(AND(AB221&lt;&gt;"",SUMPRODUCT(--('LÉEME'!$B$65:$B$86=AC221))&lt;&gt;1),"Revisamos el significado de la unidad. ","")&amp;IF(Z221&gt;0,"Más precisión que los decimales indicados: cotejamos el original. ","")&amp;IF(AA221&gt;0,"Revisamos dimensiones, cantidad directa, ceros o deducción. ","")))</f>
      </c>
      <c r="O221" s="0" t="n">
        <f>IF(ISNUMBER(K221),IF(AND(K221&gt;0,K221=INT(K221),K221&lt;=999999),K221,0),0)</f>
        <v>0</v>
      </c>
      <c r="P221" s="0">
        <f>IF(COUNTA(B221:L221)=0,"",IF(L221="",IF(COUNTA(G221:J221)&gt;0,"DIMENSIONES","SIN LÍNEAS"),UPPER(TRIM(L221))))</f>
      </c>
      <c r="Q221" s="0">
        <f>IF(AND(O221&gt;0,LEN(TRIM(B221&amp;""))&gt;0,LEN(TRIM(C221&amp;""))&gt;0,LEN(TRIM(E221&amp;""))&gt;0,ISNUMBER(F221)),O221,"")</f>
      </c>
      <c r="R221" s="0" t="n">
        <f>IF(O221=0,0,IF(COUNTIFS($Q$13:$Q$512,O221)&gt;0,MATCH(O221,$Q$13:$Q$512,0),0))</f>
        <v>0</v>
      </c>
      <c r="S221" s="0">
        <f>IF(AB221="","",IF(SUMPRODUCT(--('LÉEME'!$B$65:$B$86=AC221))=1,INDEX('LÉEME'!$C$65:$C$86,MATCH(AC221,'LÉEME'!$B$65:$B$86,0)),UPPER(TRIM(AB221))))</f>
      </c>
      <c r="T221" s="0" t="n">
        <f>IF(R221=0,0,IF(OR(AND(LEN(TRIM(B221&amp;""))&gt;0,UPPER(TRIM(B221&amp;""))&lt;&gt;UPPER(TRIM(INDEX($B$13:$B$512,R221)&amp;""))),AND(LEN(TRIM(C221&amp;""))&gt;0,UPPER(TRIM(C221&amp;""))&lt;&gt;UPPER(TRIM(INDEX($C$13:$C$512,R221)&amp;""))),AND(LEN(TRIM(E221&amp;""))&gt;0,S221&lt;&gt;INDEX($S$13:$S$512,R221)),AND(F221&lt;&gt;"",NOT(ISNUMBER(F221)))),1,IF(ISNUMBER(F221),IF(ABS(F221-INDEX($F$13:$F$512,R221))&gt;0.00000001,1,0),0)))</f>
        <v>0</v>
      </c>
      <c r="U221" s="0" t="n">
        <f>IF(P221="DIRECTA",IF(AND(ISNUMBER(G221),COUNTA(H221:J221)=0),1,0),IF(P221="DIMENSIONES",IF(AND(COUNT(G221:J221)&gt;0,COUNTA(G221:J221)=COUNT(G221:J221)),1,0),0))</f>
        <v>0</v>
      </c>
      <c r="V221" s="0" t="n">
        <f>IF(O221=0,0,IF(COUNTIFS($O$13:O221,O221)=1,1,0))</f>
        <v>0</v>
      </c>
      <c r="W221" s="0">
        <f>IF(V221=1,COUNTIFS($V$13:V221,1),"")</f>
      </c>
      <c r="X221" s="0">
        <f>IF(COUNTA(B221:L221)=0,"",IF(OR(NOT(IF(ISNUMBER($E$6),AND($E$6&gt;=0,$E$6&lt;=6,$E$6=INT($E$6)),FALSE)),O221=0,R221=0,T221&gt;0,AND(P221&lt;&gt;"DIMENSIONES",P221&lt;&gt;"DIRECTA",P221&lt;&gt;"SIN LÍNEAS",P221&lt;&gt;"CABECERA"),AND(OR(P221="DIRECTA",P221="DIMENSIONES"),U221=0),AND(OR(P221="SIN LÍNEAS",P221="CABECERA"),COUNTA(G221:J221)&gt;0)),2,IF(OR(P221="SIN LÍNEAS",Y221&gt;0,Z221&gt;0,AA221&gt;0,SUMPRODUCT(--('LÉEME'!$B$65:$B$86=AC221))&lt;&gt;1),1,0)))</f>
      </c>
      <c r="Y221" s="0" t="n">
        <f>IF(AND(P221="DIMENSIONES",S221="m²",COUNT(H221:J221)=3),1,0)</f>
        <v>0</v>
      </c>
      <c r="Z221" s="0" t="n">
        <f>IF(IF(ISNUMBER($E$6),AND($E$6&gt;=0,$E$6&lt;=6,$E$6=INT($E$6)),FALSE),IF(SUM(IF(ISNUMBER(F221),IF(ABS(F221-ROUND(F221,$E$6))&gt;0.00000001,1,0),0),IF(ISNUMBER(G221),IF(ABS(G221-ROUND(G221,$E$6))&gt;0.00000001,1,0),0),IF(ISNUMBER(H221),IF(ABS(H221-ROUND(H221,$E$6))&gt;0.00000001,1,0),0),IF(ISNUMBER(I221),IF(ABS(I221-ROUND(I221,$E$6))&gt;0.00000001,1,0),0),IF(ISNUMBER(J221),IF(ABS(J221-ROUND(J221,$E$6))&gt;0.00000001,1,0),0),IF(ISNUMBER(M221),IF(ABS(M221-ROUND(M221,$E$6))&gt;0.00000001,1,0),0))&gt;0,1,0),0)</f>
        <v>0</v>
      </c>
      <c r="AA221" s="0" t="n">
        <f>IF(COUNTA(B221:L221)=0,0,IF(OR(AND(ISNUMBER(F221),F221&lt;0),AND(U221=1,OR(SUM(IF(ISNUMBER(G221),IF(G221=0,1,0),0),IF(ISNUMBER(H221),IF(H221=0,1,0),0),IF(ISNUMBER(I221),IF(I221=0,1,0),0),IF(ISNUMBER(J221),IF(J221=0,1,0),0))&gt;0,COUNTIFS(G221:J221,"&lt;0")&gt;0)),AND(P221="DIMENSIONES",U221=1,OR(AND(S221="m",COUNT(H221:J221)&lt;&gt;1),AND(S221="m²",COUNT(H221:J221)&lt;&gt;2,Y221=0),AND(S221="m³",COUNT(H221:J221)&lt;&gt;3),AND(S221="ud",COUNT(H221:J221)&gt;0))),AND(P221="DIRECTA",OR(S221="m",S221="m²",S221="m³"))),1,0))</f>
        <v>0</v>
      </c>
      <c r="AB221" s="0">
        <f>IF(LEN(TRIM(E221&amp;""))&gt;0,E221,IF(R221&gt;0,INDEX($E$13:$E$512,R221),""))</f>
      </c>
      <c r="AC221" s="0">
        <f>UPPER(SUBSTITUTE(SUBSTITUTE(SUBSTITUTE(SUBSTITUTE(SUBSTITUTE(TRIM(AB221),"²","2"),"³","3"),"^",""),".","")," ",""))</f>
      </c>
    </row>
    <row r="222" ht="35" customHeight="1">
      <c r="B222" s="35"/>
      <c r="C222" s="35"/>
      <c r="D222" s="37"/>
      <c r="E222" s="35"/>
      <c r="F222" s="38"/>
      <c r="G222" s="38"/>
      <c r="H222" s="38"/>
      <c r="I222" s="38"/>
      <c r="J222" s="38"/>
      <c r="K222" s="35"/>
      <c r="L222" s="35"/>
      <c r="M222" s="39">
        <f>IF(U222&lt;&gt;1,"",IF(P222="DIRECTA",G222,IF(ISNUMBER(G222),G222,1)*IF(ISNUMBER(H222),H222,1)*IF(ISNUMBER(I222),I222,1)*IF(ISNUMBER(J222),J222,1)))</f>
      </c>
      <c r="N222" s="30">
        <f>IF(COUNTA(B222:L222)=0,"",IF(X222=0,IF(P222="CABECERA","VERDE · Fila descriptiva; la suma usa las líneas del ID","VERDE · Datos numéricos interpretables"),IF(X222=2,"ROJO · ","ÁMBAR · ")&amp;IF(NOT(IF(ISNUMBER($E$6),AND($E$6&gt;=0,$E$6&lt;=6,$E$6=INT($E$6)),FALSE)),"Indicamos entre 0 y 6 decimales en E6. ","")&amp;IF(O222=0,"Falta un ID numérico. ","")&amp;IF(R222=0,"Faltan capítulo, código, unidad o total numérico del ID. ","")&amp;IF(T222&gt;0,"Los datos o el total del ID se contradicen. ","")&amp;IF(AND(P222&lt;&gt;"DIMENSIONES",P222&lt;&gt;"DIRECTA",P222&lt;&gt;"SIN LÍNEAS",P222&lt;&gt;"CABECERA"),"Tipo de fila no reconocido. ","")&amp;IF(AND(OR(P222="SIN LÍNEAS",P222="CABECERA"),COUNTA(G222:J222)&gt;0),"La fila dice que no mide, pero contiene medidas. ","")&amp;IF(AND(OR(P222="DIRECTA",P222="DIMENSIONES"),U222=0),"Línea incompleta o con medidas no numéricas. ","")&amp;IF(P222="SIN LÍNEAS","No constan medidas de esta fila. ","")&amp;IF(Y222&gt;0,"Parece m³: tres dimensiones bajo m². ","")&amp;IF(AND(AB222&lt;&gt;"",SUMPRODUCT(--('LÉEME'!$B$65:$B$86=AC222))&lt;&gt;1),"Revisamos el significado de la unidad. ","")&amp;IF(Z222&gt;0,"Más precisión que los decimales indicados: cotejamos el original. ","")&amp;IF(AA222&gt;0,"Revisamos dimensiones, cantidad directa, ceros o deducción. ","")))</f>
      </c>
      <c r="O222" s="0" t="n">
        <f>IF(ISNUMBER(K222),IF(AND(K222&gt;0,K222=INT(K222),K222&lt;=999999),K222,0),0)</f>
        <v>0</v>
      </c>
      <c r="P222" s="0">
        <f>IF(COUNTA(B222:L222)=0,"",IF(L222="",IF(COUNTA(G222:J222)&gt;0,"DIMENSIONES","SIN LÍNEAS"),UPPER(TRIM(L222))))</f>
      </c>
      <c r="Q222" s="0">
        <f>IF(AND(O222&gt;0,LEN(TRIM(B222&amp;""))&gt;0,LEN(TRIM(C222&amp;""))&gt;0,LEN(TRIM(E222&amp;""))&gt;0,ISNUMBER(F222)),O222,"")</f>
      </c>
      <c r="R222" s="0" t="n">
        <f>IF(O222=0,0,IF(COUNTIFS($Q$13:$Q$512,O222)&gt;0,MATCH(O222,$Q$13:$Q$512,0),0))</f>
        <v>0</v>
      </c>
      <c r="S222" s="0">
        <f>IF(AB222="","",IF(SUMPRODUCT(--('LÉEME'!$B$65:$B$86=AC222))=1,INDEX('LÉEME'!$C$65:$C$86,MATCH(AC222,'LÉEME'!$B$65:$B$86,0)),UPPER(TRIM(AB222))))</f>
      </c>
      <c r="T222" s="0" t="n">
        <f>IF(R222=0,0,IF(OR(AND(LEN(TRIM(B222&amp;""))&gt;0,UPPER(TRIM(B222&amp;""))&lt;&gt;UPPER(TRIM(INDEX($B$13:$B$512,R222)&amp;""))),AND(LEN(TRIM(C222&amp;""))&gt;0,UPPER(TRIM(C222&amp;""))&lt;&gt;UPPER(TRIM(INDEX($C$13:$C$512,R222)&amp;""))),AND(LEN(TRIM(E222&amp;""))&gt;0,S222&lt;&gt;INDEX($S$13:$S$512,R222)),AND(F222&lt;&gt;"",NOT(ISNUMBER(F222)))),1,IF(ISNUMBER(F222),IF(ABS(F222-INDEX($F$13:$F$512,R222))&gt;0.00000001,1,0),0)))</f>
        <v>0</v>
      </c>
      <c r="U222" s="0" t="n">
        <f>IF(P222="DIRECTA",IF(AND(ISNUMBER(G222),COUNTA(H222:J222)=0),1,0),IF(P222="DIMENSIONES",IF(AND(COUNT(G222:J222)&gt;0,COUNTA(G222:J222)=COUNT(G222:J222)),1,0),0))</f>
        <v>0</v>
      </c>
      <c r="V222" s="0" t="n">
        <f>IF(O222=0,0,IF(COUNTIFS($O$13:O222,O222)=1,1,0))</f>
        <v>0</v>
      </c>
      <c r="W222" s="0">
        <f>IF(V222=1,COUNTIFS($V$13:V222,1),"")</f>
      </c>
      <c r="X222" s="0">
        <f>IF(COUNTA(B222:L222)=0,"",IF(OR(NOT(IF(ISNUMBER($E$6),AND($E$6&gt;=0,$E$6&lt;=6,$E$6=INT($E$6)),FALSE)),O222=0,R222=0,T222&gt;0,AND(P222&lt;&gt;"DIMENSIONES",P222&lt;&gt;"DIRECTA",P222&lt;&gt;"SIN LÍNEAS",P222&lt;&gt;"CABECERA"),AND(OR(P222="DIRECTA",P222="DIMENSIONES"),U222=0),AND(OR(P222="SIN LÍNEAS",P222="CABECERA"),COUNTA(G222:J222)&gt;0)),2,IF(OR(P222="SIN LÍNEAS",Y222&gt;0,Z222&gt;0,AA222&gt;0,SUMPRODUCT(--('LÉEME'!$B$65:$B$86=AC222))&lt;&gt;1),1,0)))</f>
      </c>
      <c r="Y222" s="0" t="n">
        <f>IF(AND(P222="DIMENSIONES",S222="m²",COUNT(H222:J222)=3),1,0)</f>
        <v>0</v>
      </c>
      <c r="Z222" s="0" t="n">
        <f>IF(IF(ISNUMBER($E$6),AND($E$6&gt;=0,$E$6&lt;=6,$E$6=INT($E$6)),FALSE),IF(SUM(IF(ISNUMBER(F222),IF(ABS(F222-ROUND(F222,$E$6))&gt;0.00000001,1,0),0),IF(ISNUMBER(G222),IF(ABS(G222-ROUND(G222,$E$6))&gt;0.00000001,1,0),0),IF(ISNUMBER(H222),IF(ABS(H222-ROUND(H222,$E$6))&gt;0.00000001,1,0),0),IF(ISNUMBER(I222),IF(ABS(I222-ROUND(I222,$E$6))&gt;0.00000001,1,0),0),IF(ISNUMBER(J222),IF(ABS(J222-ROUND(J222,$E$6))&gt;0.00000001,1,0),0),IF(ISNUMBER(M222),IF(ABS(M222-ROUND(M222,$E$6))&gt;0.00000001,1,0),0))&gt;0,1,0),0)</f>
        <v>0</v>
      </c>
      <c r="AA222" s="0" t="n">
        <f>IF(COUNTA(B222:L222)=0,0,IF(OR(AND(ISNUMBER(F222),F222&lt;0),AND(U222=1,OR(SUM(IF(ISNUMBER(G222),IF(G222=0,1,0),0),IF(ISNUMBER(H222),IF(H222=0,1,0),0),IF(ISNUMBER(I222),IF(I222=0,1,0),0),IF(ISNUMBER(J222),IF(J222=0,1,0),0))&gt;0,COUNTIFS(G222:J222,"&lt;0")&gt;0)),AND(P222="DIMENSIONES",U222=1,OR(AND(S222="m",COUNT(H222:J222)&lt;&gt;1),AND(S222="m²",COUNT(H222:J222)&lt;&gt;2,Y222=0),AND(S222="m³",COUNT(H222:J222)&lt;&gt;3),AND(S222="ud",COUNT(H222:J222)&gt;0))),AND(P222="DIRECTA",OR(S222="m",S222="m²",S222="m³"))),1,0))</f>
        <v>0</v>
      </c>
      <c r="AB222" s="0">
        <f>IF(LEN(TRIM(E222&amp;""))&gt;0,E222,IF(R222&gt;0,INDEX($E$13:$E$512,R222),""))</f>
      </c>
      <c r="AC222" s="0">
        <f>UPPER(SUBSTITUTE(SUBSTITUTE(SUBSTITUTE(SUBSTITUTE(SUBSTITUTE(TRIM(AB222),"²","2"),"³","3"),"^",""),".","")," ",""))</f>
      </c>
    </row>
    <row r="223" ht="35" customHeight="1">
      <c r="B223" s="35"/>
      <c r="C223" s="35"/>
      <c r="D223" s="37"/>
      <c r="E223" s="35"/>
      <c r="F223" s="38"/>
      <c r="G223" s="38"/>
      <c r="H223" s="38"/>
      <c r="I223" s="38"/>
      <c r="J223" s="38"/>
      <c r="K223" s="35"/>
      <c r="L223" s="35"/>
      <c r="M223" s="39">
        <f>IF(U223&lt;&gt;1,"",IF(P223="DIRECTA",G223,IF(ISNUMBER(G223),G223,1)*IF(ISNUMBER(H223),H223,1)*IF(ISNUMBER(I223),I223,1)*IF(ISNUMBER(J223),J223,1)))</f>
      </c>
      <c r="N223" s="30">
        <f>IF(COUNTA(B223:L223)=0,"",IF(X223=0,IF(P223="CABECERA","VERDE · Fila descriptiva; la suma usa las líneas del ID","VERDE · Datos numéricos interpretables"),IF(X223=2,"ROJO · ","ÁMBAR · ")&amp;IF(NOT(IF(ISNUMBER($E$6),AND($E$6&gt;=0,$E$6&lt;=6,$E$6=INT($E$6)),FALSE)),"Indicamos entre 0 y 6 decimales en E6. ","")&amp;IF(O223=0,"Falta un ID numérico. ","")&amp;IF(R223=0,"Faltan capítulo, código, unidad o total numérico del ID. ","")&amp;IF(T223&gt;0,"Los datos o el total del ID se contradicen. ","")&amp;IF(AND(P223&lt;&gt;"DIMENSIONES",P223&lt;&gt;"DIRECTA",P223&lt;&gt;"SIN LÍNEAS",P223&lt;&gt;"CABECERA"),"Tipo de fila no reconocido. ","")&amp;IF(AND(OR(P223="SIN LÍNEAS",P223="CABECERA"),COUNTA(G223:J223)&gt;0),"La fila dice que no mide, pero contiene medidas. ","")&amp;IF(AND(OR(P223="DIRECTA",P223="DIMENSIONES"),U223=0),"Línea incompleta o con medidas no numéricas. ","")&amp;IF(P223="SIN LÍNEAS","No constan medidas de esta fila. ","")&amp;IF(Y223&gt;0,"Parece m³: tres dimensiones bajo m². ","")&amp;IF(AND(AB223&lt;&gt;"",SUMPRODUCT(--('LÉEME'!$B$65:$B$86=AC223))&lt;&gt;1),"Revisamos el significado de la unidad. ","")&amp;IF(Z223&gt;0,"Más precisión que los decimales indicados: cotejamos el original. ","")&amp;IF(AA223&gt;0,"Revisamos dimensiones, cantidad directa, ceros o deducción. ","")))</f>
      </c>
      <c r="O223" s="0" t="n">
        <f>IF(ISNUMBER(K223),IF(AND(K223&gt;0,K223=INT(K223),K223&lt;=999999),K223,0),0)</f>
        <v>0</v>
      </c>
      <c r="P223" s="0">
        <f>IF(COUNTA(B223:L223)=0,"",IF(L223="",IF(COUNTA(G223:J223)&gt;0,"DIMENSIONES","SIN LÍNEAS"),UPPER(TRIM(L223))))</f>
      </c>
      <c r="Q223" s="0">
        <f>IF(AND(O223&gt;0,LEN(TRIM(B223&amp;""))&gt;0,LEN(TRIM(C223&amp;""))&gt;0,LEN(TRIM(E223&amp;""))&gt;0,ISNUMBER(F223)),O223,"")</f>
      </c>
      <c r="R223" s="0" t="n">
        <f>IF(O223=0,0,IF(COUNTIFS($Q$13:$Q$512,O223)&gt;0,MATCH(O223,$Q$13:$Q$512,0),0))</f>
        <v>0</v>
      </c>
      <c r="S223" s="0">
        <f>IF(AB223="","",IF(SUMPRODUCT(--('LÉEME'!$B$65:$B$86=AC223))=1,INDEX('LÉEME'!$C$65:$C$86,MATCH(AC223,'LÉEME'!$B$65:$B$86,0)),UPPER(TRIM(AB223))))</f>
      </c>
      <c r="T223" s="0" t="n">
        <f>IF(R223=0,0,IF(OR(AND(LEN(TRIM(B223&amp;""))&gt;0,UPPER(TRIM(B223&amp;""))&lt;&gt;UPPER(TRIM(INDEX($B$13:$B$512,R223)&amp;""))),AND(LEN(TRIM(C223&amp;""))&gt;0,UPPER(TRIM(C223&amp;""))&lt;&gt;UPPER(TRIM(INDEX($C$13:$C$512,R223)&amp;""))),AND(LEN(TRIM(E223&amp;""))&gt;0,S223&lt;&gt;INDEX($S$13:$S$512,R223)),AND(F223&lt;&gt;"",NOT(ISNUMBER(F223)))),1,IF(ISNUMBER(F223),IF(ABS(F223-INDEX($F$13:$F$512,R223))&gt;0.00000001,1,0),0)))</f>
        <v>0</v>
      </c>
      <c r="U223" s="0" t="n">
        <f>IF(P223="DIRECTA",IF(AND(ISNUMBER(G223),COUNTA(H223:J223)=0),1,0),IF(P223="DIMENSIONES",IF(AND(COUNT(G223:J223)&gt;0,COUNTA(G223:J223)=COUNT(G223:J223)),1,0),0))</f>
        <v>0</v>
      </c>
      <c r="V223" s="0" t="n">
        <f>IF(O223=0,0,IF(COUNTIFS($O$13:O223,O223)=1,1,0))</f>
        <v>0</v>
      </c>
      <c r="W223" s="0">
        <f>IF(V223=1,COUNTIFS($V$13:V223,1),"")</f>
      </c>
      <c r="X223" s="0">
        <f>IF(COUNTA(B223:L223)=0,"",IF(OR(NOT(IF(ISNUMBER($E$6),AND($E$6&gt;=0,$E$6&lt;=6,$E$6=INT($E$6)),FALSE)),O223=0,R223=0,T223&gt;0,AND(P223&lt;&gt;"DIMENSIONES",P223&lt;&gt;"DIRECTA",P223&lt;&gt;"SIN LÍNEAS",P223&lt;&gt;"CABECERA"),AND(OR(P223="DIRECTA",P223="DIMENSIONES"),U223=0),AND(OR(P223="SIN LÍNEAS",P223="CABECERA"),COUNTA(G223:J223)&gt;0)),2,IF(OR(P223="SIN LÍNEAS",Y223&gt;0,Z223&gt;0,AA223&gt;0,SUMPRODUCT(--('LÉEME'!$B$65:$B$86=AC223))&lt;&gt;1),1,0)))</f>
      </c>
      <c r="Y223" s="0" t="n">
        <f>IF(AND(P223="DIMENSIONES",S223="m²",COUNT(H223:J223)=3),1,0)</f>
        <v>0</v>
      </c>
      <c r="Z223" s="0" t="n">
        <f>IF(IF(ISNUMBER($E$6),AND($E$6&gt;=0,$E$6&lt;=6,$E$6=INT($E$6)),FALSE),IF(SUM(IF(ISNUMBER(F223),IF(ABS(F223-ROUND(F223,$E$6))&gt;0.00000001,1,0),0),IF(ISNUMBER(G223),IF(ABS(G223-ROUND(G223,$E$6))&gt;0.00000001,1,0),0),IF(ISNUMBER(H223),IF(ABS(H223-ROUND(H223,$E$6))&gt;0.00000001,1,0),0),IF(ISNUMBER(I223),IF(ABS(I223-ROUND(I223,$E$6))&gt;0.00000001,1,0),0),IF(ISNUMBER(J223),IF(ABS(J223-ROUND(J223,$E$6))&gt;0.00000001,1,0),0),IF(ISNUMBER(M223),IF(ABS(M223-ROUND(M223,$E$6))&gt;0.00000001,1,0),0))&gt;0,1,0),0)</f>
        <v>0</v>
      </c>
      <c r="AA223" s="0" t="n">
        <f>IF(COUNTA(B223:L223)=0,0,IF(OR(AND(ISNUMBER(F223),F223&lt;0),AND(U223=1,OR(SUM(IF(ISNUMBER(G223),IF(G223=0,1,0),0),IF(ISNUMBER(H223),IF(H223=0,1,0),0),IF(ISNUMBER(I223),IF(I223=0,1,0),0),IF(ISNUMBER(J223),IF(J223=0,1,0),0))&gt;0,COUNTIFS(G223:J223,"&lt;0")&gt;0)),AND(P223="DIMENSIONES",U223=1,OR(AND(S223="m",COUNT(H223:J223)&lt;&gt;1),AND(S223="m²",COUNT(H223:J223)&lt;&gt;2,Y223=0),AND(S223="m³",COUNT(H223:J223)&lt;&gt;3),AND(S223="ud",COUNT(H223:J223)&gt;0))),AND(P223="DIRECTA",OR(S223="m",S223="m²",S223="m³"))),1,0))</f>
        <v>0</v>
      </c>
      <c r="AB223" s="0">
        <f>IF(LEN(TRIM(E223&amp;""))&gt;0,E223,IF(R223&gt;0,INDEX($E$13:$E$512,R223),""))</f>
      </c>
      <c r="AC223" s="0">
        <f>UPPER(SUBSTITUTE(SUBSTITUTE(SUBSTITUTE(SUBSTITUTE(SUBSTITUTE(TRIM(AB223),"²","2"),"³","3"),"^",""),".","")," ",""))</f>
      </c>
    </row>
    <row r="224" ht="35" customHeight="1">
      <c r="B224" s="35"/>
      <c r="C224" s="35"/>
      <c r="D224" s="37"/>
      <c r="E224" s="35"/>
      <c r="F224" s="38"/>
      <c r="G224" s="38"/>
      <c r="H224" s="38"/>
      <c r="I224" s="38"/>
      <c r="J224" s="38"/>
      <c r="K224" s="35"/>
      <c r="L224" s="35"/>
      <c r="M224" s="39">
        <f>IF(U224&lt;&gt;1,"",IF(P224="DIRECTA",G224,IF(ISNUMBER(G224),G224,1)*IF(ISNUMBER(H224),H224,1)*IF(ISNUMBER(I224),I224,1)*IF(ISNUMBER(J224),J224,1)))</f>
      </c>
      <c r="N224" s="30">
        <f>IF(COUNTA(B224:L224)=0,"",IF(X224=0,IF(P224="CABECERA","VERDE · Fila descriptiva; la suma usa las líneas del ID","VERDE · Datos numéricos interpretables"),IF(X224=2,"ROJO · ","ÁMBAR · ")&amp;IF(NOT(IF(ISNUMBER($E$6),AND($E$6&gt;=0,$E$6&lt;=6,$E$6=INT($E$6)),FALSE)),"Indicamos entre 0 y 6 decimales en E6. ","")&amp;IF(O224=0,"Falta un ID numérico. ","")&amp;IF(R224=0,"Faltan capítulo, código, unidad o total numérico del ID. ","")&amp;IF(T224&gt;0,"Los datos o el total del ID se contradicen. ","")&amp;IF(AND(P224&lt;&gt;"DIMENSIONES",P224&lt;&gt;"DIRECTA",P224&lt;&gt;"SIN LÍNEAS",P224&lt;&gt;"CABECERA"),"Tipo de fila no reconocido. ","")&amp;IF(AND(OR(P224="SIN LÍNEAS",P224="CABECERA"),COUNTA(G224:J224)&gt;0),"La fila dice que no mide, pero contiene medidas. ","")&amp;IF(AND(OR(P224="DIRECTA",P224="DIMENSIONES"),U224=0),"Línea incompleta o con medidas no numéricas. ","")&amp;IF(P224="SIN LÍNEAS","No constan medidas de esta fila. ","")&amp;IF(Y224&gt;0,"Parece m³: tres dimensiones bajo m². ","")&amp;IF(AND(AB224&lt;&gt;"",SUMPRODUCT(--('LÉEME'!$B$65:$B$86=AC224))&lt;&gt;1),"Revisamos el significado de la unidad. ","")&amp;IF(Z224&gt;0,"Más precisión que los decimales indicados: cotejamos el original. ","")&amp;IF(AA224&gt;0,"Revisamos dimensiones, cantidad directa, ceros o deducción. ","")))</f>
      </c>
      <c r="O224" s="0" t="n">
        <f>IF(ISNUMBER(K224),IF(AND(K224&gt;0,K224=INT(K224),K224&lt;=999999),K224,0),0)</f>
        <v>0</v>
      </c>
      <c r="P224" s="0">
        <f>IF(COUNTA(B224:L224)=0,"",IF(L224="",IF(COUNTA(G224:J224)&gt;0,"DIMENSIONES","SIN LÍNEAS"),UPPER(TRIM(L224))))</f>
      </c>
      <c r="Q224" s="0">
        <f>IF(AND(O224&gt;0,LEN(TRIM(B224&amp;""))&gt;0,LEN(TRIM(C224&amp;""))&gt;0,LEN(TRIM(E224&amp;""))&gt;0,ISNUMBER(F224)),O224,"")</f>
      </c>
      <c r="R224" s="0" t="n">
        <f>IF(O224=0,0,IF(COUNTIFS($Q$13:$Q$512,O224)&gt;0,MATCH(O224,$Q$13:$Q$512,0),0))</f>
        <v>0</v>
      </c>
      <c r="S224" s="0">
        <f>IF(AB224="","",IF(SUMPRODUCT(--('LÉEME'!$B$65:$B$86=AC224))=1,INDEX('LÉEME'!$C$65:$C$86,MATCH(AC224,'LÉEME'!$B$65:$B$86,0)),UPPER(TRIM(AB224))))</f>
      </c>
      <c r="T224" s="0" t="n">
        <f>IF(R224=0,0,IF(OR(AND(LEN(TRIM(B224&amp;""))&gt;0,UPPER(TRIM(B224&amp;""))&lt;&gt;UPPER(TRIM(INDEX($B$13:$B$512,R224)&amp;""))),AND(LEN(TRIM(C224&amp;""))&gt;0,UPPER(TRIM(C224&amp;""))&lt;&gt;UPPER(TRIM(INDEX($C$13:$C$512,R224)&amp;""))),AND(LEN(TRIM(E224&amp;""))&gt;0,S224&lt;&gt;INDEX($S$13:$S$512,R224)),AND(F224&lt;&gt;"",NOT(ISNUMBER(F224)))),1,IF(ISNUMBER(F224),IF(ABS(F224-INDEX($F$13:$F$512,R224))&gt;0.00000001,1,0),0)))</f>
        <v>0</v>
      </c>
      <c r="U224" s="0" t="n">
        <f>IF(P224="DIRECTA",IF(AND(ISNUMBER(G224),COUNTA(H224:J224)=0),1,0),IF(P224="DIMENSIONES",IF(AND(COUNT(G224:J224)&gt;0,COUNTA(G224:J224)=COUNT(G224:J224)),1,0),0))</f>
        <v>0</v>
      </c>
      <c r="V224" s="0" t="n">
        <f>IF(O224=0,0,IF(COUNTIFS($O$13:O224,O224)=1,1,0))</f>
        <v>0</v>
      </c>
      <c r="W224" s="0">
        <f>IF(V224=1,COUNTIFS($V$13:V224,1),"")</f>
      </c>
      <c r="X224" s="0">
        <f>IF(COUNTA(B224:L224)=0,"",IF(OR(NOT(IF(ISNUMBER($E$6),AND($E$6&gt;=0,$E$6&lt;=6,$E$6=INT($E$6)),FALSE)),O224=0,R224=0,T224&gt;0,AND(P224&lt;&gt;"DIMENSIONES",P224&lt;&gt;"DIRECTA",P224&lt;&gt;"SIN LÍNEAS",P224&lt;&gt;"CABECERA"),AND(OR(P224="DIRECTA",P224="DIMENSIONES"),U224=0),AND(OR(P224="SIN LÍNEAS",P224="CABECERA"),COUNTA(G224:J224)&gt;0)),2,IF(OR(P224="SIN LÍNEAS",Y224&gt;0,Z224&gt;0,AA224&gt;0,SUMPRODUCT(--('LÉEME'!$B$65:$B$86=AC224))&lt;&gt;1),1,0)))</f>
      </c>
      <c r="Y224" s="0" t="n">
        <f>IF(AND(P224="DIMENSIONES",S224="m²",COUNT(H224:J224)=3),1,0)</f>
        <v>0</v>
      </c>
      <c r="Z224" s="0" t="n">
        <f>IF(IF(ISNUMBER($E$6),AND($E$6&gt;=0,$E$6&lt;=6,$E$6=INT($E$6)),FALSE),IF(SUM(IF(ISNUMBER(F224),IF(ABS(F224-ROUND(F224,$E$6))&gt;0.00000001,1,0),0),IF(ISNUMBER(G224),IF(ABS(G224-ROUND(G224,$E$6))&gt;0.00000001,1,0),0),IF(ISNUMBER(H224),IF(ABS(H224-ROUND(H224,$E$6))&gt;0.00000001,1,0),0),IF(ISNUMBER(I224),IF(ABS(I224-ROUND(I224,$E$6))&gt;0.00000001,1,0),0),IF(ISNUMBER(J224),IF(ABS(J224-ROUND(J224,$E$6))&gt;0.00000001,1,0),0),IF(ISNUMBER(M224),IF(ABS(M224-ROUND(M224,$E$6))&gt;0.00000001,1,0),0))&gt;0,1,0),0)</f>
        <v>0</v>
      </c>
      <c r="AA224" s="0" t="n">
        <f>IF(COUNTA(B224:L224)=0,0,IF(OR(AND(ISNUMBER(F224),F224&lt;0),AND(U224=1,OR(SUM(IF(ISNUMBER(G224),IF(G224=0,1,0),0),IF(ISNUMBER(H224),IF(H224=0,1,0),0),IF(ISNUMBER(I224),IF(I224=0,1,0),0),IF(ISNUMBER(J224),IF(J224=0,1,0),0))&gt;0,COUNTIFS(G224:J224,"&lt;0")&gt;0)),AND(P224="DIMENSIONES",U224=1,OR(AND(S224="m",COUNT(H224:J224)&lt;&gt;1),AND(S224="m²",COUNT(H224:J224)&lt;&gt;2,Y224=0),AND(S224="m³",COUNT(H224:J224)&lt;&gt;3),AND(S224="ud",COUNT(H224:J224)&gt;0))),AND(P224="DIRECTA",OR(S224="m",S224="m²",S224="m³"))),1,0))</f>
        <v>0</v>
      </c>
      <c r="AB224" s="0">
        <f>IF(LEN(TRIM(E224&amp;""))&gt;0,E224,IF(R224&gt;0,INDEX($E$13:$E$512,R224),""))</f>
      </c>
      <c r="AC224" s="0">
        <f>UPPER(SUBSTITUTE(SUBSTITUTE(SUBSTITUTE(SUBSTITUTE(SUBSTITUTE(TRIM(AB224),"²","2"),"³","3"),"^",""),".","")," ",""))</f>
      </c>
    </row>
    <row r="225" ht="35" customHeight="1">
      <c r="B225" s="35"/>
      <c r="C225" s="35"/>
      <c r="D225" s="37"/>
      <c r="E225" s="35"/>
      <c r="F225" s="38"/>
      <c r="G225" s="38"/>
      <c r="H225" s="38"/>
      <c r="I225" s="38"/>
      <c r="J225" s="38"/>
      <c r="K225" s="35"/>
      <c r="L225" s="35"/>
      <c r="M225" s="39">
        <f>IF(U225&lt;&gt;1,"",IF(P225="DIRECTA",G225,IF(ISNUMBER(G225),G225,1)*IF(ISNUMBER(H225),H225,1)*IF(ISNUMBER(I225),I225,1)*IF(ISNUMBER(J225),J225,1)))</f>
      </c>
      <c r="N225" s="30">
        <f>IF(COUNTA(B225:L225)=0,"",IF(X225=0,IF(P225="CABECERA","VERDE · Fila descriptiva; la suma usa las líneas del ID","VERDE · Datos numéricos interpretables"),IF(X225=2,"ROJO · ","ÁMBAR · ")&amp;IF(NOT(IF(ISNUMBER($E$6),AND($E$6&gt;=0,$E$6&lt;=6,$E$6=INT($E$6)),FALSE)),"Indicamos entre 0 y 6 decimales en E6. ","")&amp;IF(O225=0,"Falta un ID numérico. ","")&amp;IF(R225=0,"Faltan capítulo, código, unidad o total numérico del ID. ","")&amp;IF(T225&gt;0,"Los datos o el total del ID se contradicen. ","")&amp;IF(AND(P225&lt;&gt;"DIMENSIONES",P225&lt;&gt;"DIRECTA",P225&lt;&gt;"SIN LÍNEAS",P225&lt;&gt;"CABECERA"),"Tipo de fila no reconocido. ","")&amp;IF(AND(OR(P225="SIN LÍNEAS",P225="CABECERA"),COUNTA(G225:J225)&gt;0),"La fila dice que no mide, pero contiene medidas. ","")&amp;IF(AND(OR(P225="DIRECTA",P225="DIMENSIONES"),U225=0),"Línea incompleta o con medidas no numéricas. ","")&amp;IF(P225="SIN LÍNEAS","No constan medidas de esta fila. ","")&amp;IF(Y225&gt;0,"Parece m³: tres dimensiones bajo m². ","")&amp;IF(AND(AB225&lt;&gt;"",SUMPRODUCT(--('LÉEME'!$B$65:$B$86=AC225))&lt;&gt;1),"Revisamos el significado de la unidad. ","")&amp;IF(Z225&gt;0,"Más precisión que los decimales indicados: cotejamos el original. ","")&amp;IF(AA225&gt;0,"Revisamos dimensiones, cantidad directa, ceros o deducción. ","")))</f>
      </c>
      <c r="O225" s="0" t="n">
        <f>IF(ISNUMBER(K225),IF(AND(K225&gt;0,K225=INT(K225),K225&lt;=999999),K225,0),0)</f>
        <v>0</v>
      </c>
      <c r="P225" s="0">
        <f>IF(COUNTA(B225:L225)=0,"",IF(L225="",IF(COUNTA(G225:J225)&gt;0,"DIMENSIONES","SIN LÍNEAS"),UPPER(TRIM(L225))))</f>
      </c>
      <c r="Q225" s="0">
        <f>IF(AND(O225&gt;0,LEN(TRIM(B225&amp;""))&gt;0,LEN(TRIM(C225&amp;""))&gt;0,LEN(TRIM(E225&amp;""))&gt;0,ISNUMBER(F225)),O225,"")</f>
      </c>
      <c r="R225" s="0" t="n">
        <f>IF(O225=0,0,IF(COUNTIFS($Q$13:$Q$512,O225)&gt;0,MATCH(O225,$Q$13:$Q$512,0),0))</f>
        <v>0</v>
      </c>
      <c r="S225" s="0">
        <f>IF(AB225="","",IF(SUMPRODUCT(--('LÉEME'!$B$65:$B$86=AC225))=1,INDEX('LÉEME'!$C$65:$C$86,MATCH(AC225,'LÉEME'!$B$65:$B$86,0)),UPPER(TRIM(AB225))))</f>
      </c>
      <c r="T225" s="0" t="n">
        <f>IF(R225=0,0,IF(OR(AND(LEN(TRIM(B225&amp;""))&gt;0,UPPER(TRIM(B225&amp;""))&lt;&gt;UPPER(TRIM(INDEX($B$13:$B$512,R225)&amp;""))),AND(LEN(TRIM(C225&amp;""))&gt;0,UPPER(TRIM(C225&amp;""))&lt;&gt;UPPER(TRIM(INDEX($C$13:$C$512,R225)&amp;""))),AND(LEN(TRIM(E225&amp;""))&gt;0,S225&lt;&gt;INDEX($S$13:$S$512,R225)),AND(F225&lt;&gt;"",NOT(ISNUMBER(F225)))),1,IF(ISNUMBER(F225),IF(ABS(F225-INDEX($F$13:$F$512,R225))&gt;0.00000001,1,0),0)))</f>
        <v>0</v>
      </c>
      <c r="U225" s="0" t="n">
        <f>IF(P225="DIRECTA",IF(AND(ISNUMBER(G225),COUNTA(H225:J225)=0),1,0),IF(P225="DIMENSIONES",IF(AND(COUNT(G225:J225)&gt;0,COUNTA(G225:J225)=COUNT(G225:J225)),1,0),0))</f>
        <v>0</v>
      </c>
      <c r="V225" s="0" t="n">
        <f>IF(O225=0,0,IF(COUNTIFS($O$13:O225,O225)=1,1,0))</f>
        <v>0</v>
      </c>
      <c r="W225" s="0">
        <f>IF(V225=1,COUNTIFS($V$13:V225,1),"")</f>
      </c>
      <c r="X225" s="0">
        <f>IF(COUNTA(B225:L225)=0,"",IF(OR(NOT(IF(ISNUMBER($E$6),AND($E$6&gt;=0,$E$6&lt;=6,$E$6=INT($E$6)),FALSE)),O225=0,R225=0,T225&gt;0,AND(P225&lt;&gt;"DIMENSIONES",P225&lt;&gt;"DIRECTA",P225&lt;&gt;"SIN LÍNEAS",P225&lt;&gt;"CABECERA"),AND(OR(P225="DIRECTA",P225="DIMENSIONES"),U225=0),AND(OR(P225="SIN LÍNEAS",P225="CABECERA"),COUNTA(G225:J225)&gt;0)),2,IF(OR(P225="SIN LÍNEAS",Y225&gt;0,Z225&gt;0,AA225&gt;0,SUMPRODUCT(--('LÉEME'!$B$65:$B$86=AC225))&lt;&gt;1),1,0)))</f>
      </c>
      <c r="Y225" s="0" t="n">
        <f>IF(AND(P225="DIMENSIONES",S225="m²",COUNT(H225:J225)=3),1,0)</f>
        <v>0</v>
      </c>
      <c r="Z225" s="0" t="n">
        <f>IF(IF(ISNUMBER($E$6),AND($E$6&gt;=0,$E$6&lt;=6,$E$6=INT($E$6)),FALSE),IF(SUM(IF(ISNUMBER(F225),IF(ABS(F225-ROUND(F225,$E$6))&gt;0.00000001,1,0),0),IF(ISNUMBER(G225),IF(ABS(G225-ROUND(G225,$E$6))&gt;0.00000001,1,0),0),IF(ISNUMBER(H225),IF(ABS(H225-ROUND(H225,$E$6))&gt;0.00000001,1,0),0),IF(ISNUMBER(I225),IF(ABS(I225-ROUND(I225,$E$6))&gt;0.00000001,1,0),0),IF(ISNUMBER(J225),IF(ABS(J225-ROUND(J225,$E$6))&gt;0.00000001,1,0),0),IF(ISNUMBER(M225),IF(ABS(M225-ROUND(M225,$E$6))&gt;0.00000001,1,0),0))&gt;0,1,0),0)</f>
        <v>0</v>
      </c>
      <c r="AA225" s="0" t="n">
        <f>IF(COUNTA(B225:L225)=0,0,IF(OR(AND(ISNUMBER(F225),F225&lt;0),AND(U225=1,OR(SUM(IF(ISNUMBER(G225),IF(G225=0,1,0),0),IF(ISNUMBER(H225),IF(H225=0,1,0),0),IF(ISNUMBER(I225),IF(I225=0,1,0),0),IF(ISNUMBER(J225),IF(J225=0,1,0),0))&gt;0,COUNTIFS(G225:J225,"&lt;0")&gt;0)),AND(P225="DIMENSIONES",U225=1,OR(AND(S225="m",COUNT(H225:J225)&lt;&gt;1),AND(S225="m²",COUNT(H225:J225)&lt;&gt;2,Y225=0),AND(S225="m³",COUNT(H225:J225)&lt;&gt;3),AND(S225="ud",COUNT(H225:J225)&gt;0))),AND(P225="DIRECTA",OR(S225="m",S225="m²",S225="m³"))),1,0))</f>
        <v>0</v>
      </c>
      <c r="AB225" s="0">
        <f>IF(LEN(TRIM(E225&amp;""))&gt;0,E225,IF(R225&gt;0,INDEX($E$13:$E$512,R225),""))</f>
      </c>
      <c r="AC225" s="0">
        <f>UPPER(SUBSTITUTE(SUBSTITUTE(SUBSTITUTE(SUBSTITUTE(SUBSTITUTE(TRIM(AB225),"²","2"),"³","3"),"^",""),".","")," ",""))</f>
      </c>
    </row>
    <row r="226" ht="35" customHeight="1">
      <c r="B226" s="35"/>
      <c r="C226" s="35"/>
      <c r="D226" s="37"/>
      <c r="E226" s="35"/>
      <c r="F226" s="38"/>
      <c r="G226" s="38"/>
      <c r="H226" s="38"/>
      <c r="I226" s="38"/>
      <c r="J226" s="38"/>
      <c r="K226" s="35"/>
      <c r="L226" s="35"/>
      <c r="M226" s="39">
        <f>IF(U226&lt;&gt;1,"",IF(P226="DIRECTA",G226,IF(ISNUMBER(G226),G226,1)*IF(ISNUMBER(H226),H226,1)*IF(ISNUMBER(I226),I226,1)*IF(ISNUMBER(J226),J226,1)))</f>
      </c>
      <c r="N226" s="30">
        <f>IF(COUNTA(B226:L226)=0,"",IF(X226=0,IF(P226="CABECERA","VERDE · Fila descriptiva; la suma usa las líneas del ID","VERDE · Datos numéricos interpretables"),IF(X226=2,"ROJO · ","ÁMBAR · ")&amp;IF(NOT(IF(ISNUMBER($E$6),AND($E$6&gt;=0,$E$6&lt;=6,$E$6=INT($E$6)),FALSE)),"Indicamos entre 0 y 6 decimales en E6. ","")&amp;IF(O226=0,"Falta un ID numérico. ","")&amp;IF(R226=0,"Faltan capítulo, código, unidad o total numérico del ID. ","")&amp;IF(T226&gt;0,"Los datos o el total del ID se contradicen. ","")&amp;IF(AND(P226&lt;&gt;"DIMENSIONES",P226&lt;&gt;"DIRECTA",P226&lt;&gt;"SIN LÍNEAS",P226&lt;&gt;"CABECERA"),"Tipo de fila no reconocido. ","")&amp;IF(AND(OR(P226="SIN LÍNEAS",P226="CABECERA"),COUNTA(G226:J226)&gt;0),"La fila dice que no mide, pero contiene medidas. ","")&amp;IF(AND(OR(P226="DIRECTA",P226="DIMENSIONES"),U226=0),"Línea incompleta o con medidas no numéricas. ","")&amp;IF(P226="SIN LÍNEAS","No constan medidas de esta fila. ","")&amp;IF(Y226&gt;0,"Parece m³: tres dimensiones bajo m². ","")&amp;IF(AND(AB226&lt;&gt;"",SUMPRODUCT(--('LÉEME'!$B$65:$B$86=AC226))&lt;&gt;1),"Revisamos el significado de la unidad. ","")&amp;IF(Z226&gt;0,"Más precisión que los decimales indicados: cotejamos el original. ","")&amp;IF(AA226&gt;0,"Revisamos dimensiones, cantidad directa, ceros o deducción. ","")))</f>
      </c>
      <c r="O226" s="0" t="n">
        <f>IF(ISNUMBER(K226),IF(AND(K226&gt;0,K226=INT(K226),K226&lt;=999999),K226,0),0)</f>
        <v>0</v>
      </c>
      <c r="P226" s="0">
        <f>IF(COUNTA(B226:L226)=0,"",IF(L226="",IF(COUNTA(G226:J226)&gt;0,"DIMENSIONES","SIN LÍNEAS"),UPPER(TRIM(L226))))</f>
      </c>
      <c r="Q226" s="0">
        <f>IF(AND(O226&gt;0,LEN(TRIM(B226&amp;""))&gt;0,LEN(TRIM(C226&amp;""))&gt;0,LEN(TRIM(E226&amp;""))&gt;0,ISNUMBER(F226)),O226,"")</f>
      </c>
      <c r="R226" s="0" t="n">
        <f>IF(O226=0,0,IF(COUNTIFS($Q$13:$Q$512,O226)&gt;0,MATCH(O226,$Q$13:$Q$512,0),0))</f>
        <v>0</v>
      </c>
      <c r="S226" s="0">
        <f>IF(AB226="","",IF(SUMPRODUCT(--('LÉEME'!$B$65:$B$86=AC226))=1,INDEX('LÉEME'!$C$65:$C$86,MATCH(AC226,'LÉEME'!$B$65:$B$86,0)),UPPER(TRIM(AB226))))</f>
      </c>
      <c r="T226" s="0" t="n">
        <f>IF(R226=0,0,IF(OR(AND(LEN(TRIM(B226&amp;""))&gt;0,UPPER(TRIM(B226&amp;""))&lt;&gt;UPPER(TRIM(INDEX($B$13:$B$512,R226)&amp;""))),AND(LEN(TRIM(C226&amp;""))&gt;0,UPPER(TRIM(C226&amp;""))&lt;&gt;UPPER(TRIM(INDEX($C$13:$C$512,R226)&amp;""))),AND(LEN(TRIM(E226&amp;""))&gt;0,S226&lt;&gt;INDEX($S$13:$S$512,R226)),AND(F226&lt;&gt;"",NOT(ISNUMBER(F226)))),1,IF(ISNUMBER(F226),IF(ABS(F226-INDEX($F$13:$F$512,R226))&gt;0.00000001,1,0),0)))</f>
        <v>0</v>
      </c>
      <c r="U226" s="0" t="n">
        <f>IF(P226="DIRECTA",IF(AND(ISNUMBER(G226),COUNTA(H226:J226)=0),1,0),IF(P226="DIMENSIONES",IF(AND(COUNT(G226:J226)&gt;0,COUNTA(G226:J226)=COUNT(G226:J226)),1,0),0))</f>
        <v>0</v>
      </c>
      <c r="V226" s="0" t="n">
        <f>IF(O226=0,0,IF(COUNTIFS($O$13:O226,O226)=1,1,0))</f>
        <v>0</v>
      </c>
      <c r="W226" s="0">
        <f>IF(V226=1,COUNTIFS($V$13:V226,1),"")</f>
      </c>
      <c r="X226" s="0">
        <f>IF(COUNTA(B226:L226)=0,"",IF(OR(NOT(IF(ISNUMBER($E$6),AND($E$6&gt;=0,$E$6&lt;=6,$E$6=INT($E$6)),FALSE)),O226=0,R226=0,T226&gt;0,AND(P226&lt;&gt;"DIMENSIONES",P226&lt;&gt;"DIRECTA",P226&lt;&gt;"SIN LÍNEAS",P226&lt;&gt;"CABECERA"),AND(OR(P226="DIRECTA",P226="DIMENSIONES"),U226=0),AND(OR(P226="SIN LÍNEAS",P226="CABECERA"),COUNTA(G226:J226)&gt;0)),2,IF(OR(P226="SIN LÍNEAS",Y226&gt;0,Z226&gt;0,AA226&gt;0,SUMPRODUCT(--('LÉEME'!$B$65:$B$86=AC226))&lt;&gt;1),1,0)))</f>
      </c>
      <c r="Y226" s="0" t="n">
        <f>IF(AND(P226="DIMENSIONES",S226="m²",COUNT(H226:J226)=3),1,0)</f>
        <v>0</v>
      </c>
      <c r="Z226" s="0" t="n">
        <f>IF(IF(ISNUMBER($E$6),AND($E$6&gt;=0,$E$6&lt;=6,$E$6=INT($E$6)),FALSE),IF(SUM(IF(ISNUMBER(F226),IF(ABS(F226-ROUND(F226,$E$6))&gt;0.00000001,1,0),0),IF(ISNUMBER(G226),IF(ABS(G226-ROUND(G226,$E$6))&gt;0.00000001,1,0),0),IF(ISNUMBER(H226),IF(ABS(H226-ROUND(H226,$E$6))&gt;0.00000001,1,0),0),IF(ISNUMBER(I226),IF(ABS(I226-ROUND(I226,$E$6))&gt;0.00000001,1,0),0),IF(ISNUMBER(J226),IF(ABS(J226-ROUND(J226,$E$6))&gt;0.00000001,1,0),0),IF(ISNUMBER(M226),IF(ABS(M226-ROUND(M226,$E$6))&gt;0.00000001,1,0),0))&gt;0,1,0),0)</f>
        <v>0</v>
      </c>
      <c r="AA226" s="0" t="n">
        <f>IF(COUNTA(B226:L226)=0,0,IF(OR(AND(ISNUMBER(F226),F226&lt;0),AND(U226=1,OR(SUM(IF(ISNUMBER(G226),IF(G226=0,1,0),0),IF(ISNUMBER(H226),IF(H226=0,1,0),0),IF(ISNUMBER(I226),IF(I226=0,1,0),0),IF(ISNUMBER(J226),IF(J226=0,1,0),0))&gt;0,COUNTIFS(G226:J226,"&lt;0")&gt;0)),AND(P226="DIMENSIONES",U226=1,OR(AND(S226="m",COUNT(H226:J226)&lt;&gt;1),AND(S226="m²",COUNT(H226:J226)&lt;&gt;2,Y226=0),AND(S226="m³",COUNT(H226:J226)&lt;&gt;3),AND(S226="ud",COUNT(H226:J226)&gt;0))),AND(P226="DIRECTA",OR(S226="m",S226="m²",S226="m³"))),1,0))</f>
        <v>0</v>
      </c>
      <c r="AB226" s="0">
        <f>IF(LEN(TRIM(E226&amp;""))&gt;0,E226,IF(R226&gt;0,INDEX($E$13:$E$512,R226),""))</f>
      </c>
      <c r="AC226" s="0">
        <f>UPPER(SUBSTITUTE(SUBSTITUTE(SUBSTITUTE(SUBSTITUTE(SUBSTITUTE(TRIM(AB226),"²","2"),"³","3"),"^",""),".","")," ",""))</f>
      </c>
    </row>
    <row r="227" ht="35" customHeight="1">
      <c r="B227" s="35"/>
      <c r="C227" s="35"/>
      <c r="D227" s="37"/>
      <c r="E227" s="35"/>
      <c r="F227" s="38"/>
      <c r="G227" s="38"/>
      <c r="H227" s="38"/>
      <c r="I227" s="38"/>
      <c r="J227" s="38"/>
      <c r="K227" s="35"/>
      <c r="L227" s="35"/>
      <c r="M227" s="39">
        <f>IF(U227&lt;&gt;1,"",IF(P227="DIRECTA",G227,IF(ISNUMBER(G227),G227,1)*IF(ISNUMBER(H227),H227,1)*IF(ISNUMBER(I227),I227,1)*IF(ISNUMBER(J227),J227,1)))</f>
      </c>
      <c r="N227" s="30">
        <f>IF(COUNTA(B227:L227)=0,"",IF(X227=0,IF(P227="CABECERA","VERDE · Fila descriptiva; la suma usa las líneas del ID","VERDE · Datos numéricos interpretables"),IF(X227=2,"ROJO · ","ÁMBAR · ")&amp;IF(NOT(IF(ISNUMBER($E$6),AND($E$6&gt;=0,$E$6&lt;=6,$E$6=INT($E$6)),FALSE)),"Indicamos entre 0 y 6 decimales en E6. ","")&amp;IF(O227=0,"Falta un ID numérico. ","")&amp;IF(R227=0,"Faltan capítulo, código, unidad o total numérico del ID. ","")&amp;IF(T227&gt;0,"Los datos o el total del ID se contradicen. ","")&amp;IF(AND(P227&lt;&gt;"DIMENSIONES",P227&lt;&gt;"DIRECTA",P227&lt;&gt;"SIN LÍNEAS",P227&lt;&gt;"CABECERA"),"Tipo de fila no reconocido. ","")&amp;IF(AND(OR(P227="SIN LÍNEAS",P227="CABECERA"),COUNTA(G227:J227)&gt;0),"La fila dice que no mide, pero contiene medidas. ","")&amp;IF(AND(OR(P227="DIRECTA",P227="DIMENSIONES"),U227=0),"Línea incompleta o con medidas no numéricas. ","")&amp;IF(P227="SIN LÍNEAS","No constan medidas de esta fila. ","")&amp;IF(Y227&gt;0,"Parece m³: tres dimensiones bajo m². ","")&amp;IF(AND(AB227&lt;&gt;"",SUMPRODUCT(--('LÉEME'!$B$65:$B$86=AC227))&lt;&gt;1),"Revisamos el significado de la unidad. ","")&amp;IF(Z227&gt;0,"Más precisión que los decimales indicados: cotejamos el original. ","")&amp;IF(AA227&gt;0,"Revisamos dimensiones, cantidad directa, ceros o deducción. ","")))</f>
      </c>
      <c r="O227" s="0" t="n">
        <f>IF(ISNUMBER(K227),IF(AND(K227&gt;0,K227=INT(K227),K227&lt;=999999),K227,0),0)</f>
        <v>0</v>
      </c>
      <c r="P227" s="0">
        <f>IF(COUNTA(B227:L227)=0,"",IF(L227="",IF(COUNTA(G227:J227)&gt;0,"DIMENSIONES","SIN LÍNEAS"),UPPER(TRIM(L227))))</f>
      </c>
      <c r="Q227" s="0">
        <f>IF(AND(O227&gt;0,LEN(TRIM(B227&amp;""))&gt;0,LEN(TRIM(C227&amp;""))&gt;0,LEN(TRIM(E227&amp;""))&gt;0,ISNUMBER(F227)),O227,"")</f>
      </c>
      <c r="R227" s="0" t="n">
        <f>IF(O227=0,0,IF(COUNTIFS($Q$13:$Q$512,O227)&gt;0,MATCH(O227,$Q$13:$Q$512,0),0))</f>
        <v>0</v>
      </c>
      <c r="S227" s="0">
        <f>IF(AB227="","",IF(SUMPRODUCT(--('LÉEME'!$B$65:$B$86=AC227))=1,INDEX('LÉEME'!$C$65:$C$86,MATCH(AC227,'LÉEME'!$B$65:$B$86,0)),UPPER(TRIM(AB227))))</f>
      </c>
      <c r="T227" s="0" t="n">
        <f>IF(R227=0,0,IF(OR(AND(LEN(TRIM(B227&amp;""))&gt;0,UPPER(TRIM(B227&amp;""))&lt;&gt;UPPER(TRIM(INDEX($B$13:$B$512,R227)&amp;""))),AND(LEN(TRIM(C227&amp;""))&gt;0,UPPER(TRIM(C227&amp;""))&lt;&gt;UPPER(TRIM(INDEX($C$13:$C$512,R227)&amp;""))),AND(LEN(TRIM(E227&amp;""))&gt;0,S227&lt;&gt;INDEX($S$13:$S$512,R227)),AND(F227&lt;&gt;"",NOT(ISNUMBER(F227)))),1,IF(ISNUMBER(F227),IF(ABS(F227-INDEX($F$13:$F$512,R227))&gt;0.00000001,1,0),0)))</f>
        <v>0</v>
      </c>
      <c r="U227" s="0" t="n">
        <f>IF(P227="DIRECTA",IF(AND(ISNUMBER(G227),COUNTA(H227:J227)=0),1,0),IF(P227="DIMENSIONES",IF(AND(COUNT(G227:J227)&gt;0,COUNTA(G227:J227)=COUNT(G227:J227)),1,0),0))</f>
        <v>0</v>
      </c>
      <c r="V227" s="0" t="n">
        <f>IF(O227=0,0,IF(COUNTIFS($O$13:O227,O227)=1,1,0))</f>
        <v>0</v>
      </c>
      <c r="W227" s="0">
        <f>IF(V227=1,COUNTIFS($V$13:V227,1),"")</f>
      </c>
      <c r="X227" s="0">
        <f>IF(COUNTA(B227:L227)=0,"",IF(OR(NOT(IF(ISNUMBER($E$6),AND($E$6&gt;=0,$E$6&lt;=6,$E$6=INT($E$6)),FALSE)),O227=0,R227=0,T227&gt;0,AND(P227&lt;&gt;"DIMENSIONES",P227&lt;&gt;"DIRECTA",P227&lt;&gt;"SIN LÍNEAS",P227&lt;&gt;"CABECERA"),AND(OR(P227="DIRECTA",P227="DIMENSIONES"),U227=0),AND(OR(P227="SIN LÍNEAS",P227="CABECERA"),COUNTA(G227:J227)&gt;0)),2,IF(OR(P227="SIN LÍNEAS",Y227&gt;0,Z227&gt;0,AA227&gt;0,SUMPRODUCT(--('LÉEME'!$B$65:$B$86=AC227))&lt;&gt;1),1,0)))</f>
      </c>
      <c r="Y227" s="0" t="n">
        <f>IF(AND(P227="DIMENSIONES",S227="m²",COUNT(H227:J227)=3),1,0)</f>
        <v>0</v>
      </c>
      <c r="Z227" s="0" t="n">
        <f>IF(IF(ISNUMBER($E$6),AND($E$6&gt;=0,$E$6&lt;=6,$E$6=INT($E$6)),FALSE),IF(SUM(IF(ISNUMBER(F227),IF(ABS(F227-ROUND(F227,$E$6))&gt;0.00000001,1,0),0),IF(ISNUMBER(G227),IF(ABS(G227-ROUND(G227,$E$6))&gt;0.00000001,1,0),0),IF(ISNUMBER(H227),IF(ABS(H227-ROUND(H227,$E$6))&gt;0.00000001,1,0),0),IF(ISNUMBER(I227),IF(ABS(I227-ROUND(I227,$E$6))&gt;0.00000001,1,0),0),IF(ISNUMBER(J227),IF(ABS(J227-ROUND(J227,$E$6))&gt;0.00000001,1,0),0),IF(ISNUMBER(M227),IF(ABS(M227-ROUND(M227,$E$6))&gt;0.00000001,1,0),0))&gt;0,1,0),0)</f>
        <v>0</v>
      </c>
      <c r="AA227" s="0" t="n">
        <f>IF(COUNTA(B227:L227)=0,0,IF(OR(AND(ISNUMBER(F227),F227&lt;0),AND(U227=1,OR(SUM(IF(ISNUMBER(G227),IF(G227=0,1,0),0),IF(ISNUMBER(H227),IF(H227=0,1,0),0),IF(ISNUMBER(I227),IF(I227=0,1,0),0),IF(ISNUMBER(J227),IF(J227=0,1,0),0))&gt;0,COUNTIFS(G227:J227,"&lt;0")&gt;0)),AND(P227="DIMENSIONES",U227=1,OR(AND(S227="m",COUNT(H227:J227)&lt;&gt;1),AND(S227="m²",COUNT(H227:J227)&lt;&gt;2,Y227=0),AND(S227="m³",COUNT(H227:J227)&lt;&gt;3),AND(S227="ud",COUNT(H227:J227)&gt;0))),AND(P227="DIRECTA",OR(S227="m",S227="m²",S227="m³"))),1,0))</f>
        <v>0</v>
      </c>
      <c r="AB227" s="0">
        <f>IF(LEN(TRIM(E227&amp;""))&gt;0,E227,IF(R227&gt;0,INDEX($E$13:$E$512,R227),""))</f>
      </c>
      <c r="AC227" s="0">
        <f>UPPER(SUBSTITUTE(SUBSTITUTE(SUBSTITUTE(SUBSTITUTE(SUBSTITUTE(TRIM(AB227),"²","2"),"³","3"),"^",""),".","")," ",""))</f>
      </c>
    </row>
    <row r="228" ht="35" customHeight="1">
      <c r="B228" s="35"/>
      <c r="C228" s="35"/>
      <c r="D228" s="37"/>
      <c r="E228" s="35"/>
      <c r="F228" s="38"/>
      <c r="G228" s="38"/>
      <c r="H228" s="38"/>
      <c r="I228" s="38"/>
      <c r="J228" s="38"/>
      <c r="K228" s="35"/>
      <c r="L228" s="35"/>
      <c r="M228" s="39">
        <f>IF(U228&lt;&gt;1,"",IF(P228="DIRECTA",G228,IF(ISNUMBER(G228),G228,1)*IF(ISNUMBER(H228),H228,1)*IF(ISNUMBER(I228),I228,1)*IF(ISNUMBER(J228),J228,1)))</f>
      </c>
      <c r="N228" s="30">
        <f>IF(COUNTA(B228:L228)=0,"",IF(X228=0,IF(P228="CABECERA","VERDE · Fila descriptiva; la suma usa las líneas del ID","VERDE · Datos numéricos interpretables"),IF(X228=2,"ROJO · ","ÁMBAR · ")&amp;IF(NOT(IF(ISNUMBER($E$6),AND($E$6&gt;=0,$E$6&lt;=6,$E$6=INT($E$6)),FALSE)),"Indicamos entre 0 y 6 decimales en E6. ","")&amp;IF(O228=0,"Falta un ID numérico. ","")&amp;IF(R228=0,"Faltan capítulo, código, unidad o total numérico del ID. ","")&amp;IF(T228&gt;0,"Los datos o el total del ID se contradicen. ","")&amp;IF(AND(P228&lt;&gt;"DIMENSIONES",P228&lt;&gt;"DIRECTA",P228&lt;&gt;"SIN LÍNEAS",P228&lt;&gt;"CABECERA"),"Tipo de fila no reconocido. ","")&amp;IF(AND(OR(P228="SIN LÍNEAS",P228="CABECERA"),COUNTA(G228:J228)&gt;0),"La fila dice que no mide, pero contiene medidas. ","")&amp;IF(AND(OR(P228="DIRECTA",P228="DIMENSIONES"),U228=0),"Línea incompleta o con medidas no numéricas. ","")&amp;IF(P228="SIN LÍNEAS","No constan medidas de esta fila. ","")&amp;IF(Y228&gt;0,"Parece m³: tres dimensiones bajo m². ","")&amp;IF(AND(AB228&lt;&gt;"",SUMPRODUCT(--('LÉEME'!$B$65:$B$86=AC228))&lt;&gt;1),"Revisamos el significado de la unidad. ","")&amp;IF(Z228&gt;0,"Más precisión que los decimales indicados: cotejamos el original. ","")&amp;IF(AA228&gt;0,"Revisamos dimensiones, cantidad directa, ceros o deducción. ","")))</f>
      </c>
      <c r="O228" s="0" t="n">
        <f>IF(ISNUMBER(K228),IF(AND(K228&gt;0,K228=INT(K228),K228&lt;=999999),K228,0),0)</f>
        <v>0</v>
      </c>
      <c r="P228" s="0">
        <f>IF(COUNTA(B228:L228)=0,"",IF(L228="",IF(COUNTA(G228:J228)&gt;0,"DIMENSIONES","SIN LÍNEAS"),UPPER(TRIM(L228))))</f>
      </c>
      <c r="Q228" s="0">
        <f>IF(AND(O228&gt;0,LEN(TRIM(B228&amp;""))&gt;0,LEN(TRIM(C228&amp;""))&gt;0,LEN(TRIM(E228&amp;""))&gt;0,ISNUMBER(F228)),O228,"")</f>
      </c>
      <c r="R228" s="0" t="n">
        <f>IF(O228=0,0,IF(COUNTIFS($Q$13:$Q$512,O228)&gt;0,MATCH(O228,$Q$13:$Q$512,0),0))</f>
        <v>0</v>
      </c>
      <c r="S228" s="0">
        <f>IF(AB228="","",IF(SUMPRODUCT(--('LÉEME'!$B$65:$B$86=AC228))=1,INDEX('LÉEME'!$C$65:$C$86,MATCH(AC228,'LÉEME'!$B$65:$B$86,0)),UPPER(TRIM(AB228))))</f>
      </c>
      <c r="T228" s="0" t="n">
        <f>IF(R228=0,0,IF(OR(AND(LEN(TRIM(B228&amp;""))&gt;0,UPPER(TRIM(B228&amp;""))&lt;&gt;UPPER(TRIM(INDEX($B$13:$B$512,R228)&amp;""))),AND(LEN(TRIM(C228&amp;""))&gt;0,UPPER(TRIM(C228&amp;""))&lt;&gt;UPPER(TRIM(INDEX($C$13:$C$512,R228)&amp;""))),AND(LEN(TRIM(E228&amp;""))&gt;0,S228&lt;&gt;INDEX($S$13:$S$512,R228)),AND(F228&lt;&gt;"",NOT(ISNUMBER(F228)))),1,IF(ISNUMBER(F228),IF(ABS(F228-INDEX($F$13:$F$512,R228))&gt;0.00000001,1,0),0)))</f>
        <v>0</v>
      </c>
      <c r="U228" s="0" t="n">
        <f>IF(P228="DIRECTA",IF(AND(ISNUMBER(G228),COUNTA(H228:J228)=0),1,0),IF(P228="DIMENSIONES",IF(AND(COUNT(G228:J228)&gt;0,COUNTA(G228:J228)=COUNT(G228:J228)),1,0),0))</f>
        <v>0</v>
      </c>
      <c r="V228" s="0" t="n">
        <f>IF(O228=0,0,IF(COUNTIFS($O$13:O228,O228)=1,1,0))</f>
        <v>0</v>
      </c>
      <c r="W228" s="0">
        <f>IF(V228=1,COUNTIFS($V$13:V228,1),"")</f>
      </c>
      <c r="X228" s="0">
        <f>IF(COUNTA(B228:L228)=0,"",IF(OR(NOT(IF(ISNUMBER($E$6),AND($E$6&gt;=0,$E$6&lt;=6,$E$6=INT($E$6)),FALSE)),O228=0,R228=0,T228&gt;0,AND(P228&lt;&gt;"DIMENSIONES",P228&lt;&gt;"DIRECTA",P228&lt;&gt;"SIN LÍNEAS",P228&lt;&gt;"CABECERA"),AND(OR(P228="DIRECTA",P228="DIMENSIONES"),U228=0),AND(OR(P228="SIN LÍNEAS",P228="CABECERA"),COUNTA(G228:J228)&gt;0)),2,IF(OR(P228="SIN LÍNEAS",Y228&gt;0,Z228&gt;0,AA228&gt;0,SUMPRODUCT(--('LÉEME'!$B$65:$B$86=AC228))&lt;&gt;1),1,0)))</f>
      </c>
      <c r="Y228" s="0" t="n">
        <f>IF(AND(P228="DIMENSIONES",S228="m²",COUNT(H228:J228)=3),1,0)</f>
        <v>0</v>
      </c>
      <c r="Z228" s="0" t="n">
        <f>IF(IF(ISNUMBER($E$6),AND($E$6&gt;=0,$E$6&lt;=6,$E$6=INT($E$6)),FALSE),IF(SUM(IF(ISNUMBER(F228),IF(ABS(F228-ROUND(F228,$E$6))&gt;0.00000001,1,0),0),IF(ISNUMBER(G228),IF(ABS(G228-ROUND(G228,$E$6))&gt;0.00000001,1,0),0),IF(ISNUMBER(H228),IF(ABS(H228-ROUND(H228,$E$6))&gt;0.00000001,1,0),0),IF(ISNUMBER(I228),IF(ABS(I228-ROUND(I228,$E$6))&gt;0.00000001,1,0),0),IF(ISNUMBER(J228),IF(ABS(J228-ROUND(J228,$E$6))&gt;0.00000001,1,0),0),IF(ISNUMBER(M228),IF(ABS(M228-ROUND(M228,$E$6))&gt;0.00000001,1,0),0))&gt;0,1,0),0)</f>
        <v>0</v>
      </c>
      <c r="AA228" s="0" t="n">
        <f>IF(COUNTA(B228:L228)=0,0,IF(OR(AND(ISNUMBER(F228),F228&lt;0),AND(U228=1,OR(SUM(IF(ISNUMBER(G228),IF(G228=0,1,0),0),IF(ISNUMBER(H228),IF(H228=0,1,0),0),IF(ISNUMBER(I228),IF(I228=0,1,0),0),IF(ISNUMBER(J228),IF(J228=0,1,0),0))&gt;0,COUNTIFS(G228:J228,"&lt;0")&gt;0)),AND(P228="DIMENSIONES",U228=1,OR(AND(S228="m",COUNT(H228:J228)&lt;&gt;1),AND(S228="m²",COUNT(H228:J228)&lt;&gt;2,Y228=0),AND(S228="m³",COUNT(H228:J228)&lt;&gt;3),AND(S228="ud",COUNT(H228:J228)&gt;0))),AND(P228="DIRECTA",OR(S228="m",S228="m²",S228="m³"))),1,0))</f>
        <v>0</v>
      </c>
      <c r="AB228" s="0">
        <f>IF(LEN(TRIM(E228&amp;""))&gt;0,E228,IF(R228&gt;0,INDEX($E$13:$E$512,R228),""))</f>
      </c>
      <c r="AC228" s="0">
        <f>UPPER(SUBSTITUTE(SUBSTITUTE(SUBSTITUTE(SUBSTITUTE(SUBSTITUTE(TRIM(AB228),"²","2"),"³","3"),"^",""),".","")," ",""))</f>
      </c>
    </row>
    <row r="229" ht="35" customHeight="1">
      <c r="B229" s="35"/>
      <c r="C229" s="35"/>
      <c r="D229" s="37"/>
      <c r="E229" s="35"/>
      <c r="F229" s="38"/>
      <c r="G229" s="38"/>
      <c r="H229" s="38"/>
      <c r="I229" s="38"/>
      <c r="J229" s="38"/>
      <c r="K229" s="35"/>
      <c r="L229" s="35"/>
      <c r="M229" s="39">
        <f>IF(U229&lt;&gt;1,"",IF(P229="DIRECTA",G229,IF(ISNUMBER(G229),G229,1)*IF(ISNUMBER(H229),H229,1)*IF(ISNUMBER(I229),I229,1)*IF(ISNUMBER(J229),J229,1)))</f>
      </c>
      <c r="N229" s="30">
        <f>IF(COUNTA(B229:L229)=0,"",IF(X229=0,IF(P229="CABECERA","VERDE · Fila descriptiva; la suma usa las líneas del ID","VERDE · Datos numéricos interpretables"),IF(X229=2,"ROJO · ","ÁMBAR · ")&amp;IF(NOT(IF(ISNUMBER($E$6),AND($E$6&gt;=0,$E$6&lt;=6,$E$6=INT($E$6)),FALSE)),"Indicamos entre 0 y 6 decimales en E6. ","")&amp;IF(O229=0,"Falta un ID numérico. ","")&amp;IF(R229=0,"Faltan capítulo, código, unidad o total numérico del ID. ","")&amp;IF(T229&gt;0,"Los datos o el total del ID se contradicen. ","")&amp;IF(AND(P229&lt;&gt;"DIMENSIONES",P229&lt;&gt;"DIRECTA",P229&lt;&gt;"SIN LÍNEAS",P229&lt;&gt;"CABECERA"),"Tipo de fila no reconocido. ","")&amp;IF(AND(OR(P229="SIN LÍNEAS",P229="CABECERA"),COUNTA(G229:J229)&gt;0),"La fila dice que no mide, pero contiene medidas. ","")&amp;IF(AND(OR(P229="DIRECTA",P229="DIMENSIONES"),U229=0),"Línea incompleta o con medidas no numéricas. ","")&amp;IF(P229="SIN LÍNEAS","No constan medidas de esta fila. ","")&amp;IF(Y229&gt;0,"Parece m³: tres dimensiones bajo m². ","")&amp;IF(AND(AB229&lt;&gt;"",SUMPRODUCT(--('LÉEME'!$B$65:$B$86=AC229))&lt;&gt;1),"Revisamos el significado de la unidad. ","")&amp;IF(Z229&gt;0,"Más precisión que los decimales indicados: cotejamos el original. ","")&amp;IF(AA229&gt;0,"Revisamos dimensiones, cantidad directa, ceros o deducción. ","")))</f>
      </c>
      <c r="O229" s="0" t="n">
        <f>IF(ISNUMBER(K229),IF(AND(K229&gt;0,K229=INT(K229),K229&lt;=999999),K229,0),0)</f>
        <v>0</v>
      </c>
      <c r="P229" s="0">
        <f>IF(COUNTA(B229:L229)=0,"",IF(L229="",IF(COUNTA(G229:J229)&gt;0,"DIMENSIONES","SIN LÍNEAS"),UPPER(TRIM(L229))))</f>
      </c>
      <c r="Q229" s="0">
        <f>IF(AND(O229&gt;0,LEN(TRIM(B229&amp;""))&gt;0,LEN(TRIM(C229&amp;""))&gt;0,LEN(TRIM(E229&amp;""))&gt;0,ISNUMBER(F229)),O229,"")</f>
      </c>
      <c r="R229" s="0" t="n">
        <f>IF(O229=0,0,IF(COUNTIFS($Q$13:$Q$512,O229)&gt;0,MATCH(O229,$Q$13:$Q$512,0),0))</f>
        <v>0</v>
      </c>
      <c r="S229" s="0">
        <f>IF(AB229="","",IF(SUMPRODUCT(--('LÉEME'!$B$65:$B$86=AC229))=1,INDEX('LÉEME'!$C$65:$C$86,MATCH(AC229,'LÉEME'!$B$65:$B$86,0)),UPPER(TRIM(AB229))))</f>
      </c>
      <c r="T229" s="0" t="n">
        <f>IF(R229=0,0,IF(OR(AND(LEN(TRIM(B229&amp;""))&gt;0,UPPER(TRIM(B229&amp;""))&lt;&gt;UPPER(TRIM(INDEX($B$13:$B$512,R229)&amp;""))),AND(LEN(TRIM(C229&amp;""))&gt;0,UPPER(TRIM(C229&amp;""))&lt;&gt;UPPER(TRIM(INDEX($C$13:$C$512,R229)&amp;""))),AND(LEN(TRIM(E229&amp;""))&gt;0,S229&lt;&gt;INDEX($S$13:$S$512,R229)),AND(F229&lt;&gt;"",NOT(ISNUMBER(F229)))),1,IF(ISNUMBER(F229),IF(ABS(F229-INDEX($F$13:$F$512,R229))&gt;0.00000001,1,0),0)))</f>
        <v>0</v>
      </c>
      <c r="U229" s="0" t="n">
        <f>IF(P229="DIRECTA",IF(AND(ISNUMBER(G229),COUNTA(H229:J229)=0),1,0),IF(P229="DIMENSIONES",IF(AND(COUNT(G229:J229)&gt;0,COUNTA(G229:J229)=COUNT(G229:J229)),1,0),0))</f>
        <v>0</v>
      </c>
      <c r="V229" s="0" t="n">
        <f>IF(O229=0,0,IF(COUNTIFS($O$13:O229,O229)=1,1,0))</f>
        <v>0</v>
      </c>
      <c r="W229" s="0">
        <f>IF(V229=1,COUNTIFS($V$13:V229,1),"")</f>
      </c>
      <c r="X229" s="0">
        <f>IF(COUNTA(B229:L229)=0,"",IF(OR(NOT(IF(ISNUMBER($E$6),AND($E$6&gt;=0,$E$6&lt;=6,$E$6=INT($E$6)),FALSE)),O229=0,R229=0,T229&gt;0,AND(P229&lt;&gt;"DIMENSIONES",P229&lt;&gt;"DIRECTA",P229&lt;&gt;"SIN LÍNEAS",P229&lt;&gt;"CABECERA"),AND(OR(P229="DIRECTA",P229="DIMENSIONES"),U229=0),AND(OR(P229="SIN LÍNEAS",P229="CABECERA"),COUNTA(G229:J229)&gt;0)),2,IF(OR(P229="SIN LÍNEAS",Y229&gt;0,Z229&gt;0,AA229&gt;0,SUMPRODUCT(--('LÉEME'!$B$65:$B$86=AC229))&lt;&gt;1),1,0)))</f>
      </c>
      <c r="Y229" s="0" t="n">
        <f>IF(AND(P229="DIMENSIONES",S229="m²",COUNT(H229:J229)=3),1,0)</f>
        <v>0</v>
      </c>
      <c r="Z229" s="0" t="n">
        <f>IF(IF(ISNUMBER($E$6),AND($E$6&gt;=0,$E$6&lt;=6,$E$6=INT($E$6)),FALSE),IF(SUM(IF(ISNUMBER(F229),IF(ABS(F229-ROUND(F229,$E$6))&gt;0.00000001,1,0),0),IF(ISNUMBER(G229),IF(ABS(G229-ROUND(G229,$E$6))&gt;0.00000001,1,0),0),IF(ISNUMBER(H229),IF(ABS(H229-ROUND(H229,$E$6))&gt;0.00000001,1,0),0),IF(ISNUMBER(I229),IF(ABS(I229-ROUND(I229,$E$6))&gt;0.00000001,1,0),0),IF(ISNUMBER(J229),IF(ABS(J229-ROUND(J229,$E$6))&gt;0.00000001,1,0),0),IF(ISNUMBER(M229),IF(ABS(M229-ROUND(M229,$E$6))&gt;0.00000001,1,0),0))&gt;0,1,0),0)</f>
        <v>0</v>
      </c>
      <c r="AA229" s="0" t="n">
        <f>IF(COUNTA(B229:L229)=0,0,IF(OR(AND(ISNUMBER(F229),F229&lt;0),AND(U229=1,OR(SUM(IF(ISNUMBER(G229),IF(G229=0,1,0),0),IF(ISNUMBER(H229),IF(H229=0,1,0),0),IF(ISNUMBER(I229),IF(I229=0,1,0),0),IF(ISNUMBER(J229),IF(J229=0,1,0),0))&gt;0,COUNTIFS(G229:J229,"&lt;0")&gt;0)),AND(P229="DIMENSIONES",U229=1,OR(AND(S229="m",COUNT(H229:J229)&lt;&gt;1),AND(S229="m²",COUNT(H229:J229)&lt;&gt;2,Y229=0),AND(S229="m³",COUNT(H229:J229)&lt;&gt;3),AND(S229="ud",COUNT(H229:J229)&gt;0))),AND(P229="DIRECTA",OR(S229="m",S229="m²",S229="m³"))),1,0))</f>
        <v>0</v>
      </c>
      <c r="AB229" s="0">
        <f>IF(LEN(TRIM(E229&amp;""))&gt;0,E229,IF(R229&gt;0,INDEX($E$13:$E$512,R229),""))</f>
      </c>
      <c r="AC229" s="0">
        <f>UPPER(SUBSTITUTE(SUBSTITUTE(SUBSTITUTE(SUBSTITUTE(SUBSTITUTE(TRIM(AB229),"²","2"),"³","3"),"^",""),".","")," ",""))</f>
      </c>
    </row>
    <row r="230" ht="35" customHeight="1">
      <c r="B230" s="35"/>
      <c r="C230" s="35"/>
      <c r="D230" s="37"/>
      <c r="E230" s="35"/>
      <c r="F230" s="38"/>
      <c r="G230" s="38"/>
      <c r="H230" s="38"/>
      <c r="I230" s="38"/>
      <c r="J230" s="38"/>
      <c r="K230" s="35"/>
      <c r="L230" s="35"/>
      <c r="M230" s="39">
        <f>IF(U230&lt;&gt;1,"",IF(P230="DIRECTA",G230,IF(ISNUMBER(G230),G230,1)*IF(ISNUMBER(H230),H230,1)*IF(ISNUMBER(I230),I230,1)*IF(ISNUMBER(J230),J230,1)))</f>
      </c>
      <c r="N230" s="30">
        <f>IF(COUNTA(B230:L230)=0,"",IF(X230=0,IF(P230="CABECERA","VERDE · Fila descriptiva; la suma usa las líneas del ID","VERDE · Datos numéricos interpretables"),IF(X230=2,"ROJO · ","ÁMBAR · ")&amp;IF(NOT(IF(ISNUMBER($E$6),AND($E$6&gt;=0,$E$6&lt;=6,$E$6=INT($E$6)),FALSE)),"Indicamos entre 0 y 6 decimales en E6. ","")&amp;IF(O230=0,"Falta un ID numérico. ","")&amp;IF(R230=0,"Faltan capítulo, código, unidad o total numérico del ID. ","")&amp;IF(T230&gt;0,"Los datos o el total del ID se contradicen. ","")&amp;IF(AND(P230&lt;&gt;"DIMENSIONES",P230&lt;&gt;"DIRECTA",P230&lt;&gt;"SIN LÍNEAS",P230&lt;&gt;"CABECERA"),"Tipo de fila no reconocido. ","")&amp;IF(AND(OR(P230="SIN LÍNEAS",P230="CABECERA"),COUNTA(G230:J230)&gt;0),"La fila dice que no mide, pero contiene medidas. ","")&amp;IF(AND(OR(P230="DIRECTA",P230="DIMENSIONES"),U230=0),"Línea incompleta o con medidas no numéricas. ","")&amp;IF(P230="SIN LÍNEAS","No constan medidas de esta fila. ","")&amp;IF(Y230&gt;0,"Parece m³: tres dimensiones bajo m². ","")&amp;IF(AND(AB230&lt;&gt;"",SUMPRODUCT(--('LÉEME'!$B$65:$B$86=AC230))&lt;&gt;1),"Revisamos el significado de la unidad. ","")&amp;IF(Z230&gt;0,"Más precisión que los decimales indicados: cotejamos el original. ","")&amp;IF(AA230&gt;0,"Revisamos dimensiones, cantidad directa, ceros o deducción. ","")))</f>
      </c>
      <c r="O230" s="0" t="n">
        <f>IF(ISNUMBER(K230),IF(AND(K230&gt;0,K230=INT(K230),K230&lt;=999999),K230,0),0)</f>
        <v>0</v>
      </c>
      <c r="P230" s="0">
        <f>IF(COUNTA(B230:L230)=0,"",IF(L230="",IF(COUNTA(G230:J230)&gt;0,"DIMENSIONES","SIN LÍNEAS"),UPPER(TRIM(L230))))</f>
      </c>
      <c r="Q230" s="0">
        <f>IF(AND(O230&gt;0,LEN(TRIM(B230&amp;""))&gt;0,LEN(TRIM(C230&amp;""))&gt;0,LEN(TRIM(E230&amp;""))&gt;0,ISNUMBER(F230)),O230,"")</f>
      </c>
      <c r="R230" s="0" t="n">
        <f>IF(O230=0,0,IF(COUNTIFS($Q$13:$Q$512,O230)&gt;0,MATCH(O230,$Q$13:$Q$512,0),0))</f>
        <v>0</v>
      </c>
      <c r="S230" s="0">
        <f>IF(AB230="","",IF(SUMPRODUCT(--('LÉEME'!$B$65:$B$86=AC230))=1,INDEX('LÉEME'!$C$65:$C$86,MATCH(AC230,'LÉEME'!$B$65:$B$86,0)),UPPER(TRIM(AB230))))</f>
      </c>
      <c r="T230" s="0" t="n">
        <f>IF(R230=0,0,IF(OR(AND(LEN(TRIM(B230&amp;""))&gt;0,UPPER(TRIM(B230&amp;""))&lt;&gt;UPPER(TRIM(INDEX($B$13:$B$512,R230)&amp;""))),AND(LEN(TRIM(C230&amp;""))&gt;0,UPPER(TRIM(C230&amp;""))&lt;&gt;UPPER(TRIM(INDEX($C$13:$C$512,R230)&amp;""))),AND(LEN(TRIM(E230&amp;""))&gt;0,S230&lt;&gt;INDEX($S$13:$S$512,R230)),AND(F230&lt;&gt;"",NOT(ISNUMBER(F230)))),1,IF(ISNUMBER(F230),IF(ABS(F230-INDEX($F$13:$F$512,R230))&gt;0.00000001,1,0),0)))</f>
        <v>0</v>
      </c>
      <c r="U230" s="0" t="n">
        <f>IF(P230="DIRECTA",IF(AND(ISNUMBER(G230),COUNTA(H230:J230)=0),1,0),IF(P230="DIMENSIONES",IF(AND(COUNT(G230:J230)&gt;0,COUNTA(G230:J230)=COUNT(G230:J230)),1,0),0))</f>
        <v>0</v>
      </c>
      <c r="V230" s="0" t="n">
        <f>IF(O230=0,0,IF(COUNTIFS($O$13:O230,O230)=1,1,0))</f>
        <v>0</v>
      </c>
      <c r="W230" s="0">
        <f>IF(V230=1,COUNTIFS($V$13:V230,1),"")</f>
      </c>
      <c r="X230" s="0">
        <f>IF(COUNTA(B230:L230)=0,"",IF(OR(NOT(IF(ISNUMBER($E$6),AND($E$6&gt;=0,$E$6&lt;=6,$E$6=INT($E$6)),FALSE)),O230=0,R230=0,T230&gt;0,AND(P230&lt;&gt;"DIMENSIONES",P230&lt;&gt;"DIRECTA",P230&lt;&gt;"SIN LÍNEAS",P230&lt;&gt;"CABECERA"),AND(OR(P230="DIRECTA",P230="DIMENSIONES"),U230=0),AND(OR(P230="SIN LÍNEAS",P230="CABECERA"),COUNTA(G230:J230)&gt;0)),2,IF(OR(P230="SIN LÍNEAS",Y230&gt;0,Z230&gt;0,AA230&gt;0,SUMPRODUCT(--('LÉEME'!$B$65:$B$86=AC230))&lt;&gt;1),1,0)))</f>
      </c>
      <c r="Y230" s="0" t="n">
        <f>IF(AND(P230="DIMENSIONES",S230="m²",COUNT(H230:J230)=3),1,0)</f>
        <v>0</v>
      </c>
      <c r="Z230" s="0" t="n">
        <f>IF(IF(ISNUMBER($E$6),AND($E$6&gt;=0,$E$6&lt;=6,$E$6=INT($E$6)),FALSE),IF(SUM(IF(ISNUMBER(F230),IF(ABS(F230-ROUND(F230,$E$6))&gt;0.00000001,1,0),0),IF(ISNUMBER(G230),IF(ABS(G230-ROUND(G230,$E$6))&gt;0.00000001,1,0),0),IF(ISNUMBER(H230),IF(ABS(H230-ROUND(H230,$E$6))&gt;0.00000001,1,0),0),IF(ISNUMBER(I230),IF(ABS(I230-ROUND(I230,$E$6))&gt;0.00000001,1,0),0),IF(ISNUMBER(J230),IF(ABS(J230-ROUND(J230,$E$6))&gt;0.00000001,1,0),0),IF(ISNUMBER(M230),IF(ABS(M230-ROUND(M230,$E$6))&gt;0.00000001,1,0),0))&gt;0,1,0),0)</f>
        <v>0</v>
      </c>
      <c r="AA230" s="0" t="n">
        <f>IF(COUNTA(B230:L230)=0,0,IF(OR(AND(ISNUMBER(F230),F230&lt;0),AND(U230=1,OR(SUM(IF(ISNUMBER(G230),IF(G230=0,1,0),0),IF(ISNUMBER(H230),IF(H230=0,1,0),0),IF(ISNUMBER(I230),IF(I230=0,1,0),0),IF(ISNUMBER(J230),IF(J230=0,1,0),0))&gt;0,COUNTIFS(G230:J230,"&lt;0")&gt;0)),AND(P230="DIMENSIONES",U230=1,OR(AND(S230="m",COUNT(H230:J230)&lt;&gt;1),AND(S230="m²",COUNT(H230:J230)&lt;&gt;2,Y230=0),AND(S230="m³",COUNT(H230:J230)&lt;&gt;3),AND(S230="ud",COUNT(H230:J230)&gt;0))),AND(P230="DIRECTA",OR(S230="m",S230="m²",S230="m³"))),1,0))</f>
        <v>0</v>
      </c>
      <c r="AB230" s="0">
        <f>IF(LEN(TRIM(E230&amp;""))&gt;0,E230,IF(R230&gt;0,INDEX($E$13:$E$512,R230),""))</f>
      </c>
      <c r="AC230" s="0">
        <f>UPPER(SUBSTITUTE(SUBSTITUTE(SUBSTITUTE(SUBSTITUTE(SUBSTITUTE(TRIM(AB230),"²","2"),"³","3"),"^",""),".","")," ",""))</f>
      </c>
    </row>
    <row r="231" ht="35" customHeight="1">
      <c r="B231" s="35"/>
      <c r="C231" s="35"/>
      <c r="D231" s="37"/>
      <c r="E231" s="35"/>
      <c r="F231" s="38"/>
      <c r="G231" s="38"/>
      <c r="H231" s="38"/>
      <c r="I231" s="38"/>
      <c r="J231" s="38"/>
      <c r="K231" s="35"/>
      <c r="L231" s="35"/>
      <c r="M231" s="39">
        <f>IF(U231&lt;&gt;1,"",IF(P231="DIRECTA",G231,IF(ISNUMBER(G231),G231,1)*IF(ISNUMBER(H231),H231,1)*IF(ISNUMBER(I231),I231,1)*IF(ISNUMBER(J231),J231,1)))</f>
      </c>
      <c r="N231" s="30">
        <f>IF(COUNTA(B231:L231)=0,"",IF(X231=0,IF(P231="CABECERA","VERDE · Fila descriptiva; la suma usa las líneas del ID","VERDE · Datos numéricos interpretables"),IF(X231=2,"ROJO · ","ÁMBAR · ")&amp;IF(NOT(IF(ISNUMBER($E$6),AND($E$6&gt;=0,$E$6&lt;=6,$E$6=INT($E$6)),FALSE)),"Indicamos entre 0 y 6 decimales en E6. ","")&amp;IF(O231=0,"Falta un ID numérico. ","")&amp;IF(R231=0,"Faltan capítulo, código, unidad o total numérico del ID. ","")&amp;IF(T231&gt;0,"Los datos o el total del ID se contradicen. ","")&amp;IF(AND(P231&lt;&gt;"DIMENSIONES",P231&lt;&gt;"DIRECTA",P231&lt;&gt;"SIN LÍNEAS",P231&lt;&gt;"CABECERA"),"Tipo de fila no reconocido. ","")&amp;IF(AND(OR(P231="SIN LÍNEAS",P231="CABECERA"),COUNTA(G231:J231)&gt;0),"La fila dice que no mide, pero contiene medidas. ","")&amp;IF(AND(OR(P231="DIRECTA",P231="DIMENSIONES"),U231=0),"Línea incompleta o con medidas no numéricas. ","")&amp;IF(P231="SIN LÍNEAS","No constan medidas de esta fila. ","")&amp;IF(Y231&gt;0,"Parece m³: tres dimensiones bajo m². ","")&amp;IF(AND(AB231&lt;&gt;"",SUMPRODUCT(--('LÉEME'!$B$65:$B$86=AC231))&lt;&gt;1),"Revisamos el significado de la unidad. ","")&amp;IF(Z231&gt;0,"Más precisión que los decimales indicados: cotejamos el original. ","")&amp;IF(AA231&gt;0,"Revisamos dimensiones, cantidad directa, ceros o deducción. ","")))</f>
      </c>
      <c r="O231" s="0" t="n">
        <f>IF(ISNUMBER(K231),IF(AND(K231&gt;0,K231=INT(K231),K231&lt;=999999),K231,0),0)</f>
        <v>0</v>
      </c>
      <c r="P231" s="0">
        <f>IF(COUNTA(B231:L231)=0,"",IF(L231="",IF(COUNTA(G231:J231)&gt;0,"DIMENSIONES","SIN LÍNEAS"),UPPER(TRIM(L231))))</f>
      </c>
      <c r="Q231" s="0">
        <f>IF(AND(O231&gt;0,LEN(TRIM(B231&amp;""))&gt;0,LEN(TRIM(C231&amp;""))&gt;0,LEN(TRIM(E231&amp;""))&gt;0,ISNUMBER(F231)),O231,"")</f>
      </c>
      <c r="R231" s="0" t="n">
        <f>IF(O231=0,0,IF(COUNTIFS($Q$13:$Q$512,O231)&gt;0,MATCH(O231,$Q$13:$Q$512,0),0))</f>
        <v>0</v>
      </c>
      <c r="S231" s="0">
        <f>IF(AB231="","",IF(SUMPRODUCT(--('LÉEME'!$B$65:$B$86=AC231))=1,INDEX('LÉEME'!$C$65:$C$86,MATCH(AC231,'LÉEME'!$B$65:$B$86,0)),UPPER(TRIM(AB231))))</f>
      </c>
      <c r="T231" s="0" t="n">
        <f>IF(R231=0,0,IF(OR(AND(LEN(TRIM(B231&amp;""))&gt;0,UPPER(TRIM(B231&amp;""))&lt;&gt;UPPER(TRIM(INDEX($B$13:$B$512,R231)&amp;""))),AND(LEN(TRIM(C231&amp;""))&gt;0,UPPER(TRIM(C231&amp;""))&lt;&gt;UPPER(TRIM(INDEX($C$13:$C$512,R231)&amp;""))),AND(LEN(TRIM(E231&amp;""))&gt;0,S231&lt;&gt;INDEX($S$13:$S$512,R231)),AND(F231&lt;&gt;"",NOT(ISNUMBER(F231)))),1,IF(ISNUMBER(F231),IF(ABS(F231-INDEX($F$13:$F$512,R231))&gt;0.00000001,1,0),0)))</f>
        <v>0</v>
      </c>
      <c r="U231" s="0" t="n">
        <f>IF(P231="DIRECTA",IF(AND(ISNUMBER(G231),COUNTA(H231:J231)=0),1,0),IF(P231="DIMENSIONES",IF(AND(COUNT(G231:J231)&gt;0,COUNTA(G231:J231)=COUNT(G231:J231)),1,0),0))</f>
        <v>0</v>
      </c>
      <c r="V231" s="0" t="n">
        <f>IF(O231=0,0,IF(COUNTIFS($O$13:O231,O231)=1,1,0))</f>
        <v>0</v>
      </c>
      <c r="W231" s="0">
        <f>IF(V231=1,COUNTIFS($V$13:V231,1),"")</f>
      </c>
      <c r="X231" s="0">
        <f>IF(COUNTA(B231:L231)=0,"",IF(OR(NOT(IF(ISNUMBER($E$6),AND($E$6&gt;=0,$E$6&lt;=6,$E$6=INT($E$6)),FALSE)),O231=0,R231=0,T231&gt;0,AND(P231&lt;&gt;"DIMENSIONES",P231&lt;&gt;"DIRECTA",P231&lt;&gt;"SIN LÍNEAS",P231&lt;&gt;"CABECERA"),AND(OR(P231="DIRECTA",P231="DIMENSIONES"),U231=0),AND(OR(P231="SIN LÍNEAS",P231="CABECERA"),COUNTA(G231:J231)&gt;0)),2,IF(OR(P231="SIN LÍNEAS",Y231&gt;0,Z231&gt;0,AA231&gt;0,SUMPRODUCT(--('LÉEME'!$B$65:$B$86=AC231))&lt;&gt;1),1,0)))</f>
      </c>
      <c r="Y231" s="0" t="n">
        <f>IF(AND(P231="DIMENSIONES",S231="m²",COUNT(H231:J231)=3),1,0)</f>
        <v>0</v>
      </c>
      <c r="Z231" s="0" t="n">
        <f>IF(IF(ISNUMBER($E$6),AND($E$6&gt;=0,$E$6&lt;=6,$E$6=INT($E$6)),FALSE),IF(SUM(IF(ISNUMBER(F231),IF(ABS(F231-ROUND(F231,$E$6))&gt;0.00000001,1,0),0),IF(ISNUMBER(G231),IF(ABS(G231-ROUND(G231,$E$6))&gt;0.00000001,1,0),0),IF(ISNUMBER(H231),IF(ABS(H231-ROUND(H231,$E$6))&gt;0.00000001,1,0),0),IF(ISNUMBER(I231),IF(ABS(I231-ROUND(I231,$E$6))&gt;0.00000001,1,0),0),IF(ISNUMBER(J231),IF(ABS(J231-ROUND(J231,$E$6))&gt;0.00000001,1,0),0),IF(ISNUMBER(M231),IF(ABS(M231-ROUND(M231,$E$6))&gt;0.00000001,1,0),0))&gt;0,1,0),0)</f>
        <v>0</v>
      </c>
      <c r="AA231" s="0" t="n">
        <f>IF(COUNTA(B231:L231)=0,0,IF(OR(AND(ISNUMBER(F231),F231&lt;0),AND(U231=1,OR(SUM(IF(ISNUMBER(G231),IF(G231=0,1,0),0),IF(ISNUMBER(H231),IF(H231=0,1,0),0),IF(ISNUMBER(I231),IF(I231=0,1,0),0),IF(ISNUMBER(J231),IF(J231=0,1,0),0))&gt;0,COUNTIFS(G231:J231,"&lt;0")&gt;0)),AND(P231="DIMENSIONES",U231=1,OR(AND(S231="m",COUNT(H231:J231)&lt;&gt;1),AND(S231="m²",COUNT(H231:J231)&lt;&gt;2,Y231=0),AND(S231="m³",COUNT(H231:J231)&lt;&gt;3),AND(S231="ud",COUNT(H231:J231)&gt;0))),AND(P231="DIRECTA",OR(S231="m",S231="m²",S231="m³"))),1,0))</f>
        <v>0</v>
      </c>
      <c r="AB231" s="0">
        <f>IF(LEN(TRIM(E231&amp;""))&gt;0,E231,IF(R231&gt;0,INDEX($E$13:$E$512,R231),""))</f>
      </c>
      <c r="AC231" s="0">
        <f>UPPER(SUBSTITUTE(SUBSTITUTE(SUBSTITUTE(SUBSTITUTE(SUBSTITUTE(TRIM(AB231),"²","2"),"³","3"),"^",""),".","")," ",""))</f>
      </c>
    </row>
    <row r="232" ht="35" customHeight="1">
      <c r="B232" s="35"/>
      <c r="C232" s="35"/>
      <c r="D232" s="37"/>
      <c r="E232" s="35"/>
      <c r="F232" s="38"/>
      <c r="G232" s="38"/>
      <c r="H232" s="38"/>
      <c r="I232" s="38"/>
      <c r="J232" s="38"/>
      <c r="K232" s="35"/>
      <c r="L232" s="35"/>
      <c r="M232" s="39">
        <f>IF(U232&lt;&gt;1,"",IF(P232="DIRECTA",G232,IF(ISNUMBER(G232),G232,1)*IF(ISNUMBER(H232),H232,1)*IF(ISNUMBER(I232),I232,1)*IF(ISNUMBER(J232),J232,1)))</f>
      </c>
      <c r="N232" s="30">
        <f>IF(COUNTA(B232:L232)=0,"",IF(X232=0,IF(P232="CABECERA","VERDE · Fila descriptiva; la suma usa las líneas del ID","VERDE · Datos numéricos interpretables"),IF(X232=2,"ROJO · ","ÁMBAR · ")&amp;IF(NOT(IF(ISNUMBER($E$6),AND($E$6&gt;=0,$E$6&lt;=6,$E$6=INT($E$6)),FALSE)),"Indicamos entre 0 y 6 decimales en E6. ","")&amp;IF(O232=0,"Falta un ID numérico. ","")&amp;IF(R232=0,"Faltan capítulo, código, unidad o total numérico del ID. ","")&amp;IF(T232&gt;0,"Los datos o el total del ID se contradicen. ","")&amp;IF(AND(P232&lt;&gt;"DIMENSIONES",P232&lt;&gt;"DIRECTA",P232&lt;&gt;"SIN LÍNEAS",P232&lt;&gt;"CABECERA"),"Tipo de fila no reconocido. ","")&amp;IF(AND(OR(P232="SIN LÍNEAS",P232="CABECERA"),COUNTA(G232:J232)&gt;0),"La fila dice que no mide, pero contiene medidas. ","")&amp;IF(AND(OR(P232="DIRECTA",P232="DIMENSIONES"),U232=0),"Línea incompleta o con medidas no numéricas. ","")&amp;IF(P232="SIN LÍNEAS","No constan medidas de esta fila. ","")&amp;IF(Y232&gt;0,"Parece m³: tres dimensiones bajo m². ","")&amp;IF(AND(AB232&lt;&gt;"",SUMPRODUCT(--('LÉEME'!$B$65:$B$86=AC232))&lt;&gt;1),"Revisamos el significado de la unidad. ","")&amp;IF(Z232&gt;0,"Más precisión que los decimales indicados: cotejamos el original. ","")&amp;IF(AA232&gt;0,"Revisamos dimensiones, cantidad directa, ceros o deducción. ","")))</f>
      </c>
      <c r="O232" s="0" t="n">
        <f>IF(ISNUMBER(K232),IF(AND(K232&gt;0,K232=INT(K232),K232&lt;=999999),K232,0),0)</f>
        <v>0</v>
      </c>
      <c r="P232" s="0">
        <f>IF(COUNTA(B232:L232)=0,"",IF(L232="",IF(COUNTA(G232:J232)&gt;0,"DIMENSIONES","SIN LÍNEAS"),UPPER(TRIM(L232))))</f>
      </c>
      <c r="Q232" s="0">
        <f>IF(AND(O232&gt;0,LEN(TRIM(B232&amp;""))&gt;0,LEN(TRIM(C232&amp;""))&gt;0,LEN(TRIM(E232&amp;""))&gt;0,ISNUMBER(F232)),O232,"")</f>
      </c>
      <c r="R232" s="0" t="n">
        <f>IF(O232=0,0,IF(COUNTIFS($Q$13:$Q$512,O232)&gt;0,MATCH(O232,$Q$13:$Q$512,0),0))</f>
        <v>0</v>
      </c>
      <c r="S232" s="0">
        <f>IF(AB232="","",IF(SUMPRODUCT(--('LÉEME'!$B$65:$B$86=AC232))=1,INDEX('LÉEME'!$C$65:$C$86,MATCH(AC232,'LÉEME'!$B$65:$B$86,0)),UPPER(TRIM(AB232))))</f>
      </c>
      <c r="T232" s="0" t="n">
        <f>IF(R232=0,0,IF(OR(AND(LEN(TRIM(B232&amp;""))&gt;0,UPPER(TRIM(B232&amp;""))&lt;&gt;UPPER(TRIM(INDEX($B$13:$B$512,R232)&amp;""))),AND(LEN(TRIM(C232&amp;""))&gt;0,UPPER(TRIM(C232&amp;""))&lt;&gt;UPPER(TRIM(INDEX($C$13:$C$512,R232)&amp;""))),AND(LEN(TRIM(E232&amp;""))&gt;0,S232&lt;&gt;INDEX($S$13:$S$512,R232)),AND(F232&lt;&gt;"",NOT(ISNUMBER(F232)))),1,IF(ISNUMBER(F232),IF(ABS(F232-INDEX($F$13:$F$512,R232))&gt;0.00000001,1,0),0)))</f>
        <v>0</v>
      </c>
      <c r="U232" s="0" t="n">
        <f>IF(P232="DIRECTA",IF(AND(ISNUMBER(G232),COUNTA(H232:J232)=0),1,0),IF(P232="DIMENSIONES",IF(AND(COUNT(G232:J232)&gt;0,COUNTA(G232:J232)=COUNT(G232:J232)),1,0),0))</f>
        <v>0</v>
      </c>
      <c r="V232" s="0" t="n">
        <f>IF(O232=0,0,IF(COUNTIFS($O$13:O232,O232)=1,1,0))</f>
        <v>0</v>
      </c>
      <c r="W232" s="0">
        <f>IF(V232=1,COUNTIFS($V$13:V232,1),"")</f>
      </c>
      <c r="X232" s="0">
        <f>IF(COUNTA(B232:L232)=0,"",IF(OR(NOT(IF(ISNUMBER($E$6),AND($E$6&gt;=0,$E$6&lt;=6,$E$6=INT($E$6)),FALSE)),O232=0,R232=0,T232&gt;0,AND(P232&lt;&gt;"DIMENSIONES",P232&lt;&gt;"DIRECTA",P232&lt;&gt;"SIN LÍNEAS",P232&lt;&gt;"CABECERA"),AND(OR(P232="DIRECTA",P232="DIMENSIONES"),U232=0),AND(OR(P232="SIN LÍNEAS",P232="CABECERA"),COUNTA(G232:J232)&gt;0)),2,IF(OR(P232="SIN LÍNEAS",Y232&gt;0,Z232&gt;0,AA232&gt;0,SUMPRODUCT(--('LÉEME'!$B$65:$B$86=AC232))&lt;&gt;1),1,0)))</f>
      </c>
      <c r="Y232" s="0" t="n">
        <f>IF(AND(P232="DIMENSIONES",S232="m²",COUNT(H232:J232)=3),1,0)</f>
        <v>0</v>
      </c>
      <c r="Z232" s="0" t="n">
        <f>IF(IF(ISNUMBER($E$6),AND($E$6&gt;=0,$E$6&lt;=6,$E$6=INT($E$6)),FALSE),IF(SUM(IF(ISNUMBER(F232),IF(ABS(F232-ROUND(F232,$E$6))&gt;0.00000001,1,0),0),IF(ISNUMBER(G232),IF(ABS(G232-ROUND(G232,$E$6))&gt;0.00000001,1,0),0),IF(ISNUMBER(H232),IF(ABS(H232-ROUND(H232,$E$6))&gt;0.00000001,1,0),0),IF(ISNUMBER(I232),IF(ABS(I232-ROUND(I232,$E$6))&gt;0.00000001,1,0),0),IF(ISNUMBER(J232),IF(ABS(J232-ROUND(J232,$E$6))&gt;0.00000001,1,0),0),IF(ISNUMBER(M232),IF(ABS(M232-ROUND(M232,$E$6))&gt;0.00000001,1,0),0))&gt;0,1,0),0)</f>
        <v>0</v>
      </c>
      <c r="AA232" s="0" t="n">
        <f>IF(COUNTA(B232:L232)=0,0,IF(OR(AND(ISNUMBER(F232),F232&lt;0),AND(U232=1,OR(SUM(IF(ISNUMBER(G232),IF(G232=0,1,0),0),IF(ISNUMBER(H232),IF(H232=0,1,0),0),IF(ISNUMBER(I232),IF(I232=0,1,0),0),IF(ISNUMBER(J232),IF(J232=0,1,0),0))&gt;0,COUNTIFS(G232:J232,"&lt;0")&gt;0)),AND(P232="DIMENSIONES",U232=1,OR(AND(S232="m",COUNT(H232:J232)&lt;&gt;1),AND(S232="m²",COUNT(H232:J232)&lt;&gt;2,Y232=0),AND(S232="m³",COUNT(H232:J232)&lt;&gt;3),AND(S232="ud",COUNT(H232:J232)&gt;0))),AND(P232="DIRECTA",OR(S232="m",S232="m²",S232="m³"))),1,0))</f>
        <v>0</v>
      </c>
      <c r="AB232" s="0">
        <f>IF(LEN(TRIM(E232&amp;""))&gt;0,E232,IF(R232&gt;0,INDEX($E$13:$E$512,R232),""))</f>
      </c>
      <c r="AC232" s="0">
        <f>UPPER(SUBSTITUTE(SUBSTITUTE(SUBSTITUTE(SUBSTITUTE(SUBSTITUTE(TRIM(AB232),"²","2"),"³","3"),"^",""),".","")," ",""))</f>
      </c>
    </row>
    <row r="233" ht="35" customHeight="1">
      <c r="B233" s="35"/>
      <c r="C233" s="35"/>
      <c r="D233" s="37"/>
      <c r="E233" s="35"/>
      <c r="F233" s="38"/>
      <c r="G233" s="38"/>
      <c r="H233" s="38"/>
      <c r="I233" s="38"/>
      <c r="J233" s="38"/>
      <c r="K233" s="35"/>
      <c r="L233" s="35"/>
      <c r="M233" s="39">
        <f>IF(U233&lt;&gt;1,"",IF(P233="DIRECTA",G233,IF(ISNUMBER(G233),G233,1)*IF(ISNUMBER(H233),H233,1)*IF(ISNUMBER(I233),I233,1)*IF(ISNUMBER(J233),J233,1)))</f>
      </c>
      <c r="N233" s="30">
        <f>IF(COUNTA(B233:L233)=0,"",IF(X233=0,IF(P233="CABECERA","VERDE · Fila descriptiva; la suma usa las líneas del ID","VERDE · Datos numéricos interpretables"),IF(X233=2,"ROJO · ","ÁMBAR · ")&amp;IF(NOT(IF(ISNUMBER($E$6),AND($E$6&gt;=0,$E$6&lt;=6,$E$6=INT($E$6)),FALSE)),"Indicamos entre 0 y 6 decimales en E6. ","")&amp;IF(O233=0,"Falta un ID numérico. ","")&amp;IF(R233=0,"Faltan capítulo, código, unidad o total numérico del ID. ","")&amp;IF(T233&gt;0,"Los datos o el total del ID se contradicen. ","")&amp;IF(AND(P233&lt;&gt;"DIMENSIONES",P233&lt;&gt;"DIRECTA",P233&lt;&gt;"SIN LÍNEAS",P233&lt;&gt;"CABECERA"),"Tipo de fila no reconocido. ","")&amp;IF(AND(OR(P233="SIN LÍNEAS",P233="CABECERA"),COUNTA(G233:J233)&gt;0),"La fila dice que no mide, pero contiene medidas. ","")&amp;IF(AND(OR(P233="DIRECTA",P233="DIMENSIONES"),U233=0),"Línea incompleta o con medidas no numéricas. ","")&amp;IF(P233="SIN LÍNEAS","No constan medidas de esta fila. ","")&amp;IF(Y233&gt;0,"Parece m³: tres dimensiones bajo m². ","")&amp;IF(AND(AB233&lt;&gt;"",SUMPRODUCT(--('LÉEME'!$B$65:$B$86=AC233))&lt;&gt;1),"Revisamos el significado de la unidad. ","")&amp;IF(Z233&gt;0,"Más precisión que los decimales indicados: cotejamos el original. ","")&amp;IF(AA233&gt;0,"Revisamos dimensiones, cantidad directa, ceros o deducción. ","")))</f>
      </c>
      <c r="O233" s="0" t="n">
        <f>IF(ISNUMBER(K233),IF(AND(K233&gt;0,K233=INT(K233),K233&lt;=999999),K233,0),0)</f>
        <v>0</v>
      </c>
      <c r="P233" s="0">
        <f>IF(COUNTA(B233:L233)=0,"",IF(L233="",IF(COUNTA(G233:J233)&gt;0,"DIMENSIONES","SIN LÍNEAS"),UPPER(TRIM(L233))))</f>
      </c>
      <c r="Q233" s="0">
        <f>IF(AND(O233&gt;0,LEN(TRIM(B233&amp;""))&gt;0,LEN(TRIM(C233&amp;""))&gt;0,LEN(TRIM(E233&amp;""))&gt;0,ISNUMBER(F233)),O233,"")</f>
      </c>
      <c r="R233" s="0" t="n">
        <f>IF(O233=0,0,IF(COUNTIFS($Q$13:$Q$512,O233)&gt;0,MATCH(O233,$Q$13:$Q$512,0),0))</f>
        <v>0</v>
      </c>
      <c r="S233" s="0">
        <f>IF(AB233="","",IF(SUMPRODUCT(--('LÉEME'!$B$65:$B$86=AC233))=1,INDEX('LÉEME'!$C$65:$C$86,MATCH(AC233,'LÉEME'!$B$65:$B$86,0)),UPPER(TRIM(AB233))))</f>
      </c>
      <c r="T233" s="0" t="n">
        <f>IF(R233=0,0,IF(OR(AND(LEN(TRIM(B233&amp;""))&gt;0,UPPER(TRIM(B233&amp;""))&lt;&gt;UPPER(TRIM(INDEX($B$13:$B$512,R233)&amp;""))),AND(LEN(TRIM(C233&amp;""))&gt;0,UPPER(TRIM(C233&amp;""))&lt;&gt;UPPER(TRIM(INDEX($C$13:$C$512,R233)&amp;""))),AND(LEN(TRIM(E233&amp;""))&gt;0,S233&lt;&gt;INDEX($S$13:$S$512,R233)),AND(F233&lt;&gt;"",NOT(ISNUMBER(F233)))),1,IF(ISNUMBER(F233),IF(ABS(F233-INDEX($F$13:$F$512,R233))&gt;0.00000001,1,0),0)))</f>
        <v>0</v>
      </c>
      <c r="U233" s="0" t="n">
        <f>IF(P233="DIRECTA",IF(AND(ISNUMBER(G233),COUNTA(H233:J233)=0),1,0),IF(P233="DIMENSIONES",IF(AND(COUNT(G233:J233)&gt;0,COUNTA(G233:J233)=COUNT(G233:J233)),1,0),0))</f>
        <v>0</v>
      </c>
      <c r="V233" s="0" t="n">
        <f>IF(O233=0,0,IF(COUNTIFS($O$13:O233,O233)=1,1,0))</f>
        <v>0</v>
      </c>
      <c r="W233" s="0">
        <f>IF(V233=1,COUNTIFS($V$13:V233,1),"")</f>
      </c>
      <c r="X233" s="0">
        <f>IF(COUNTA(B233:L233)=0,"",IF(OR(NOT(IF(ISNUMBER($E$6),AND($E$6&gt;=0,$E$6&lt;=6,$E$6=INT($E$6)),FALSE)),O233=0,R233=0,T233&gt;0,AND(P233&lt;&gt;"DIMENSIONES",P233&lt;&gt;"DIRECTA",P233&lt;&gt;"SIN LÍNEAS",P233&lt;&gt;"CABECERA"),AND(OR(P233="DIRECTA",P233="DIMENSIONES"),U233=0),AND(OR(P233="SIN LÍNEAS",P233="CABECERA"),COUNTA(G233:J233)&gt;0)),2,IF(OR(P233="SIN LÍNEAS",Y233&gt;0,Z233&gt;0,AA233&gt;0,SUMPRODUCT(--('LÉEME'!$B$65:$B$86=AC233))&lt;&gt;1),1,0)))</f>
      </c>
      <c r="Y233" s="0" t="n">
        <f>IF(AND(P233="DIMENSIONES",S233="m²",COUNT(H233:J233)=3),1,0)</f>
        <v>0</v>
      </c>
      <c r="Z233" s="0" t="n">
        <f>IF(IF(ISNUMBER($E$6),AND($E$6&gt;=0,$E$6&lt;=6,$E$6=INT($E$6)),FALSE),IF(SUM(IF(ISNUMBER(F233),IF(ABS(F233-ROUND(F233,$E$6))&gt;0.00000001,1,0),0),IF(ISNUMBER(G233),IF(ABS(G233-ROUND(G233,$E$6))&gt;0.00000001,1,0),0),IF(ISNUMBER(H233),IF(ABS(H233-ROUND(H233,$E$6))&gt;0.00000001,1,0),0),IF(ISNUMBER(I233),IF(ABS(I233-ROUND(I233,$E$6))&gt;0.00000001,1,0),0),IF(ISNUMBER(J233),IF(ABS(J233-ROUND(J233,$E$6))&gt;0.00000001,1,0),0),IF(ISNUMBER(M233),IF(ABS(M233-ROUND(M233,$E$6))&gt;0.00000001,1,0),0))&gt;0,1,0),0)</f>
        <v>0</v>
      </c>
      <c r="AA233" s="0" t="n">
        <f>IF(COUNTA(B233:L233)=0,0,IF(OR(AND(ISNUMBER(F233),F233&lt;0),AND(U233=1,OR(SUM(IF(ISNUMBER(G233),IF(G233=0,1,0),0),IF(ISNUMBER(H233),IF(H233=0,1,0),0),IF(ISNUMBER(I233),IF(I233=0,1,0),0),IF(ISNUMBER(J233),IF(J233=0,1,0),0))&gt;0,COUNTIFS(G233:J233,"&lt;0")&gt;0)),AND(P233="DIMENSIONES",U233=1,OR(AND(S233="m",COUNT(H233:J233)&lt;&gt;1),AND(S233="m²",COUNT(H233:J233)&lt;&gt;2,Y233=0),AND(S233="m³",COUNT(H233:J233)&lt;&gt;3),AND(S233="ud",COUNT(H233:J233)&gt;0))),AND(P233="DIRECTA",OR(S233="m",S233="m²",S233="m³"))),1,0))</f>
        <v>0</v>
      </c>
      <c r="AB233" s="0">
        <f>IF(LEN(TRIM(E233&amp;""))&gt;0,E233,IF(R233&gt;0,INDEX($E$13:$E$512,R233),""))</f>
      </c>
      <c r="AC233" s="0">
        <f>UPPER(SUBSTITUTE(SUBSTITUTE(SUBSTITUTE(SUBSTITUTE(SUBSTITUTE(TRIM(AB233),"²","2"),"³","3"),"^",""),".","")," ",""))</f>
      </c>
    </row>
    <row r="234" ht="35" customHeight="1">
      <c r="B234" s="35"/>
      <c r="C234" s="35"/>
      <c r="D234" s="37"/>
      <c r="E234" s="35"/>
      <c r="F234" s="38"/>
      <c r="G234" s="38"/>
      <c r="H234" s="38"/>
      <c r="I234" s="38"/>
      <c r="J234" s="38"/>
      <c r="K234" s="35"/>
      <c r="L234" s="35"/>
      <c r="M234" s="39">
        <f>IF(U234&lt;&gt;1,"",IF(P234="DIRECTA",G234,IF(ISNUMBER(G234),G234,1)*IF(ISNUMBER(H234),H234,1)*IF(ISNUMBER(I234),I234,1)*IF(ISNUMBER(J234),J234,1)))</f>
      </c>
      <c r="N234" s="30">
        <f>IF(COUNTA(B234:L234)=0,"",IF(X234=0,IF(P234="CABECERA","VERDE · Fila descriptiva; la suma usa las líneas del ID","VERDE · Datos numéricos interpretables"),IF(X234=2,"ROJO · ","ÁMBAR · ")&amp;IF(NOT(IF(ISNUMBER($E$6),AND($E$6&gt;=0,$E$6&lt;=6,$E$6=INT($E$6)),FALSE)),"Indicamos entre 0 y 6 decimales en E6. ","")&amp;IF(O234=0,"Falta un ID numérico. ","")&amp;IF(R234=0,"Faltan capítulo, código, unidad o total numérico del ID. ","")&amp;IF(T234&gt;0,"Los datos o el total del ID se contradicen. ","")&amp;IF(AND(P234&lt;&gt;"DIMENSIONES",P234&lt;&gt;"DIRECTA",P234&lt;&gt;"SIN LÍNEAS",P234&lt;&gt;"CABECERA"),"Tipo de fila no reconocido. ","")&amp;IF(AND(OR(P234="SIN LÍNEAS",P234="CABECERA"),COUNTA(G234:J234)&gt;0),"La fila dice que no mide, pero contiene medidas. ","")&amp;IF(AND(OR(P234="DIRECTA",P234="DIMENSIONES"),U234=0),"Línea incompleta o con medidas no numéricas. ","")&amp;IF(P234="SIN LÍNEAS","No constan medidas de esta fila. ","")&amp;IF(Y234&gt;0,"Parece m³: tres dimensiones bajo m². ","")&amp;IF(AND(AB234&lt;&gt;"",SUMPRODUCT(--('LÉEME'!$B$65:$B$86=AC234))&lt;&gt;1),"Revisamos el significado de la unidad. ","")&amp;IF(Z234&gt;0,"Más precisión que los decimales indicados: cotejamos el original. ","")&amp;IF(AA234&gt;0,"Revisamos dimensiones, cantidad directa, ceros o deducción. ","")))</f>
      </c>
      <c r="O234" s="0" t="n">
        <f>IF(ISNUMBER(K234),IF(AND(K234&gt;0,K234=INT(K234),K234&lt;=999999),K234,0),0)</f>
        <v>0</v>
      </c>
      <c r="P234" s="0">
        <f>IF(COUNTA(B234:L234)=0,"",IF(L234="",IF(COUNTA(G234:J234)&gt;0,"DIMENSIONES","SIN LÍNEAS"),UPPER(TRIM(L234))))</f>
      </c>
      <c r="Q234" s="0">
        <f>IF(AND(O234&gt;0,LEN(TRIM(B234&amp;""))&gt;0,LEN(TRIM(C234&amp;""))&gt;0,LEN(TRIM(E234&amp;""))&gt;0,ISNUMBER(F234)),O234,"")</f>
      </c>
      <c r="R234" s="0" t="n">
        <f>IF(O234=0,0,IF(COUNTIFS($Q$13:$Q$512,O234)&gt;0,MATCH(O234,$Q$13:$Q$512,0),0))</f>
        <v>0</v>
      </c>
      <c r="S234" s="0">
        <f>IF(AB234="","",IF(SUMPRODUCT(--('LÉEME'!$B$65:$B$86=AC234))=1,INDEX('LÉEME'!$C$65:$C$86,MATCH(AC234,'LÉEME'!$B$65:$B$86,0)),UPPER(TRIM(AB234))))</f>
      </c>
      <c r="T234" s="0" t="n">
        <f>IF(R234=0,0,IF(OR(AND(LEN(TRIM(B234&amp;""))&gt;0,UPPER(TRIM(B234&amp;""))&lt;&gt;UPPER(TRIM(INDEX($B$13:$B$512,R234)&amp;""))),AND(LEN(TRIM(C234&amp;""))&gt;0,UPPER(TRIM(C234&amp;""))&lt;&gt;UPPER(TRIM(INDEX($C$13:$C$512,R234)&amp;""))),AND(LEN(TRIM(E234&amp;""))&gt;0,S234&lt;&gt;INDEX($S$13:$S$512,R234)),AND(F234&lt;&gt;"",NOT(ISNUMBER(F234)))),1,IF(ISNUMBER(F234),IF(ABS(F234-INDEX($F$13:$F$512,R234))&gt;0.00000001,1,0),0)))</f>
        <v>0</v>
      </c>
      <c r="U234" s="0" t="n">
        <f>IF(P234="DIRECTA",IF(AND(ISNUMBER(G234),COUNTA(H234:J234)=0),1,0),IF(P234="DIMENSIONES",IF(AND(COUNT(G234:J234)&gt;0,COUNTA(G234:J234)=COUNT(G234:J234)),1,0),0))</f>
        <v>0</v>
      </c>
      <c r="V234" s="0" t="n">
        <f>IF(O234=0,0,IF(COUNTIFS($O$13:O234,O234)=1,1,0))</f>
        <v>0</v>
      </c>
      <c r="W234" s="0">
        <f>IF(V234=1,COUNTIFS($V$13:V234,1),"")</f>
      </c>
      <c r="X234" s="0">
        <f>IF(COUNTA(B234:L234)=0,"",IF(OR(NOT(IF(ISNUMBER($E$6),AND($E$6&gt;=0,$E$6&lt;=6,$E$6=INT($E$6)),FALSE)),O234=0,R234=0,T234&gt;0,AND(P234&lt;&gt;"DIMENSIONES",P234&lt;&gt;"DIRECTA",P234&lt;&gt;"SIN LÍNEAS",P234&lt;&gt;"CABECERA"),AND(OR(P234="DIRECTA",P234="DIMENSIONES"),U234=0),AND(OR(P234="SIN LÍNEAS",P234="CABECERA"),COUNTA(G234:J234)&gt;0)),2,IF(OR(P234="SIN LÍNEAS",Y234&gt;0,Z234&gt;0,AA234&gt;0,SUMPRODUCT(--('LÉEME'!$B$65:$B$86=AC234))&lt;&gt;1),1,0)))</f>
      </c>
      <c r="Y234" s="0" t="n">
        <f>IF(AND(P234="DIMENSIONES",S234="m²",COUNT(H234:J234)=3),1,0)</f>
        <v>0</v>
      </c>
      <c r="Z234" s="0" t="n">
        <f>IF(IF(ISNUMBER($E$6),AND($E$6&gt;=0,$E$6&lt;=6,$E$6=INT($E$6)),FALSE),IF(SUM(IF(ISNUMBER(F234),IF(ABS(F234-ROUND(F234,$E$6))&gt;0.00000001,1,0),0),IF(ISNUMBER(G234),IF(ABS(G234-ROUND(G234,$E$6))&gt;0.00000001,1,0),0),IF(ISNUMBER(H234),IF(ABS(H234-ROUND(H234,$E$6))&gt;0.00000001,1,0),0),IF(ISNUMBER(I234),IF(ABS(I234-ROUND(I234,$E$6))&gt;0.00000001,1,0),0),IF(ISNUMBER(J234),IF(ABS(J234-ROUND(J234,$E$6))&gt;0.00000001,1,0),0),IF(ISNUMBER(M234),IF(ABS(M234-ROUND(M234,$E$6))&gt;0.00000001,1,0),0))&gt;0,1,0),0)</f>
        <v>0</v>
      </c>
      <c r="AA234" s="0" t="n">
        <f>IF(COUNTA(B234:L234)=0,0,IF(OR(AND(ISNUMBER(F234),F234&lt;0),AND(U234=1,OR(SUM(IF(ISNUMBER(G234),IF(G234=0,1,0),0),IF(ISNUMBER(H234),IF(H234=0,1,0),0),IF(ISNUMBER(I234),IF(I234=0,1,0),0),IF(ISNUMBER(J234),IF(J234=0,1,0),0))&gt;0,COUNTIFS(G234:J234,"&lt;0")&gt;0)),AND(P234="DIMENSIONES",U234=1,OR(AND(S234="m",COUNT(H234:J234)&lt;&gt;1),AND(S234="m²",COUNT(H234:J234)&lt;&gt;2,Y234=0),AND(S234="m³",COUNT(H234:J234)&lt;&gt;3),AND(S234="ud",COUNT(H234:J234)&gt;0))),AND(P234="DIRECTA",OR(S234="m",S234="m²",S234="m³"))),1,0))</f>
        <v>0</v>
      </c>
      <c r="AB234" s="0">
        <f>IF(LEN(TRIM(E234&amp;""))&gt;0,E234,IF(R234&gt;0,INDEX($E$13:$E$512,R234),""))</f>
      </c>
      <c r="AC234" s="0">
        <f>UPPER(SUBSTITUTE(SUBSTITUTE(SUBSTITUTE(SUBSTITUTE(SUBSTITUTE(TRIM(AB234),"²","2"),"³","3"),"^",""),".","")," ",""))</f>
      </c>
    </row>
    <row r="235" ht="35" customHeight="1">
      <c r="B235" s="35"/>
      <c r="C235" s="35"/>
      <c r="D235" s="37"/>
      <c r="E235" s="35"/>
      <c r="F235" s="38"/>
      <c r="G235" s="38"/>
      <c r="H235" s="38"/>
      <c r="I235" s="38"/>
      <c r="J235" s="38"/>
      <c r="K235" s="35"/>
      <c r="L235" s="35"/>
      <c r="M235" s="39">
        <f>IF(U235&lt;&gt;1,"",IF(P235="DIRECTA",G235,IF(ISNUMBER(G235),G235,1)*IF(ISNUMBER(H235),H235,1)*IF(ISNUMBER(I235),I235,1)*IF(ISNUMBER(J235),J235,1)))</f>
      </c>
      <c r="N235" s="30">
        <f>IF(COUNTA(B235:L235)=0,"",IF(X235=0,IF(P235="CABECERA","VERDE · Fila descriptiva; la suma usa las líneas del ID","VERDE · Datos numéricos interpretables"),IF(X235=2,"ROJO · ","ÁMBAR · ")&amp;IF(NOT(IF(ISNUMBER($E$6),AND($E$6&gt;=0,$E$6&lt;=6,$E$6=INT($E$6)),FALSE)),"Indicamos entre 0 y 6 decimales en E6. ","")&amp;IF(O235=0,"Falta un ID numérico. ","")&amp;IF(R235=0,"Faltan capítulo, código, unidad o total numérico del ID. ","")&amp;IF(T235&gt;0,"Los datos o el total del ID se contradicen. ","")&amp;IF(AND(P235&lt;&gt;"DIMENSIONES",P235&lt;&gt;"DIRECTA",P235&lt;&gt;"SIN LÍNEAS",P235&lt;&gt;"CABECERA"),"Tipo de fila no reconocido. ","")&amp;IF(AND(OR(P235="SIN LÍNEAS",P235="CABECERA"),COUNTA(G235:J235)&gt;0),"La fila dice que no mide, pero contiene medidas. ","")&amp;IF(AND(OR(P235="DIRECTA",P235="DIMENSIONES"),U235=0),"Línea incompleta o con medidas no numéricas. ","")&amp;IF(P235="SIN LÍNEAS","No constan medidas de esta fila. ","")&amp;IF(Y235&gt;0,"Parece m³: tres dimensiones bajo m². ","")&amp;IF(AND(AB235&lt;&gt;"",SUMPRODUCT(--('LÉEME'!$B$65:$B$86=AC235))&lt;&gt;1),"Revisamos el significado de la unidad. ","")&amp;IF(Z235&gt;0,"Más precisión que los decimales indicados: cotejamos el original. ","")&amp;IF(AA235&gt;0,"Revisamos dimensiones, cantidad directa, ceros o deducción. ","")))</f>
      </c>
      <c r="O235" s="0" t="n">
        <f>IF(ISNUMBER(K235),IF(AND(K235&gt;0,K235=INT(K235),K235&lt;=999999),K235,0),0)</f>
        <v>0</v>
      </c>
      <c r="P235" s="0">
        <f>IF(COUNTA(B235:L235)=0,"",IF(L235="",IF(COUNTA(G235:J235)&gt;0,"DIMENSIONES","SIN LÍNEAS"),UPPER(TRIM(L235))))</f>
      </c>
      <c r="Q235" s="0">
        <f>IF(AND(O235&gt;0,LEN(TRIM(B235&amp;""))&gt;0,LEN(TRIM(C235&amp;""))&gt;0,LEN(TRIM(E235&amp;""))&gt;0,ISNUMBER(F235)),O235,"")</f>
      </c>
      <c r="R235" s="0" t="n">
        <f>IF(O235=0,0,IF(COUNTIFS($Q$13:$Q$512,O235)&gt;0,MATCH(O235,$Q$13:$Q$512,0),0))</f>
        <v>0</v>
      </c>
      <c r="S235" s="0">
        <f>IF(AB235="","",IF(SUMPRODUCT(--('LÉEME'!$B$65:$B$86=AC235))=1,INDEX('LÉEME'!$C$65:$C$86,MATCH(AC235,'LÉEME'!$B$65:$B$86,0)),UPPER(TRIM(AB235))))</f>
      </c>
      <c r="T235" s="0" t="n">
        <f>IF(R235=0,0,IF(OR(AND(LEN(TRIM(B235&amp;""))&gt;0,UPPER(TRIM(B235&amp;""))&lt;&gt;UPPER(TRIM(INDEX($B$13:$B$512,R235)&amp;""))),AND(LEN(TRIM(C235&amp;""))&gt;0,UPPER(TRIM(C235&amp;""))&lt;&gt;UPPER(TRIM(INDEX($C$13:$C$512,R235)&amp;""))),AND(LEN(TRIM(E235&amp;""))&gt;0,S235&lt;&gt;INDEX($S$13:$S$512,R235)),AND(F235&lt;&gt;"",NOT(ISNUMBER(F235)))),1,IF(ISNUMBER(F235),IF(ABS(F235-INDEX($F$13:$F$512,R235))&gt;0.00000001,1,0),0)))</f>
        <v>0</v>
      </c>
      <c r="U235" s="0" t="n">
        <f>IF(P235="DIRECTA",IF(AND(ISNUMBER(G235),COUNTA(H235:J235)=0),1,0),IF(P235="DIMENSIONES",IF(AND(COUNT(G235:J235)&gt;0,COUNTA(G235:J235)=COUNT(G235:J235)),1,0),0))</f>
        <v>0</v>
      </c>
      <c r="V235" s="0" t="n">
        <f>IF(O235=0,0,IF(COUNTIFS($O$13:O235,O235)=1,1,0))</f>
        <v>0</v>
      </c>
      <c r="W235" s="0">
        <f>IF(V235=1,COUNTIFS($V$13:V235,1),"")</f>
      </c>
      <c r="X235" s="0">
        <f>IF(COUNTA(B235:L235)=0,"",IF(OR(NOT(IF(ISNUMBER($E$6),AND($E$6&gt;=0,$E$6&lt;=6,$E$6=INT($E$6)),FALSE)),O235=0,R235=0,T235&gt;0,AND(P235&lt;&gt;"DIMENSIONES",P235&lt;&gt;"DIRECTA",P235&lt;&gt;"SIN LÍNEAS",P235&lt;&gt;"CABECERA"),AND(OR(P235="DIRECTA",P235="DIMENSIONES"),U235=0),AND(OR(P235="SIN LÍNEAS",P235="CABECERA"),COUNTA(G235:J235)&gt;0)),2,IF(OR(P235="SIN LÍNEAS",Y235&gt;0,Z235&gt;0,AA235&gt;0,SUMPRODUCT(--('LÉEME'!$B$65:$B$86=AC235))&lt;&gt;1),1,0)))</f>
      </c>
      <c r="Y235" s="0" t="n">
        <f>IF(AND(P235="DIMENSIONES",S235="m²",COUNT(H235:J235)=3),1,0)</f>
        <v>0</v>
      </c>
      <c r="Z235" s="0" t="n">
        <f>IF(IF(ISNUMBER($E$6),AND($E$6&gt;=0,$E$6&lt;=6,$E$6=INT($E$6)),FALSE),IF(SUM(IF(ISNUMBER(F235),IF(ABS(F235-ROUND(F235,$E$6))&gt;0.00000001,1,0),0),IF(ISNUMBER(G235),IF(ABS(G235-ROUND(G235,$E$6))&gt;0.00000001,1,0),0),IF(ISNUMBER(H235),IF(ABS(H235-ROUND(H235,$E$6))&gt;0.00000001,1,0),0),IF(ISNUMBER(I235),IF(ABS(I235-ROUND(I235,$E$6))&gt;0.00000001,1,0),0),IF(ISNUMBER(J235),IF(ABS(J235-ROUND(J235,$E$6))&gt;0.00000001,1,0),0),IF(ISNUMBER(M235),IF(ABS(M235-ROUND(M235,$E$6))&gt;0.00000001,1,0),0))&gt;0,1,0),0)</f>
        <v>0</v>
      </c>
      <c r="AA235" s="0" t="n">
        <f>IF(COUNTA(B235:L235)=0,0,IF(OR(AND(ISNUMBER(F235),F235&lt;0),AND(U235=1,OR(SUM(IF(ISNUMBER(G235),IF(G235=0,1,0),0),IF(ISNUMBER(H235),IF(H235=0,1,0),0),IF(ISNUMBER(I235),IF(I235=0,1,0),0),IF(ISNUMBER(J235),IF(J235=0,1,0),0))&gt;0,COUNTIFS(G235:J235,"&lt;0")&gt;0)),AND(P235="DIMENSIONES",U235=1,OR(AND(S235="m",COUNT(H235:J235)&lt;&gt;1),AND(S235="m²",COUNT(H235:J235)&lt;&gt;2,Y235=0),AND(S235="m³",COUNT(H235:J235)&lt;&gt;3),AND(S235="ud",COUNT(H235:J235)&gt;0))),AND(P235="DIRECTA",OR(S235="m",S235="m²",S235="m³"))),1,0))</f>
        <v>0</v>
      </c>
      <c r="AB235" s="0">
        <f>IF(LEN(TRIM(E235&amp;""))&gt;0,E235,IF(R235&gt;0,INDEX($E$13:$E$512,R235),""))</f>
      </c>
      <c r="AC235" s="0">
        <f>UPPER(SUBSTITUTE(SUBSTITUTE(SUBSTITUTE(SUBSTITUTE(SUBSTITUTE(TRIM(AB235),"²","2"),"³","3"),"^",""),".","")," ",""))</f>
      </c>
    </row>
    <row r="236" ht="35" customHeight="1">
      <c r="B236" s="35"/>
      <c r="C236" s="35"/>
      <c r="D236" s="37"/>
      <c r="E236" s="35"/>
      <c r="F236" s="38"/>
      <c r="G236" s="38"/>
      <c r="H236" s="38"/>
      <c r="I236" s="38"/>
      <c r="J236" s="38"/>
      <c r="K236" s="35"/>
      <c r="L236" s="35"/>
      <c r="M236" s="39">
        <f>IF(U236&lt;&gt;1,"",IF(P236="DIRECTA",G236,IF(ISNUMBER(G236),G236,1)*IF(ISNUMBER(H236),H236,1)*IF(ISNUMBER(I236),I236,1)*IF(ISNUMBER(J236),J236,1)))</f>
      </c>
      <c r="N236" s="30">
        <f>IF(COUNTA(B236:L236)=0,"",IF(X236=0,IF(P236="CABECERA","VERDE · Fila descriptiva; la suma usa las líneas del ID","VERDE · Datos numéricos interpretables"),IF(X236=2,"ROJO · ","ÁMBAR · ")&amp;IF(NOT(IF(ISNUMBER($E$6),AND($E$6&gt;=0,$E$6&lt;=6,$E$6=INT($E$6)),FALSE)),"Indicamos entre 0 y 6 decimales en E6. ","")&amp;IF(O236=0,"Falta un ID numérico. ","")&amp;IF(R236=0,"Faltan capítulo, código, unidad o total numérico del ID. ","")&amp;IF(T236&gt;0,"Los datos o el total del ID se contradicen. ","")&amp;IF(AND(P236&lt;&gt;"DIMENSIONES",P236&lt;&gt;"DIRECTA",P236&lt;&gt;"SIN LÍNEAS",P236&lt;&gt;"CABECERA"),"Tipo de fila no reconocido. ","")&amp;IF(AND(OR(P236="SIN LÍNEAS",P236="CABECERA"),COUNTA(G236:J236)&gt;0),"La fila dice que no mide, pero contiene medidas. ","")&amp;IF(AND(OR(P236="DIRECTA",P236="DIMENSIONES"),U236=0),"Línea incompleta o con medidas no numéricas. ","")&amp;IF(P236="SIN LÍNEAS","No constan medidas de esta fila. ","")&amp;IF(Y236&gt;0,"Parece m³: tres dimensiones bajo m². ","")&amp;IF(AND(AB236&lt;&gt;"",SUMPRODUCT(--('LÉEME'!$B$65:$B$86=AC236))&lt;&gt;1),"Revisamos el significado de la unidad. ","")&amp;IF(Z236&gt;0,"Más precisión que los decimales indicados: cotejamos el original. ","")&amp;IF(AA236&gt;0,"Revisamos dimensiones, cantidad directa, ceros o deducción. ","")))</f>
      </c>
      <c r="O236" s="0" t="n">
        <f>IF(ISNUMBER(K236),IF(AND(K236&gt;0,K236=INT(K236),K236&lt;=999999),K236,0),0)</f>
        <v>0</v>
      </c>
      <c r="P236" s="0">
        <f>IF(COUNTA(B236:L236)=0,"",IF(L236="",IF(COUNTA(G236:J236)&gt;0,"DIMENSIONES","SIN LÍNEAS"),UPPER(TRIM(L236))))</f>
      </c>
      <c r="Q236" s="0">
        <f>IF(AND(O236&gt;0,LEN(TRIM(B236&amp;""))&gt;0,LEN(TRIM(C236&amp;""))&gt;0,LEN(TRIM(E236&amp;""))&gt;0,ISNUMBER(F236)),O236,"")</f>
      </c>
      <c r="R236" s="0" t="n">
        <f>IF(O236=0,0,IF(COUNTIFS($Q$13:$Q$512,O236)&gt;0,MATCH(O236,$Q$13:$Q$512,0),0))</f>
        <v>0</v>
      </c>
      <c r="S236" s="0">
        <f>IF(AB236="","",IF(SUMPRODUCT(--('LÉEME'!$B$65:$B$86=AC236))=1,INDEX('LÉEME'!$C$65:$C$86,MATCH(AC236,'LÉEME'!$B$65:$B$86,0)),UPPER(TRIM(AB236))))</f>
      </c>
      <c r="T236" s="0" t="n">
        <f>IF(R236=0,0,IF(OR(AND(LEN(TRIM(B236&amp;""))&gt;0,UPPER(TRIM(B236&amp;""))&lt;&gt;UPPER(TRIM(INDEX($B$13:$B$512,R236)&amp;""))),AND(LEN(TRIM(C236&amp;""))&gt;0,UPPER(TRIM(C236&amp;""))&lt;&gt;UPPER(TRIM(INDEX($C$13:$C$512,R236)&amp;""))),AND(LEN(TRIM(E236&amp;""))&gt;0,S236&lt;&gt;INDEX($S$13:$S$512,R236)),AND(F236&lt;&gt;"",NOT(ISNUMBER(F236)))),1,IF(ISNUMBER(F236),IF(ABS(F236-INDEX($F$13:$F$512,R236))&gt;0.00000001,1,0),0)))</f>
        <v>0</v>
      </c>
      <c r="U236" s="0" t="n">
        <f>IF(P236="DIRECTA",IF(AND(ISNUMBER(G236),COUNTA(H236:J236)=0),1,0),IF(P236="DIMENSIONES",IF(AND(COUNT(G236:J236)&gt;0,COUNTA(G236:J236)=COUNT(G236:J236)),1,0),0))</f>
        <v>0</v>
      </c>
      <c r="V236" s="0" t="n">
        <f>IF(O236=0,0,IF(COUNTIFS($O$13:O236,O236)=1,1,0))</f>
        <v>0</v>
      </c>
      <c r="W236" s="0">
        <f>IF(V236=1,COUNTIFS($V$13:V236,1),"")</f>
      </c>
      <c r="X236" s="0">
        <f>IF(COUNTA(B236:L236)=0,"",IF(OR(NOT(IF(ISNUMBER($E$6),AND($E$6&gt;=0,$E$6&lt;=6,$E$6=INT($E$6)),FALSE)),O236=0,R236=0,T236&gt;0,AND(P236&lt;&gt;"DIMENSIONES",P236&lt;&gt;"DIRECTA",P236&lt;&gt;"SIN LÍNEAS",P236&lt;&gt;"CABECERA"),AND(OR(P236="DIRECTA",P236="DIMENSIONES"),U236=0),AND(OR(P236="SIN LÍNEAS",P236="CABECERA"),COUNTA(G236:J236)&gt;0)),2,IF(OR(P236="SIN LÍNEAS",Y236&gt;0,Z236&gt;0,AA236&gt;0,SUMPRODUCT(--('LÉEME'!$B$65:$B$86=AC236))&lt;&gt;1),1,0)))</f>
      </c>
      <c r="Y236" s="0" t="n">
        <f>IF(AND(P236="DIMENSIONES",S236="m²",COUNT(H236:J236)=3),1,0)</f>
        <v>0</v>
      </c>
      <c r="Z236" s="0" t="n">
        <f>IF(IF(ISNUMBER($E$6),AND($E$6&gt;=0,$E$6&lt;=6,$E$6=INT($E$6)),FALSE),IF(SUM(IF(ISNUMBER(F236),IF(ABS(F236-ROUND(F236,$E$6))&gt;0.00000001,1,0),0),IF(ISNUMBER(G236),IF(ABS(G236-ROUND(G236,$E$6))&gt;0.00000001,1,0),0),IF(ISNUMBER(H236),IF(ABS(H236-ROUND(H236,$E$6))&gt;0.00000001,1,0),0),IF(ISNUMBER(I236),IF(ABS(I236-ROUND(I236,$E$6))&gt;0.00000001,1,0),0),IF(ISNUMBER(J236),IF(ABS(J236-ROUND(J236,$E$6))&gt;0.00000001,1,0),0),IF(ISNUMBER(M236),IF(ABS(M236-ROUND(M236,$E$6))&gt;0.00000001,1,0),0))&gt;0,1,0),0)</f>
        <v>0</v>
      </c>
      <c r="AA236" s="0" t="n">
        <f>IF(COUNTA(B236:L236)=0,0,IF(OR(AND(ISNUMBER(F236),F236&lt;0),AND(U236=1,OR(SUM(IF(ISNUMBER(G236),IF(G236=0,1,0),0),IF(ISNUMBER(H236),IF(H236=0,1,0),0),IF(ISNUMBER(I236),IF(I236=0,1,0),0),IF(ISNUMBER(J236),IF(J236=0,1,0),0))&gt;0,COUNTIFS(G236:J236,"&lt;0")&gt;0)),AND(P236="DIMENSIONES",U236=1,OR(AND(S236="m",COUNT(H236:J236)&lt;&gt;1),AND(S236="m²",COUNT(H236:J236)&lt;&gt;2,Y236=0),AND(S236="m³",COUNT(H236:J236)&lt;&gt;3),AND(S236="ud",COUNT(H236:J236)&gt;0))),AND(P236="DIRECTA",OR(S236="m",S236="m²",S236="m³"))),1,0))</f>
        <v>0</v>
      </c>
      <c r="AB236" s="0">
        <f>IF(LEN(TRIM(E236&amp;""))&gt;0,E236,IF(R236&gt;0,INDEX($E$13:$E$512,R236),""))</f>
      </c>
      <c r="AC236" s="0">
        <f>UPPER(SUBSTITUTE(SUBSTITUTE(SUBSTITUTE(SUBSTITUTE(SUBSTITUTE(TRIM(AB236),"²","2"),"³","3"),"^",""),".","")," ",""))</f>
      </c>
    </row>
    <row r="237" ht="35" customHeight="1">
      <c r="B237" s="35"/>
      <c r="C237" s="35"/>
      <c r="D237" s="37"/>
      <c r="E237" s="35"/>
      <c r="F237" s="38"/>
      <c r="G237" s="38"/>
      <c r="H237" s="38"/>
      <c r="I237" s="38"/>
      <c r="J237" s="38"/>
      <c r="K237" s="35"/>
      <c r="L237" s="35"/>
      <c r="M237" s="39">
        <f>IF(U237&lt;&gt;1,"",IF(P237="DIRECTA",G237,IF(ISNUMBER(G237),G237,1)*IF(ISNUMBER(H237),H237,1)*IF(ISNUMBER(I237),I237,1)*IF(ISNUMBER(J237),J237,1)))</f>
      </c>
      <c r="N237" s="30">
        <f>IF(COUNTA(B237:L237)=0,"",IF(X237=0,IF(P237="CABECERA","VERDE · Fila descriptiva; la suma usa las líneas del ID","VERDE · Datos numéricos interpretables"),IF(X237=2,"ROJO · ","ÁMBAR · ")&amp;IF(NOT(IF(ISNUMBER($E$6),AND($E$6&gt;=0,$E$6&lt;=6,$E$6=INT($E$6)),FALSE)),"Indicamos entre 0 y 6 decimales en E6. ","")&amp;IF(O237=0,"Falta un ID numérico. ","")&amp;IF(R237=0,"Faltan capítulo, código, unidad o total numérico del ID. ","")&amp;IF(T237&gt;0,"Los datos o el total del ID se contradicen. ","")&amp;IF(AND(P237&lt;&gt;"DIMENSIONES",P237&lt;&gt;"DIRECTA",P237&lt;&gt;"SIN LÍNEAS",P237&lt;&gt;"CABECERA"),"Tipo de fila no reconocido. ","")&amp;IF(AND(OR(P237="SIN LÍNEAS",P237="CABECERA"),COUNTA(G237:J237)&gt;0),"La fila dice que no mide, pero contiene medidas. ","")&amp;IF(AND(OR(P237="DIRECTA",P237="DIMENSIONES"),U237=0),"Línea incompleta o con medidas no numéricas. ","")&amp;IF(P237="SIN LÍNEAS","No constan medidas de esta fila. ","")&amp;IF(Y237&gt;0,"Parece m³: tres dimensiones bajo m². ","")&amp;IF(AND(AB237&lt;&gt;"",SUMPRODUCT(--('LÉEME'!$B$65:$B$86=AC237))&lt;&gt;1),"Revisamos el significado de la unidad. ","")&amp;IF(Z237&gt;0,"Más precisión que los decimales indicados: cotejamos el original. ","")&amp;IF(AA237&gt;0,"Revisamos dimensiones, cantidad directa, ceros o deducción. ","")))</f>
      </c>
      <c r="O237" s="0" t="n">
        <f>IF(ISNUMBER(K237),IF(AND(K237&gt;0,K237=INT(K237),K237&lt;=999999),K237,0),0)</f>
        <v>0</v>
      </c>
      <c r="P237" s="0">
        <f>IF(COUNTA(B237:L237)=0,"",IF(L237="",IF(COUNTA(G237:J237)&gt;0,"DIMENSIONES","SIN LÍNEAS"),UPPER(TRIM(L237))))</f>
      </c>
      <c r="Q237" s="0">
        <f>IF(AND(O237&gt;0,LEN(TRIM(B237&amp;""))&gt;0,LEN(TRIM(C237&amp;""))&gt;0,LEN(TRIM(E237&amp;""))&gt;0,ISNUMBER(F237)),O237,"")</f>
      </c>
      <c r="R237" s="0" t="n">
        <f>IF(O237=0,0,IF(COUNTIFS($Q$13:$Q$512,O237)&gt;0,MATCH(O237,$Q$13:$Q$512,0),0))</f>
        <v>0</v>
      </c>
      <c r="S237" s="0">
        <f>IF(AB237="","",IF(SUMPRODUCT(--('LÉEME'!$B$65:$B$86=AC237))=1,INDEX('LÉEME'!$C$65:$C$86,MATCH(AC237,'LÉEME'!$B$65:$B$86,0)),UPPER(TRIM(AB237))))</f>
      </c>
      <c r="T237" s="0" t="n">
        <f>IF(R237=0,0,IF(OR(AND(LEN(TRIM(B237&amp;""))&gt;0,UPPER(TRIM(B237&amp;""))&lt;&gt;UPPER(TRIM(INDEX($B$13:$B$512,R237)&amp;""))),AND(LEN(TRIM(C237&amp;""))&gt;0,UPPER(TRIM(C237&amp;""))&lt;&gt;UPPER(TRIM(INDEX($C$13:$C$512,R237)&amp;""))),AND(LEN(TRIM(E237&amp;""))&gt;0,S237&lt;&gt;INDEX($S$13:$S$512,R237)),AND(F237&lt;&gt;"",NOT(ISNUMBER(F237)))),1,IF(ISNUMBER(F237),IF(ABS(F237-INDEX($F$13:$F$512,R237))&gt;0.00000001,1,0),0)))</f>
        <v>0</v>
      </c>
      <c r="U237" s="0" t="n">
        <f>IF(P237="DIRECTA",IF(AND(ISNUMBER(G237),COUNTA(H237:J237)=0),1,0),IF(P237="DIMENSIONES",IF(AND(COUNT(G237:J237)&gt;0,COUNTA(G237:J237)=COUNT(G237:J237)),1,0),0))</f>
        <v>0</v>
      </c>
      <c r="V237" s="0" t="n">
        <f>IF(O237=0,0,IF(COUNTIFS($O$13:O237,O237)=1,1,0))</f>
        <v>0</v>
      </c>
      <c r="W237" s="0">
        <f>IF(V237=1,COUNTIFS($V$13:V237,1),"")</f>
      </c>
      <c r="X237" s="0">
        <f>IF(COUNTA(B237:L237)=0,"",IF(OR(NOT(IF(ISNUMBER($E$6),AND($E$6&gt;=0,$E$6&lt;=6,$E$6=INT($E$6)),FALSE)),O237=0,R237=0,T237&gt;0,AND(P237&lt;&gt;"DIMENSIONES",P237&lt;&gt;"DIRECTA",P237&lt;&gt;"SIN LÍNEAS",P237&lt;&gt;"CABECERA"),AND(OR(P237="DIRECTA",P237="DIMENSIONES"),U237=0),AND(OR(P237="SIN LÍNEAS",P237="CABECERA"),COUNTA(G237:J237)&gt;0)),2,IF(OR(P237="SIN LÍNEAS",Y237&gt;0,Z237&gt;0,AA237&gt;0,SUMPRODUCT(--('LÉEME'!$B$65:$B$86=AC237))&lt;&gt;1),1,0)))</f>
      </c>
      <c r="Y237" s="0" t="n">
        <f>IF(AND(P237="DIMENSIONES",S237="m²",COUNT(H237:J237)=3),1,0)</f>
        <v>0</v>
      </c>
      <c r="Z237" s="0" t="n">
        <f>IF(IF(ISNUMBER($E$6),AND($E$6&gt;=0,$E$6&lt;=6,$E$6=INT($E$6)),FALSE),IF(SUM(IF(ISNUMBER(F237),IF(ABS(F237-ROUND(F237,$E$6))&gt;0.00000001,1,0),0),IF(ISNUMBER(G237),IF(ABS(G237-ROUND(G237,$E$6))&gt;0.00000001,1,0),0),IF(ISNUMBER(H237),IF(ABS(H237-ROUND(H237,$E$6))&gt;0.00000001,1,0),0),IF(ISNUMBER(I237),IF(ABS(I237-ROUND(I237,$E$6))&gt;0.00000001,1,0),0),IF(ISNUMBER(J237),IF(ABS(J237-ROUND(J237,$E$6))&gt;0.00000001,1,0),0),IF(ISNUMBER(M237),IF(ABS(M237-ROUND(M237,$E$6))&gt;0.00000001,1,0),0))&gt;0,1,0),0)</f>
        <v>0</v>
      </c>
      <c r="AA237" s="0" t="n">
        <f>IF(COUNTA(B237:L237)=0,0,IF(OR(AND(ISNUMBER(F237),F237&lt;0),AND(U237=1,OR(SUM(IF(ISNUMBER(G237),IF(G237=0,1,0),0),IF(ISNUMBER(H237),IF(H237=0,1,0),0),IF(ISNUMBER(I237),IF(I237=0,1,0),0),IF(ISNUMBER(J237),IF(J237=0,1,0),0))&gt;0,COUNTIFS(G237:J237,"&lt;0")&gt;0)),AND(P237="DIMENSIONES",U237=1,OR(AND(S237="m",COUNT(H237:J237)&lt;&gt;1),AND(S237="m²",COUNT(H237:J237)&lt;&gt;2,Y237=0),AND(S237="m³",COUNT(H237:J237)&lt;&gt;3),AND(S237="ud",COUNT(H237:J237)&gt;0))),AND(P237="DIRECTA",OR(S237="m",S237="m²",S237="m³"))),1,0))</f>
        <v>0</v>
      </c>
      <c r="AB237" s="0">
        <f>IF(LEN(TRIM(E237&amp;""))&gt;0,E237,IF(R237&gt;0,INDEX($E$13:$E$512,R237),""))</f>
      </c>
      <c r="AC237" s="0">
        <f>UPPER(SUBSTITUTE(SUBSTITUTE(SUBSTITUTE(SUBSTITUTE(SUBSTITUTE(TRIM(AB237),"²","2"),"³","3"),"^",""),".","")," ",""))</f>
      </c>
    </row>
    <row r="238" ht="35" customHeight="1">
      <c r="B238" s="35"/>
      <c r="C238" s="35"/>
      <c r="D238" s="37"/>
      <c r="E238" s="35"/>
      <c r="F238" s="38"/>
      <c r="G238" s="38"/>
      <c r="H238" s="38"/>
      <c r="I238" s="38"/>
      <c r="J238" s="38"/>
      <c r="K238" s="35"/>
      <c r="L238" s="35"/>
      <c r="M238" s="39">
        <f>IF(U238&lt;&gt;1,"",IF(P238="DIRECTA",G238,IF(ISNUMBER(G238),G238,1)*IF(ISNUMBER(H238),H238,1)*IF(ISNUMBER(I238),I238,1)*IF(ISNUMBER(J238),J238,1)))</f>
      </c>
      <c r="N238" s="30">
        <f>IF(COUNTA(B238:L238)=0,"",IF(X238=0,IF(P238="CABECERA","VERDE · Fila descriptiva; la suma usa las líneas del ID","VERDE · Datos numéricos interpretables"),IF(X238=2,"ROJO · ","ÁMBAR · ")&amp;IF(NOT(IF(ISNUMBER($E$6),AND($E$6&gt;=0,$E$6&lt;=6,$E$6=INT($E$6)),FALSE)),"Indicamos entre 0 y 6 decimales en E6. ","")&amp;IF(O238=0,"Falta un ID numérico. ","")&amp;IF(R238=0,"Faltan capítulo, código, unidad o total numérico del ID. ","")&amp;IF(T238&gt;0,"Los datos o el total del ID se contradicen. ","")&amp;IF(AND(P238&lt;&gt;"DIMENSIONES",P238&lt;&gt;"DIRECTA",P238&lt;&gt;"SIN LÍNEAS",P238&lt;&gt;"CABECERA"),"Tipo de fila no reconocido. ","")&amp;IF(AND(OR(P238="SIN LÍNEAS",P238="CABECERA"),COUNTA(G238:J238)&gt;0),"La fila dice que no mide, pero contiene medidas. ","")&amp;IF(AND(OR(P238="DIRECTA",P238="DIMENSIONES"),U238=0),"Línea incompleta o con medidas no numéricas. ","")&amp;IF(P238="SIN LÍNEAS","No constan medidas de esta fila. ","")&amp;IF(Y238&gt;0,"Parece m³: tres dimensiones bajo m². ","")&amp;IF(AND(AB238&lt;&gt;"",SUMPRODUCT(--('LÉEME'!$B$65:$B$86=AC238))&lt;&gt;1),"Revisamos el significado de la unidad. ","")&amp;IF(Z238&gt;0,"Más precisión que los decimales indicados: cotejamos el original. ","")&amp;IF(AA238&gt;0,"Revisamos dimensiones, cantidad directa, ceros o deducción. ","")))</f>
      </c>
      <c r="O238" s="0" t="n">
        <f>IF(ISNUMBER(K238),IF(AND(K238&gt;0,K238=INT(K238),K238&lt;=999999),K238,0),0)</f>
        <v>0</v>
      </c>
      <c r="P238" s="0">
        <f>IF(COUNTA(B238:L238)=0,"",IF(L238="",IF(COUNTA(G238:J238)&gt;0,"DIMENSIONES","SIN LÍNEAS"),UPPER(TRIM(L238))))</f>
      </c>
      <c r="Q238" s="0">
        <f>IF(AND(O238&gt;0,LEN(TRIM(B238&amp;""))&gt;0,LEN(TRIM(C238&amp;""))&gt;0,LEN(TRIM(E238&amp;""))&gt;0,ISNUMBER(F238)),O238,"")</f>
      </c>
      <c r="R238" s="0" t="n">
        <f>IF(O238=0,0,IF(COUNTIFS($Q$13:$Q$512,O238)&gt;0,MATCH(O238,$Q$13:$Q$512,0),0))</f>
        <v>0</v>
      </c>
      <c r="S238" s="0">
        <f>IF(AB238="","",IF(SUMPRODUCT(--('LÉEME'!$B$65:$B$86=AC238))=1,INDEX('LÉEME'!$C$65:$C$86,MATCH(AC238,'LÉEME'!$B$65:$B$86,0)),UPPER(TRIM(AB238))))</f>
      </c>
      <c r="T238" s="0" t="n">
        <f>IF(R238=0,0,IF(OR(AND(LEN(TRIM(B238&amp;""))&gt;0,UPPER(TRIM(B238&amp;""))&lt;&gt;UPPER(TRIM(INDEX($B$13:$B$512,R238)&amp;""))),AND(LEN(TRIM(C238&amp;""))&gt;0,UPPER(TRIM(C238&amp;""))&lt;&gt;UPPER(TRIM(INDEX($C$13:$C$512,R238)&amp;""))),AND(LEN(TRIM(E238&amp;""))&gt;0,S238&lt;&gt;INDEX($S$13:$S$512,R238)),AND(F238&lt;&gt;"",NOT(ISNUMBER(F238)))),1,IF(ISNUMBER(F238),IF(ABS(F238-INDEX($F$13:$F$512,R238))&gt;0.00000001,1,0),0)))</f>
        <v>0</v>
      </c>
      <c r="U238" s="0" t="n">
        <f>IF(P238="DIRECTA",IF(AND(ISNUMBER(G238),COUNTA(H238:J238)=0),1,0),IF(P238="DIMENSIONES",IF(AND(COUNT(G238:J238)&gt;0,COUNTA(G238:J238)=COUNT(G238:J238)),1,0),0))</f>
        <v>0</v>
      </c>
      <c r="V238" s="0" t="n">
        <f>IF(O238=0,0,IF(COUNTIFS($O$13:O238,O238)=1,1,0))</f>
        <v>0</v>
      </c>
      <c r="W238" s="0">
        <f>IF(V238=1,COUNTIFS($V$13:V238,1),"")</f>
      </c>
      <c r="X238" s="0">
        <f>IF(COUNTA(B238:L238)=0,"",IF(OR(NOT(IF(ISNUMBER($E$6),AND($E$6&gt;=0,$E$6&lt;=6,$E$6=INT($E$6)),FALSE)),O238=0,R238=0,T238&gt;0,AND(P238&lt;&gt;"DIMENSIONES",P238&lt;&gt;"DIRECTA",P238&lt;&gt;"SIN LÍNEAS",P238&lt;&gt;"CABECERA"),AND(OR(P238="DIRECTA",P238="DIMENSIONES"),U238=0),AND(OR(P238="SIN LÍNEAS",P238="CABECERA"),COUNTA(G238:J238)&gt;0)),2,IF(OR(P238="SIN LÍNEAS",Y238&gt;0,Z238&gt;0,AA238&gt;0,SUMPRODUCT(--('LÉEME'!$B$65:$B$86=AC238))&lt;&gt;1),1,0)))</f>
      </c>
      <c r="Y238" s="0" t="n">
        <f>IF(AND(P238="DIMENSIONES",S238="m²",COUNT(H238:J238)=3),1,0)</f>
        <v>0</v>
      </c>
      <c r="Z238" s="0" t="n">
        <f>IF(IF(ISNUMBER($E$6),AND($E$6&gt;=0,$E$6&lt;=6,$E$6=INT($E$6)),FALSE),IF(SUM(IF(ISNUMBER(F238),IF(ABS(F238-ROUND(F238,$E$6))&gt;0.00000001,1,0),0),IF(ISNUMBER(G238),IF(ABS(G238-ROUND(G238,$E$6))&gt;0.00000001,1,0),0),IF(ISNUMBER(H238),IF(ABS(H238-ROUND(H238,$E$6))&gt;0.00000001,1,0),0),IF(ISNUMBER(I238),IF(ABS(I238-ROUND(I238,$E$6))&gt;0.00000001,1,0),0),IF(ISNUMBER(J238),IF(ABS(J238-ROUND(J238,$E$6))&gt;0.00000001,1,0),0),IF(ISNUMBER(M238),IF(ABS(M238-ROUND(M238,$E$6))&gt;0.00000001,1,0),0))&gt;0,1,0),0)</f>
        <v>0</v>
      </c>
      <c r="AA238" s="0" t="n">
        <f>IF(COUNTA(B238:L238)=0,0,IF(OR(AND(ISNUMBER(F238),F238&lt;0),AND(U238=1,OR(SUM(IF(ISNUMBER(G238),IF(G238=0,1,0),0),IF(ISNUMBER(H238),IF(H238=0,1,0),0),IF(ISNUMBER(I238),IF(I238=0,1,0),0),IF(ISNUMBER(J238),IF(J238=0,1,0),0))&gt;0,COUNTIFS(G238:J238,"&lt;0")&gt;0)),AND(P238="DIMENSIONES",U238=1,OR(AND(S238="m",COUNT(H238:J238)&lt;&gt;1),AND(S238="m²",COUNT(H238:J238)&lt;&gt;2,Y238=0),AND(S238="m³",COUNT(H238:J238)&lt;&gt;3),AND(S238="ud",COUNT(H238:J238)&gt;0))),AND(P238="DIRECTA",OR(S238="m",S238="m²",S238="m³"))),1,0))</f>
        <v>0</v>
      </c>
      <c r="AB238" s="0">
        <f>IF(LEN(TRIM(E238&amp;""))&gt;0,E238,IF(R238&gt;0,INDEX($E$13:$E$512,R238),""))</f>
      </c>
      <c r="AC238" s="0">
        <f>UPPER(SUBSTITUTE(SUBSTITUTE(SUBSTITUTE(SUBSTITUTE(SUBSTITUTE(TRIM(AB238),"²","2"),"³","3"),"^",""),".","")," ",""))</f>
      </c>
    </row>
    <row r="239" ht="35" customHeight="1">
      <c r="B239" s="35"/>
      <c r="C239" s="35"/>
      <c r="D239" s="37"/>
      <c r="E239" s="35"/>
      <c r="F239" s="38"/>
      <c r="G239" s="38"/>
      <c r="H239" s="38"/>
      <c r="I239" s="38"/>
      <c r="J239" s="38"/>
      <c r="K239" s="35"/>
      <c r="L239" s="35"/>
      <c r="M239" s="39">
        <f>IF(U239&lt;&gt;1,"",IF(P239="DIRECTA",G239,IF(ISNUMBER(G239),G239,1)*IF(ISNUMBER(H239),H239,1)*IF(ISNUMBER(I239),I239,1)*IF(ISNUMBER(J239),J239,1)))</f>
      </c>
      <c r="N239" s="30">
        <f>IF(COUNTA(B239:L239)=0,"",IF(X239=0,IF(P239="CABECERA","VERDE · Fila descriptiva; la suma usa las líneas del ID","VERDE · Datos numéricos interpretables"),IF(X239=2,"ROJO · ","ÁMBAR · ")&amp;IF(NOT(IF(ISNUMBER($E$6),AND($E$6&gt;=0,$E$6&lt;=6,$E$6=INT($E$6)),FALSE)),"Indicamos entre 0 y 6 decimales en E6. ","")&amp;IF(O239=0,"Falta un ID numérico. ","")&amp;IF(R239=0,"Faltan capítulo, código, unidad o total numérico del ID. ","")&amp;IF(T239&gt;0,"Los datos o el total del ID se contradicen. ","")&amp;IF(AND(P239&lt;&gt;"DIMENSIONES",P239&lt;&gt;"DIRECTA",P239&lt;&gt;"SIN LÍNEAS",P239&lt;&gt;"CABECERA"),"Tipo de fila no reconocido. ","")&amp;IF(AND(OR(P239="SIN LÍNEAS",P239="CABECERA"),COUNTA(G239:J239)&gt;0),"La fila dice que no mide, pero contiene medidas. ","")&amp;IF(AND(OR(P239="DIRECTA",P239="DIMENSIONES"),U239=0),"Línea incompleta o con medidas no numéricas. ","")&amp;IF(P239="SIN LÍNEAS","No constan medidas de esta fila. ","")&amp;IF(Y239&gt;0,"Parece m³: tres dimensiones bajo m². ","")&amp;IF(AND(AB239&lt;&gt;"",SUMPRODUCT(--('LÉEME'!$B$65:$B$86=AC239))&lt;&gt;1),"Revisamos el significado de la unidad. ","")&amp;IF(Z239&gt;0,"Más precisión que los decimales indicados: cotejamos el original. ","")&amp;IF(AA239&gt;0,"Revisamos dimensiones, cantidad directa, ceros o deducción. ","")))</f>
      </c>
      <c r="O239" s="0" t="n">
        <f>IF(ISNUMBER(K239),IF(AND(K239&gt;0,K239=INT(K239),K239&lt;=999999),K239,0),0)</f>
        <v>0</v>
      </c>
      <c r="P239" s="0">
        <f>IF(COUNTA(B239:L239)=0,"",IF(L239="",IF(COUNTA(G239:J239)&gt;0,"DIMENSIONES","SIN LÍNEAS"),UPPER(TRIM(L239))))</f>
      </c>
      <c r="Q239" s="0">
        <f>IF(AND(O239&gt;0,LEN(TRIM(B239&amp;""))&gt;0,LEN(TRIM(C239&amp;""))&gt;0,LEN(TRIM(E239&amp;""))&gt;0,ISNUMBER(F239)),O239,"")</f>
      </c>
      <c r="R239" s="0" t="n">
        <f>IF(O239=0,0,IF(COUNTIFS($Q$13:$Q$512,O239)&gt;0,MATCH(O239,$Q$13:$Q$512,0),0))</f>
        <v>0</v>
      </c>
      <c r="S239" s="0">
        <f>IF(AB239="","",IF(SUMPRODUCT(--('LÉEME'!$B$65:$B$86=AC239))=1,INDEX('LÉEME'!$C$65:$C$86,MATCH(AC239,'LÉEME'!$B$65:$B$86,0)),UPPER(TRIM(AB239))))</f>
      </c>
      <c r="T239" s="0" t="n">
        <f>IF(R239=0,0,IF(OR(AND(LEN(TRIM(B239&amp;""))&gt;0,UPPER(TRIM(B239&amp;""))&lt;&gt;UPPER(TRIM(INDEX($B$13:$B$512,R239)&amp;""))),AND(LEN(TRIM(C239&amp;""))&gt;0,UPPER(TRIM(C239&amp;""))&lt;&gt;UPPER(TRIM(INDEX($C$13:$C$512,R239)&amp;""))),AND(LEN(TRIM(E239&amp;""))&gt;0,S239&lt;&gt;INDEX($S$13:$S$512,R239)),AND(F239&lt;&gt;"",NOT(ISNUMBER(F239)))),1,IF(ISNUMBER(F239),IF(ABS(F239-INDEX($F$13:$F$512,R239))&gt;0.00000001,1,0),0)))</f>
        <v>0</v>
      </c>
      <c r="U239" s="0" t="n">
        <f>IF(P239="DIRECTA",IF(AND(ISNUMBER(G239),COUNTA(H239:J239)=0),1,0),IF(P239="DIMENSIONES",IF(AND(COUNT(G239:J239)&gt;0,COUNTA(G239:J239)=COUNT(G239:J239)),1,0),0))</f>
        <v>0</v>
      </c>
      <c r="V239" s="0" t="n">
        <f>IF(O239=0,0,IF(COUNTIFS($O$13:O239,O239)=1,1,0))</f>
        <v>0</v>
      </c>
      <c r="W239" s="0">
        <f>IF(V239=1,COUNTIFS($V$13:V239,1),"")</f>
      </c>
      <c r="X239" s="0">
        <f>IF(COUNTA(B239:L239)=0,"",IF(OR(NOT(IF(ISNUMBER($E$6),AND($E$6&gt;=0,$E$6&lt;=6,$E$6=INT($E$6)),FALSE)),O239=0,R239=0,T239&gt;0,AND(P239&lt;&gt;"DIMENSIONES",P239&lt;&gt;"DIRECTA",P239&lt;&gt;"SIN LÍNEAS",P239&lt;&gt;"CABECERA"),AND(OR(P239="DIRECTA",P239="DIMENSIONES"),U239=0),AND(OR(P239="SIN LÍNEAS",P239="CABECERA"),COUNTA(G239:J239)&gt;0)),2,IF(OR(P239="SIN LÍNEAS",Y239&gt;0,Z239&gt;0,AA239&gt;0,SUMPRODUCT(--('LÉEME'!$B$65:$B$86=AC239))&lt;&gt;1),1,0)))</f>
      </c>
      <c r="Y239" s="0" t="n">
        <f>IF(AND(P239="DIMENSIONES",S239="m²",COUNT(H239:J239)=3),1,0)</f>
        <v>0</v>
      </c>
      <c r="Z239" s="0" t="n">
        <f>IF(IF(ISNUMBER($E$6),AND($E$6&gt;=0,$E$6&lt;=6,$E$6=INT($E$6)),FALSE),IF(SUM(IF(ISNUMBER(F239),IF(ABS(F239-ROUND(F239,$E$6))&gt;0.00000001,1,0),0),IF(ISNUMBER(G239),IF(ABS(G239-ROUND(G239,$E$6))&gt;0.00000001,1,0),0),IF(ISNUMBER(H239),IF(ABS(H239-ROUND(H239,$E$6))&gt;0.00000001,1,0),0),IF(ISNUMBER(I239),IF(ABS(I239-ROUND(I239,$E$6))&gt;0.00000001,1,0),0),IF(ISNUMBER(J239),IF(ABS(J239-ROUND(J239,$E$6))&gt;0.00000001,1,0),0),IF(ISNUMBER(M239),IF(ABS(M239-ROUND(M239,$E$6))&gt;0.00000001,1,0),0))&gt;0,1,0),0)</f>
        <v>0</v>
      </c>
      <c r="AA239" s="0" t="n">
        <f>IF(COUNTA(B239:L239)=0,0,IF(OR(AND(ISNUMBER(F239),F239&lt;0),AND(U239=1,OR(SUM(IF(ISNUMBER(G239),IF(G239=0,1,0),0),IF(ISNUMBER(H239),IF(H239=0,1,0),0),IF(ISNUMBER(I239),IF(I239=0,1,0),0),IF(ISNUMBER(J239),IF(J239=0,1,0),0))&gt;0,COUNTIFS(G239:J239,"&lt;0")&gt;0)),AND(P239="DIMENSIONES",U239=1,OR(AND(S239="m",COUNT(H239:J239)&lt;&gt;1),AND(S239="m²",COUNT(H239:J239)&lt;&gt;2,Y239=0),AND(S239="m³",COUNT(H239:J239)&lt;&gt;3),AND(S239="ud",COUNT(H239:J239)&gt;0))),AND(P239="DIRECTA",OR(S239="m",S239="m²",S239="m³"))),1,0))</f>
        <v>0</v>
      </c>
      <c r="AB239" s="0">
        <f>IF(LEN(TRIM(E239&amp;""))&gt;0,E239,IF(R239&gt;0,INDEX($E$13:$E$512,R239),""))</f>
      </c>
      <c r="AC239" s="0">
        <f>UPPER(SUBSTITUTE(SUBSTITUTE(SUBSTITUTE(SUBSTITUTE(SUBSTITUTE(TRIM(AB239),"²","2"),"³","3"),"^",""),".","")," ",""))</f>
      </c>
    </row>
    <row r="240" ht="35" customHeight="1">
      <c r="B240" s="35"/>
      <c r="C240" s="35"/>
      <c r="D240" s="37"/>
      <c r="E240" s="35"/>
      <c r="F240" s="38"/>
      <c r="G240" s="38"/>
      <c r="H240" s="38"/>
      <c r="I240" s="38"/>
      <c r="J240" s="38"/>
      <c r="K240" s="35"/>
      <c r="L240" s="35"/>
      <c r="M240" s="39">
        <f>IF(U240&lt;&gt;1,"",IF(P240="DIRECTA",G240,IF(ISNUMBER(G240),G240,1)*IF(ISNUMBER(H240),H240,1)*IF(ISNUMBER(I240),I240,1)*IF(ISNUMBER(J240),J240,1)))</f>
      </c>
      <c r="N240" s="30">
        <f>IF(COUNTA(B240:L240)=0,"",IF(X240=0,IF(P240="CABECERA","VERDE · Fila descriptiva; la suma usa las líneas del ID","VERDE · Datos numéricos interpretables"),IF(X240=2,"ROJO · ","ÁMBAR · ")&amp;IF(NOT(IF(ISNUMBER($E$6),AND($E$6&gt;=0,$E$6&lt;=6,$E$6=INT($E$6)),FALSE)),"Indicamos entre 0 y 6 decimales en E6. ","")&amp;IF(O240=0,"Falta un ID numérico. ","")&amp;IF(R240=0,"Faltan capítulo, código, unidad o total numérico del ID. ","")&amp;IF(T240&gt;0,"Los datos o el total del ID se contradicen. ","")&amp;IF(AND(P240&lt;&gt;"DIMENSIONES",P240&lt;&gt;"DIRECTA",P240&lt;&gt;"SIN LÍNEAS",P240&lt;&gt;"CABECERA"),"Tipo de fila no reconocido. ","")&amp;IF(AND(OR(P240="SIN LÍNEAS",P240="CABECERA"),COUNTA(G240:J240)&gt;0),"La fila dice que no mide, pero contiene medidas. ","")&amp;IF(AND(OR(P240="DIRECTA",P240="DIMENSIONES"),U240=0),"Línea incompleta o con medidas no numéricas. ","")&amp;IF(P240="SIN LÍNEAS","No constan medidas de esta fila. ","")&amp;IF(Y240&gt;0,"Parece m³: tres dimensiones bajo m². ","")&amp;IF(AND(AB240&lt;&gt;"",SUMPRODUCT(--('LÉEME'!$B$65:$B$86=AC240))&lt;&gt;1),"Revisamos el significado de la unidad. ","")&amp;IF(Z240&gt;0,"Más precisión que los decimales indicados: cotejamos el original. ","")&amp;IF(AA240&gt;0,"Revisamos dimensiones, cantidad directa, ceros o deducción. ","")))</f>
      </c>
      <c r="O240" s="0" t="n">
        <f>IF(ISNUMBER(K240),IF(AND(K240&gt;0,K240=INT(K240),K240&lt;=999999),K240,0),0)</f>
        <v>0</v>
      </c>
      <c r="P240" s="0">
        <f>IF(COUNTA(B240:L240)=0,"",IF(L240="",IF(COUNTA(G240:J240)&gt;0,"DIMENSIONES","SIN LÍNEAS"),UPPER(TRIM(L240))))</f>
      </c>
      <c r="Q240" s="0">
        <f>IF(AND(O240&gt;0,LEN(TRIM(B240&amp;""))&gt;0,LEN(TRIM(C240&amp;""))&gt;0,LEN(TRIM(E240&amp;""))&gt;0,ISNUMBER(F240)),O240,"")</f>
      </c>
      <c r="R240" s="0" t="n">
        <f>IF(O240=0,0,IF(COUNTIFS($Q$13:$Q$512,O240)&gt;0,MATCH(O240,$Q$13:$Q$512,0),0))</f>
        <v>0</v>
      </c>
      <c r="S240" s="0">
        <f>IF(AB240="","",IF(SUMPRODUCT(--('LÉEME'!$B$65:$B$86=AC240))=1,INDEX('LÉEME'!$C$65:$C$86,MATCH(AC240,'LÉEME'!$B$65:$B$86,0)),UPPER(TRIM(AB240))))</f>
      </c>
      <c r="T240" s="0" t="n">
        <f>IF(R240=0,0,IF(OR(AND(LEN(TRIM(B240&amp;""))&gt;0,UPPER(TRIM(B240&amp;""))&lt;&gt;UPPER(TRIM(INDEX($B$13:$B$512,R240)&amp;""))),AND(LEN(TRIM(C240&amp;""))&gt;0,UPPER(TRIM(C240&amp;""))&lt;&gt;UPPER(TRIM(INDEX($C$13:$C$512,R240)&amp;""))),AND(LEN(TRIM(E240&amp;""))&gt;0,S240&lt;&gt;INDEX($S$13:$S$512,R240)),AND(F240&lt;&gt;"",NOT(ISNUMBER(F240)))),1,IF(ISNUMBER(F240),IF(ABS(F240-INDEX($F$13:$F$512,R240))&gt;0.00000001,1,0),0)))</f>
        <v>0</v>
      </c>
      <c r="U240" s="0" t="n">
        <f>IF(P240="DIRECTA",IF(AND(ISNUMBER(G240),COUNTA(H240:J240)=0),1,0),IF(P240="DIMENSIONES",IF(AND(COUNT(G240:J240)&gt;0,COUNTA(G240:J240)=COUNT(G240:J240)),1,0),0))</f>
        <v>0</v>
      </c>
      <c r="V240" s="0" t="n">
        <f>IF(O240=0,0,IF(COUNTIFS($O$13:O240,O240)=1,1,0))</f>
        <v>0</v>
      </c>
      <c r="W240" s="0">
        <f>IF(V240=1,COUNTIFS($V$13:V240,1),"")</f>
      </c>
      <c r="X240" s="0">
        <f>IF(COUNTA(B240:L240)=0,"",IF(OR(NOT(IF(ISNUMBER($E$6),AND($E$6&gt;=0,$E$6&lt;=6,$E$6=INT($E$6)),FALSE)),O240=0,R240=0,T240&gt;0,AND(P240&lt;&gt;"DIMENSIONES",P240&lt;&gt;"DIRECTA",P240&lt;&gt;"SIN LÍNEAS",P240&lt;&gt;"CABECERA"),AND(OR(P240="DIRECTA",P240="DIMENSIONES"),U240=0),AND(OR(P240="SIN LÍNEAS",P240="CABECERA"),COUNTA(G240:J240)&gt;0)),2,IF(OR(P240="SIN LÍNEAS",Y240&gt;0,Z240&gt;0,AA240&gt;0,SUMPRODUCT(--('LÉEME'!$B$65:$B$86=AC240))&lt;&gt;1),1,0)))</f>
      </c>
      <c r="Y240" s="0" t="n">
        <f>IF(AND(P240="DIMENSIONES",S240="m²",COUNT(H240:J240)=3),1,0)</f>
        <v>0</v>
      </c>
      <c r="Z240" s="0" t="n">
        <f>IF(IF(ISNUMBER($E$6),AND($E$6&gt;=0,$E$6&lt;=6,$E$6=INT($E$6)),FALSE),IF(SUM(IF(ISNUMBER(F240),IF(ABS(F240-ROUND(F240,$E$6))&gt;0.00000001,1,0),0),IF(ISNUMBER(G240),IF(ABS(G240-ROUND(G240,$E$6))&gt;0.00000001,1,0),0),IF(ISNUMBER(H240),IF(ABS(H240-ROUND(H240,$E$6))&gt;0.00000001,1,0),0),IF(ISNUMBER(I240),IF(ABS(I240-ROUND(I240,$E$6))&gt;0.00000001,1,0),0),IF(ISNUMBER(J240),IF(ABS(J240-ROUND(J240,$E$6))&gt;0.00000001,1,0),0),IF(ISNUMBER(M240),IF(ABS(M240-ROUND(M240,$E$6))&gt;0.00000001,1,0),0))&gt;0,1,0),0)</f>
        <v>0</v>
      </c>
      <c r="AA240" s="0" t="n">
        <f>IF(COUNTA(B240:L240)=0,0,IF(OR(AND(ISNUMBER(F240),F240&lt;0),AND(U240=1,OR(SUM(IF(ISNUMBER(G240),IF(G240=0,1,0),0),IF(ISNUMBER(H240),IF(H240=0,1,0),0),IF(ISNUMBER(I240),IF(I240=0,1,0),0),IF(ISNUMBER(J240),IF(J240=0,1,0),0))&gt;0,COUNTIFS(G240:J240,"&lt;0")&gt;0)),AND(P240="DIMENSIONES",U240=1,OR(AND(S240="m",COUNT(H240:J240)&lt;&gt;1),AND(S240="m²",COUNT(H240:J240)&lt;&gt;2,Y240=0),AND(S240="m³",COUNT(H240:J240)&lt;&gt;3),AND(S240="ud",COUNT(H240:J240)&gt;0))),AND(P240="DIRECTA",OR(S240="m",S240="m²",S240="m³"))),1,0))</f>
        <v>0</v>
      </c>
      <c r="AB240" s="0">
        <f>IF(LEN(TRIM(E240&amp;""))&gt;0,E240,IF(R240&gt;0,INDEX($E$13:$E$512,R240),""))</f>
      </c>
      <c r="AC240" s="0">
        <f>UPPER(SUBSTITUTE(SUBSTITUTE(SUBSTITUTE(SUBSTITUTE(SUBSTITUTE(TRIM(AB240),"²","2"),"³","3"),"^",""),".","")," ",""))</f>
      </c>
    </row>
    <row r="241" ht="35" customHeight="1">
      <c r="B241" s="35"/>
      <c r="C241" s="35"/>
      <c r="D241" s="37"/>
      <c r="E241" s="35"/>
      <c r="F241" s="38"/>
      <c r="G241" s="38"/>
      <c r="H241" s="38"/>
      <c r="I241" s="38"/>
      <c r="J241" s="38"/>
      <c r="K241" s="35"/>
      <c r="L241" s="35"/>
      <c r="M241" s="39">
        <f>IF(U241&lt;&gt;1,"",IF(P241="DIRECTA",G241,IF(ISNUMBER(G241),G241,1)*IF(ISNUMBER(H241),H241,1)*IF(ISNUMBER(I241),I241,1)*IF(ISNUMBER(J241),J241,1)))</f>
      </c>
      <c r="N241" s="30">
        <f>IF(COUNTA(B241:L241)=0,"",IF(X241=0,IF(P241="CABECERA","VERDE · Fila descriptiva; la suma usa las líneas del ID","VERDE · Datos numéricos interpretables"),IF(X241=2,"ROJO · ","ÁMBAR · ")&amp;IF(NOT(IF(ISNUMBER($E$6),AND($E$6&gt;=0,$E$6&lt;=6,$E$6=INT($E$6)),FALSE)),"Indicamos entre 0 y 6 decimales en E6. ","")&amp;IF(O241=0,"Falta un ID numérico. ","")&amp;IF(R241=0,"Faltan capítulo, código, unidad o total numérico del ID. ","")&amp;IF(T241&gt;0,"Los datos o el total del ID se contradicen. ","")&amp;IF(AND(P241&lt;&gt;"DIMENSIONES",P241&lt;&gt;"DIRECTA",P241&lt;&gt;"SIN LÍNEAS",P241&lt;&gt;"CABECERA"),"Tipo de fila no reconocido. ","")&amp;IF(AND(OR(P241="SIN LÍNEAS",P241="CABECERA"),COUNTA(G241:J241)&gt;0),"La fila dice que no mide, pero contiene medidas. ","")&amp;IF(AND(OR(P241="DIRECTA",P241="DIMENSIONES"),U241=0),"Línea incompleta o con medidas no numéricas. ","")&amp;IF(P241="SIN LÍNEAS","No constan medidas de esta fila. ","")&amp;IF(Y241&gt;0,"Parece m³: tres dimensiones bajo m². ","")&amp;IF(AND(AB241&lt;&gt;"",SUMPRODUCT(--('LÉEME'!$B$65:$B$86=AC241))&lt;&gt;1),"Revisamos el significado de la unidad. ","")&amp;IF(Z241&gt;0,"Más precisión que los decimales indicados: cotejamos el original. ","")&amp;IF(AA241&gt;0,"Revisamos dimensiones, cantidad directa, ceros o deducción. ","")))</f>
      </c>
      <c r="O241" s="0" t="n">
        <f>IF(ISNUMBER(K241),IF(AND(K241&gt;0,K241=INT(K241),K241&lt;=999999),K241,0),0)</f>
        <v>0</v>
      </c>
      <c r="P241" s="0">
        <f>IF(COUNTA(B241:L241)=0,"",IF(L241="",IF(COUNTA(G241:J241)&gt;0,"DIMENSIONES","SIN LÍNEAS"),UPPER(TRIM(L241))))</f>
      </c>
      <c r="Q241" s="0">
        <f>IF(AND(O241&gt;0,LEN(TRIM(B241&amp;""))&gt;0,LEN(TRIM(C241&amp;""))&gt;0,LEN(TRIM(E241&amp;""))&gt;0,ISNUMBER(F241)),O241,"")</f>
      </c>
      <c r="R241" s="0" t="n">
        <f>IF(O241=0,0,IF(COUNTIFS($Q$13:$Q$512,O241)&gt;0,MATCH(O241,$Q$13:$Q$512,0),0))</f>
        <v>0</v>
      </c>
      <c r="S241" s="0">
        <f>IF(AB241="","",IF(SUMPRODUCT(--('LÉEME'!$B$65:$B$86=AC241))=1,INDEX('LÉEME'!$C$65:$C$86,MATCH(AC241,'LÉEME'!$B$65:$B$86,0)),UPPER(TRIM(AB241))))</f>
      </c>
      <c r="T241" s="0" t="n">
        <f>IF(R241=0,0,IF(OR(AND(LEN(TRIM(B241&amp;""))&gt;0,UPPER(TRIM(B241&amp;""))&lt;&gt;UPPER(TRIM(INDEX($B$13:$B$512,R241)&amp;""))),AND(LEN(TRIM(C241&amp;""))&gt;0,UPPER(TRIM(C241&amp;""))&lt;&gt;UPPER(TRIM(INDEX($C$13:$C$512,R241)&amp;""))),AND(LEN(TRIM(E241&amp;""))&gt;0,S241&lt;&gt;INDEX($S$13:$S$512,R241)),AND(F241&lt;&gt;"",NOT(ISNUMBER(F241)))),1,IF(ISNUMBER(F241),IF(ABS(F241-INDEX($F$13:$F$512,R241))&gt;0.00000001,1,0),0)))</f>
        <v>0</v>
      </c>
      <c r="U241" s="0" t="n">
        <f>IF(P241="DIRECTA",IF(AND(ISNUMBER(G241),COUNTA(H241:J241)=0),1,0),IF(P241="DIMENSIONES",IF(AND(COUNT(G241:J241)&gt;0,COUNTA(G241:J241)=COUNT(G241:J241)),1,0),0))</f>
        <v>0</v>
      </c>
      <c r="V241" s="0" t="n">
        <f>IF(O241=0,0,IF(COUNTIFS($O$13:O241,O241)=1,1,0))</f>
        <v>0</v>
      </c>
      <c r="W241" s="0">
        <f>IF(V241=1,COUNTIFS($V$13:V241,1),"")</f>
      </c>
      <c r="X241" s="0">
        <f>IF(COUNTA(B241:L241)=0,"",IF(OR(NOT(IF(ISNUMBER($E$6),AND($E$6&gt;=0,$E$6&lt;=6,$E$6=INT($E$6)),FALSE)),O241=0,R241=0,T241&gt;0,AND(P241&lt;&gt;"DIMENSIONES",P241&lt;&gt;"DIRECTA",P241&lt;&gt;"SIN LÍNEAS",P241&lt;&gt;"CABECERA"),AND(OR(P241="DIRECTA",P241="DIMENSIONES"),U241=0),AND(OR(P241="SIN LÍNEAS",P241="CABECERA"),COUNTA(G241:J241)&gt;0)),2,IF(OR(P241="SIN LÍNEAS",Y241&gt;0,Z241&gt;0,AA241&gt;0,SUMPRODUCT(--('LÉEME'!$B$65:$B$86=AC241))&lt;&gt;1),1,0)))</f>
      </c>
      <c r="Y241" s="0" t="n">
        <f>IF(AND(P241="DIMENSIONES",S241="m²",COUNT(H241:J241)=3),1,0)</f>
        <v>0</v>
      </c>
      <c r="Z241" s="0" t="n">
        <f>IF(IF(ISNUMBER($E$6),AND($E$6&gt;=0,$E$6&lt;=6,$E$6=INT($E$6)),FALSE),IF(SUM(IF(ISNUMBER(F241),IF(ABS(F241-ROUND(F241,$E$6))&gt;0.00000001,1,0),0),IF(ISNUMBER(G241),IF(ABS(G241-ROUND(G241,$E$6))&gt;0.00000001,1,0),0),IF(ISNUMBER(H241),IF(ABS(H241-ROUND(H241,$E$6))&gt;0.00000001,1,0),0),IF(ISNUMBER(I241),IF(ABS(I241-ROUND(I241,$E$6))&gt;0.00000001,1,0),0),IF(ISNUMBER(J241),IF(ABS(J241-ROUND(J241,$E$6))&gt;0.00000001,1,0),0),IF(ISNUMBER(M241),IF(ABS(M241-ROUND(M241,$E$6))&gt;0.00000001,1,0),0))&gt;0,1,0),0)</f>
        <v>0</v>
      </c>
      <c r="AA241" s="0" t="n">
        <f>IF(COUNTA(B241:L241)=0,0,IF(OR(AND(ISNUMBER(F241),F241&lt;0),AND(U241=1,OR(SUM(IF(ISNUMBER(G241),IF(G241=0,1,0),0),IF(ISNUMBER(H241),IF(H241=0,1,0),0),IF(ISNUMBER(I241),IF(I241=0,1,0),0),IF(ISNUMBER(J241),IF(J241=0,1,0),0))&gt;0,COUNTIFS(G241:J241,"&lt;0")&gt;0)),AND(P241="DIMENSIONES",U241=1,OR(AND(S241="m",COUNT(H241:J241)&lt;&gt;1),AND(S241="m²",COUNT(H241:J241)&lt;&gt;2,Y241=0),AND(S241="m³",COUNT(H241:J241)&lt;&gt;3),AND(S241="ud",COUNT(H241:J241)&gt;0))),AND(P241="DIRECTA",OR(S241="m",S241="m²",S241="m³"))),1,0))</f>
        <v>0</v>
      </c>
      <c r="AB241" s="0">
        <f>IF(LEN(TRIM(E241&amp;""))&gt;0,E241,IF(R241&gt;0,INDEX($E$13:$E$512,R241),""))</f>
      </c>
      <c r="AC241" s="0">
        <f>UPPER(SUBSTITUTE(SUBSTITUTE(SUBSTITUTE(SUBSTITUTE(SUBSTITUTE(TRIM(AB241),"²","2"),"³","3"),"^",""),".","")," ",""))</f>
      </c>
    </row>
    <row r="242" ht="35" customHeight="1">
      <c r="B242" s="35"/>
      <c r="C242" s="35"/>
      <c r="D242" s="37"/>
      <c r="E242" s="35"/>
      <c r="F242" s="38"/>
      <c r="G242" s="38"/>
      <c r="H242" s="38"/>
      <c r="I242" s="38"/>
      <c r="J242" s="38"/>
      <c r="K242" s="35"/>
      <c r="L242" s="35"/>
      <c r="M242" s="39">
        <f>IF(U242&lt;&gt;1,"",IF(P242="DIRECTA",G242,IF(ISNUMBER(G242),G242,1)*IF(ISNUMBER(H242),H242,1)*IF(ISNUMBER(I242),I242,1)*IF(ISNUMBER(J242),J242,1)))</f>
      </c>
      <c r="N242" s="30">
        <f>IF(COUNTA(B242:L242)=0,"",IF(X242=0,IF(P242="CABECERA","VERDE · Fila descriptiva; la suma usa las líneas del ID","VERDE · Datos numéricos interpretables"),IF(X242=2,"ROJO · ","ÁMBAR · ")&amp;IF(NOT(IF(ISNUMBER($E$6),AND($E$6&gt;=0,$E$6&lt;=6,$E$6=INT($E$6)),FALSE)),"Indicamos entre 0 y 6 decimales en E6. ","")&amp;IF(O242=0,"Falta un ID numérico. ","")&amp;IF(R242=0,"Faltan capítulo, código, unidad o total numérico del ID. ","")&amp;IF(T242&gt;0,"Los datos o el total del ID se contradicen. ","")&amp;IF(AND(P242&lt;&gt;"DIMENSIONES",P242&lt;&gt;"DIRECTA",P242&lt;&gt;"SIN LÍNEAS",P242&lt;&gt;"CABECERA"),"Tipo de fila no reconocido. ","")&amp;IF(AND(OR(P242="SIN LÍNEAS",P242="CABECERA"),COUNTA(G242:J242)&gt;0),"La fila dice que no mide, pero contiene medidas. ","")&amp;IF(AND(OR(P242="DIRECTA",P242="DIMENSIONES"),U242=0),"Línea incompleta o con medidas no numéricas. ","")&amp;IF(P242="SIN LÍNEAS","No constan medidas de esta fila. ","")&amp;IF(Y242&gt;0,"Parece m³: tres dimensiones bajo m². ","")&amp;IF(AND(AB242&lt;&gt;"",SUMPRODUCT(--('LÉEME'!$B$65:$B$86=AC242))&lt;&gt;1),"Revisamos el significado de la unidad. ","")&amp;IF(Z242&gt;0,"Más precisión que los decimales indicados: cotejamos el original. ","")&amp;IF(AA242&gt;0,"Revisamos dimensiones, cantidad directa, ceros o deducción. ","")))</f>
      </c>
      <c r="O242" s="0" t="n">
        <f>IF(ISNUMBER(K242),IF(AND(K242&gt;0,K242=INT(K242),K242&lt;=999999),K242,0),0)</f>
        <v>0</v>
      </c>
      <c r="P242" s="0">
        <f>IF(COUNTA(B242:L242)=0,"",IF(L242="",IF(COUNTA(G242:J242)&gt;0,"DIMENSIONES","SIN LÍNEAS"),UPPER(TRIM(L242))))</f>
      </c>
      <c r="Q242" s="0">
        <f>IF(AND(O242&gt;0,LEN(TRIM(B242&amp;""))&gt;0,LEN(TRIM(C242&amp;""))&gt;0,LEN(TRIM(E242&amp;""))&gt;0,ISNUMBER(F242)),O242,"")</f>
      </c>
      <c r="R242" s="0" t="n">
        <f>IF(O242=0,0,IF(COUNTIFS($Q$13:$Q$512,O242)&gt;0,MATCH(O242,$Q$13:$Q$512,0),0))</f>
        <v>0</v>
      </c>
      <c r="S242" s="0">
        <f>IF(AB242="","",IF(SUMPRODUCT(--('LÉEME'!$B$65:$B$86=AC242))=1,INDEX('LÉEME'!$C$65:$C$86,MATCH(AC242,'LÉEME'!$B$65:$B$86,0)),UPPER(TRIM(AB242))))</f>
      </c>
      <c r="T242" s="0" t="n">
        <f>IF(R242=0,0,IF(OR(AND(LEN(TRIM(B242&amp;""))&gt;0,UPPER(TRIM(B242&amp;""))&lt;&gt;UPPER(TRIM(INDEX($B$13:$B$512,R242)&amp;""))),AND(LEN(TRIM(C242&amp;""))&gt;0,UPPER(TRIM(C242&amp;""))&lt;&gt;UPPER(TRIM(INDEX($C$13:$C$512,R242)&amp;""))),AND(LEN(TRIM(E242&amp;""))&gt;0,S242&lt;&gt;INDEX($S$13:$S$512,R242)),AND(F242&lt;&gt;"",NOT(ISNUMBER(F242)))),1,IF(ISNUMBER(F242),IF(ABS(F242-INDEX($F$13:$F$512,R242))&gt;0.00000001,1,0),0)))</f>
        <v>0</v>
      </c>
      <c r="U242" s="0" t="n">
        <f>IF(P242="DIRECTA",IF(AND(ISNUMBER(G242),COUNTA(H242:J242)=0),1,0),IF(P242="DIMENSIONES",IF(AND(COUNT(G242:J242)&gt;0,COUNTA(G242:J242)=COUNT(G242:J242)),1,0),0))</f>
        <v>0</v>
      </c>
      <c r="V242" s="0" t="n">
        <f>IF(O242=0,0,IF(COUNTIFS($O$13:O242,O242)=1,1,0))</f>
        <v>0</v>
      </c>
      <c r="W242" s="0">
        <f>IF(V242=1,COUNTIFS($V$13:V242,1),"")</f>
      </c>
      <c r="X242" s="0">
        <f>IF(COUNTA(B242:L242)=0,"",IF(OR(NOT(IF(ISNUMBER($E$6),AND($E$6&gt;=0,$E$6&lt;=6,$E$6=INT($E$6)),FALSE)),O242=0,R242=0,T242&gt;0,AND(P242&lt;&gt;"DIMENSIONES",P242&lt;&gt;"DIRECTA",P242&lt;&gt;"SIN LÍNEAS",P242&lt;&gt;"CABECERA"),AND(OR(P242="DIRECTA",P242="DIMENSIONES"),U242=0),AND(OR(P242="SIN LÍNEAS",P242="CABECERA"),COUNTA(G242:J242)&gt;0)),2,IF(OR(P242="SIN LÍNEAS",Y242&gt;0,Z242&gt;0,AA242&gt;0,SUMPRODUCT(--('LÉEME'!$B$65:$B$86=AC242))&lt;&gt;1),1,0)))</f>
      </c>
      <c r="Y242" s="0" t="n">
        <f>IF(AND(P242="DIMENSIONES",S242="m²",COUNT(H242:J242)=3),1,0)</f>
        <v>0</v>
      </c>
      <c r="Z242" s="0" t="n">
        <f>IF(IF(ISNUMBER($E$6),AND($E$6&gt;=0,$E$6&lt;=6,$E$6=INT($E$6)),FALSE),IF(SUM(IF(ISNUMBER(F242),IF(ABS(F242-ROUND(F242,$E$6))&gt;0.00000001,1,0),0),IF(ISNUMBER(G242),IF(ABS(G242-ROUND(G242,$E$6))&gt;0.00000001,1,0),0),IF(ISNUMBER(H242),IF(ABS(H242-ROUND(H242,$E$6))&gt;0.00000001,1,0),0),IF(ISNUMBER(I242),IF(ABS(I242-ROUND(I242,$E$6))&gt;0.00000001,1,0),0),IF(ISNUMBER(J242),IF(ABS(J242-ROUND(J242,$E$6))&gt;0.00000001,1,0),0),IF(ISNUMBER(M242),IF(ABS(M242-ROUND(M242,$E$6))&gt;0.00000001,1,0),0))&gt;0,1,0),0)</f>
        <v>0</v>
      </c>
      <c r="AA242" s="0" t="n">
        <f>IF(COUNTA(B242:L242)=0,0,IF(OR(AND(ISNUMBER(F242),F242&lt;0),AND(U242=1,OR(SUM(IF(ISNUMBER(G242),IF(G242=0,1,0),0),IF(ISNUMBER(H242),IF(H242=0,1,0),0),IF(ISNUMBER(I242),IF(I242=0,1,0),0),IF(ISNUMBER(J242),IF(J242=0,1,0),0))&gt;0,COUNTIFS(G242:J242,"&lt;0")&gt;0)),AND(P242="DIMENSIONES",U242=1,OR(AND(S242="m",COUNT(H242:J242)&lt;&gt;1),AND(S242="m²",COUNT(H242:J242)&lt;&gt;2,Y242=0),AND(S242="m³",COUNT(H242:J242)&lt;&gt;3),AND(S242="ud",COUNT(H242:J242)&gt;0))),AND(P242="DIRECTA",OR(S242="m",S242="m²",S242="m³"))),1,0))</f>
        <v>0</v>
      </c>
      <c r="AB242" s="0">
        <f>IF(LEN(TRIM(E242&amp;""))&gt;0,E242,IF(R242&gt;0,INDEX($E$13:$E$512,R242),""))</f>
      </c>
      <c r="AC242" s="0">
        <f>UPPER(SUBSTITUTE(SUBSTITUTE(SUBSTITUTE(SUBSTITUTE(SUBSTITUTE(TRIM(AB242),"²","2"),"³","3"),"^",""),".","")," ",""))</f>
      </c>
    </row>
    <row r="243" ht="35" customHeight="1">
      <c r="B243" s="35"/>
      <c r="C243" s="35"/>
      <c r="D243" s="37"/>
      <c r="E243" s="35"/>
      <c r="F243" s="38"/>
      <c r="G243" s="38"/>
      <c r="H243" s="38"/>
      <c r="I243" s="38"/>
      <c r="J243" s="38"/>
      <c r="K243" s="35"/>
      <c r="L243" s="35"/>
      <c r="M243" s="39">
        <f>IF(U243&lt;&gt;1,"",IF(P243="DIRECTA",G243,IF(ISNUMBER(G243),G243,1)*IF(ISNUMBER(H243),H243,1)*IF(ISNUMBER(I243),I243,1)*IF(ISNUMBER(J243),J243,1)))</f>
      </c>
      <c r="N243" s="30">
        <f>IF(COUNTA(B243:L243)=0,"",IF(X243=0,IF(P243="CABECERA","VERDE · Fila descriptiva; la suma usa las líneas del ID","VERDE · Datos numéricos interpretables"),IF(X243=2,"ROJO · ","ÁMBAR · ")&amp;IF(NOT(IF(ISNUMBER($E$6),AND($E$6&gt;=0,$E$6&lt;=6,$E$6=INT($E$6)),FALSE)),"Indicamos entre 0 y 6 decimales en E6. ","")&amp;IF(O243=0,"Falta un ID numérico. ","")&amp;IF(R243=0,"Faltan capítulo, código, unidad o total numérico del ID. ","")&amp;IF(T243&gt;0,"Los datos o el total del ID se contradicen. ","")&amp;IF(AND(P243&lt;&gt;"DIMENSIONES",P243&lt;&gt;"DIRECTA",P243&lt;&gt;"SIN LÍNEAS",P243&lt;&gt;"CABECERA"),"Tipo de fila no reconocido. ","")&amp;IF(AND(OR(P243="SIN LÍNEAS",P243="CABECERA"),COUNTA(G243:J243)&gt;0),"La fila dice que no mide, pero contiene medidas. ","")&amp;IF(AND(OR(P243="DIRECTA",P243="DIMENSIONES"),U243=0),"Línea incompleta o con medidas no numéricas. ","")&amp;IF(P243="SIN LÍNEAS","No constan medidas de esta fila. ","")&amp;IF(Y243&gt;0,"Parece m³: tres dimensiones bajo m². ","")&amp;IF(AND(AB243&lt;&gt;"",SUMPRODUCT(--('LÉEME'!$B$65:$B$86=AC243))&lt;&gt;1),"Revisamos el significado de la unidad. ","")&amp;IF(Z243&gt;0,"Más precisión que los decimales indicados: cotejamos el original. ","")&amp;IF(AA243&gt;0,"Revisamos dimensiones, cantidad directa, ceros o deducción. ","")))</f>
      </c>
      <c r="O243" s="0" t="n">
        <f>IF(ISNUMBER(K243),IF(AND(K243&gt;0,K243=INT(K243),K243&lt;=999999),K243,0),0)</f>
        <v>0</v>
      </c>
      <c r="P243" s="0">
        <f>IF(COUNTA(B243:L243)=0,"",IF(L243="",IF(COUNTA(G243:J243)&gt;0,"DIMENSIONES","SIN LÍNEAS"),UPPER(TRIM(L243))))</f>
      </c>
      <c r="Q243" s="0">
        <f>IF(AND(O243&gt;0,LEN(TRIM(B243&amp;""))&gt;0,LEN(TRIM(C243&amp;""))&gt;0,LEN(TRIM(E243&amp;""))&gt;0,ISNUMBER(F243)),O243,"")</f>
      </c>
      <c r="R243" s="0" t="n">
        <f>IF(O243=0,0,IF(COUNTIFS($Q$13:$Q$512,O243)&gt;0,MATCH(O243,$Q$13:$Q$512,0),0))</f>
        <v>0</v>
      </c>
      <c r="S243" s="0">
        <f>IF(AB243="","",IF(SUMPRODUCT(--('LÉEME'!$B$65:$B$86=AC243))=1,INDEX('LÉEME'!$C$65:$C$86,MATCH(AC243,'LÉEME'!$B$65:$B$86,0)),UPPER(TRIM(AB243))))</f>
      </c>
      <c r="T243" s="0" t="n">
        <f>IF(R243=0,0,IF(OR(AND(LEN(TRIM(B243&amp;""))&gt;0,UPPER(TRIM(B243&amp;""))&lt;&gt;UPPER(TRIM(INDEX($B$13:$B$512,R243)&amp;""))),AND(LEN(TRIM(C243&amp;""))&gt;0,UPPER(TRIM(C243&amp;""))&lt;&gt;UPPER(TRIM(INDEX($C$13:$C$512,R243)&amp;""))),AND(LEN(TRIM(E243&amp;""))&gt;0,S243&lt;&gt;INDEX($S$13:$S$512,R243)),AND(F243&lt;&gt;"",NOT(ISNUMBER(F243)))),1,IF(ISNUMBER(F243),IF(ABS(F243-INDEX($F$13:$F$512,R243))&gt;0.00000001,1,0),0)))</f>
        <v>0</v>
      </c>
      <c r="U243" s="0" t="n">
        <f>IF(P243="DIRECTA",IF(AND(ISNUMBER(G243),COUNTA(H243:J243)=0),1,0),IF(P243="DIMENSIONES",IF(AND(COUNT(G243:J243)&gt;0,COUNTA(G243:J243)=COUNT(G243:J243)),1,0),0))</f>
        <v>0</v>
      </c>
      <c r="V243" s="0" t="n">
        <f>IF(O243=0,0,IF(COUNTIFS($O$13:O243,O243)=1,1,0))</f>
        <v>0</v>
      </c>
      <c r="W243" s="0">
        <f>IF(V243=1,COUNTIFS($V$13:V243,1),"")</f>
      </c>
      <c r="X243" s="0">
        <f>IF(COUNTA(B243:L243)=0,"",IF(OR(NOT(IF(ISNUMBER($E$6),AND($E$6&gt;=0,$E$6&lt;=6,$E$6=INT($E$6)),FALSE)),O243=0,R243=0,T243&gt;0,AND(P243&lt;&gt;"DIMENSIONES",P243&lt;&gt;"DIRECTA",P243&lt;&gt;"SIN LÍNEAS",P243&lt;&gt;"CABECERA"),AND(OR(P243="DIRECTA",P243="DIMENSIONES"),U243=0),AND(OR(P243="SIN LÍNEAS",P243="CABECERA"),COUNTA(G243:J243)&gt;0)),2,IF(OR(P243="SIN LÍNEAS",Y243&gt;0,Z243&gt;0,AA243&gt;0,SUMPRODUCT(--('LÉEME'!$B$65:$B$86=AC243))&lt;&gt;1),1,0)))</f>
      </c>
      <c r="Y243" s="0" t="n">
        <f>IF(AND(P243="DIMENSIONES",S243="m²",COUNT(H243:J243)=3),1,0)</f>
        <v>0</v>
      </c>
      <c r="Z243" s="0" t="n">
        <f>IF(IF(ISNUMBER($E$6),AND($E$6&gt;=0,$E$6&lt;=6,$E$6=INT($E$6)),FALSE),IF(SUM(IF(ISNUMBER(F243),IF(ABS(F243-ROUND(F243,$E$6))&gt;0.00000001,1,0),0),IF(ISNUMBER(G243),IF(ABS(G243-ROUND(G243,$E$6))&gt;0.00000001,1,0),0),IF(ISNUMBER(H243),IF(ABS(H243-ROUND(H243,$E$6))&gt;0.00000001,1,0),0),IF(ISNUMBER(I243),IF(ABS(I243-ROUND(I243,$E$6))&gt;0.00000001,1,0),0),IF(ISNUMBER(J243),IF(ABS(J243-ROUND(J243,$E$6))&gt;0.00000001,1,0),0),IF(ISNUMBER(M243),IF(ABS(M243-ROUND(M243,$E$6))&gt;0.00000001,1,0),0))&gt;0,1,0),0)</f>
        <v>0</v>
      </c>
      <c r="AA243" s="0" t="n">
        <f>IF(COUNTA(B243:L243)=0,0,IF(OR(AND(ISNUMBER(F243),F243&lt;0),AND(U243=1,OR(SUM(IF(ISNUMBER(G243),IF(G243=0,1,0),0),IF(ISNUMBER(H243),IF(H243=0,1,0),0),IF(ISNUMBER(I243),IF(I243=0,1,0),0),IF(ISNUMBER(J243),IF(J243=0,1,0),0))&gt;0,COUNTIFS(G243:J243,"&lt;0")&gt;0)),AND(P243="DIMENSIONES",U243=1,OR(AND(S243="m",COUNT(H243:J243)&lt;&gt;1),AND(S243="m²",COUNT(H243:J243)&lt;&gt;2,Y243=0),AND(S243="m³",COUNT(H243:J243)&lt;&gt;3),AND(S243="ud",COUNT(H243:J243)&gt;0))),AND(P243="DIRECTA",OR(S243="m",S243="m²",S243="m³"))),1,0))</f>
        <v>0</v>
      </c>
      <c r="AB243" s="0">
        <f>IF(LEN(TRIM(E243&amp;""))&gt;0,E243,IF(R243&gt;0,INDEX($E$13:$E$512,R243),""))</f>
      </c>
      <c r="AC243" s="0">
        <f>UPPER(SUBSTITUTE(SUBSTITUTE(SUBSTITUTE(SUBSTITUTE(SUBSTITUTE(TRIM(AB243),"²","2"),"³","3"),"^",""),".","")," ",""))</f>
      </c>
    </row>
    <row r="244" ht="35" customHeight="1">
      <c r="B244" s="35"/>
      <c r="C244" s="35"/>
      <c r="D244" s="37"/>
      <c r="E244" s="35"/>
      <c r="F244" s="38"/>
      <c r="G244" s="38"/>
      <c r="H244" s="38"/>
      <c r="I244" s="38"/>
      <c r="J244" s="38"/>
      <c r="K244" s="35"/>
      <c r="L244" s="35"/>
      <c r="M244" s="39">
        <f>IF(U244&lt;&gt;1,"",IF(P244="DIRECTA",G244,IF(ISNUMBER(G244),G244,1)*IF(ISNUMBER(H244),H244,1)*IF(ISNUMBER(I244),I244,1)*IF(ISNUMBER(J244),J244,1)))</f>
      </c>
      <c r="N244" s="30">
        <f>IF(COUNTA(B244:L244)=0,"",IF(X244=0,IF(P244="CABECERA","VERDE · Fila descriptiva; la suma usa las líneas del ID","VERDE · Datos numéricos interpretables"),IF(X244=2,"ROJO · ","ÁMBAR · ")&amp;IF(NOT(IF(ISNUMBER($E$6),AND($E$6&gt;=0,$E$6&lt;=6,$E$6=INT($E$6)),FALSE)),"Indicamos entre 0 y 6 decimales en E6. ","")&amp;IF(O244=0,"Falta un ID numérico. ","")&amp;IF(R244=0,"Faltan capítulo, código, unidad o total numérico del ID. ","")&amp;IF(T244&gt;0,"Los datos o el total del ID se contradicen. ","")&amp;IF(AND(P244&lt;&gt;"DIMENSIONES",P244&lt;&gt;"DIRECTA",P244&lt;&gt;"SIN LÍNEAS",P244&lt;&gt;"CABECERA"),"Tipo de fila no reconocido. ","")&amp;IF(AND(OR(P244="SIN LÍNEAS",P244="CABECERA"),COUNTA(G244:J244)&gt;0),"La fila dice que no mide, pero contiene medidas. ","")&amp;IF(AND(OR(P244="DIRECTA",P244="DIMENSIONES"),U244=0),"Línea incompleta o con medidas no numéricas. ","")&amp;IF(P244="SIN LÍNEAS","No constan medidas de esta fila. ","")&amp;IF(Y244&gt;0,"Parece m³: tres dimensiones bajo m². ","")&amp;IF(AND(AB244&lt;&gt;"",SUMPRODUCT(--('LÉEME'!$B$65:$B$86=AC244))&lt;&gt;1),"Revisamos el significado de la unidad. ","")&amp;IF(Z244&gt;0,"Más precisión que los decimales indicados: cotejamos el original. ","")&amp;IF(AA244&gt;0,"Revisamos dimensiones, cantidad directa, ceros o deducción. ","")))</f>
      </c>
      <c r="O244" s="0" t="n">
        <f>IF(ISNUMBER(K244),IF(AND(K244&gt;0,K244=INT(K244),K244&lt;=999999),K244,0),0)</f>
        <v>0</v>
      </c>
      <c r="P244" s="0">
        <f>IF(COUNTA(B244:L244)=0,"",IF(L244="",IF(COUNTA(G244:J244)&gt;0,"DIMENSIONES","SIN LÍNEAS"),UPPER(TRIM(L244))))</f>
      </c>
      <c r="Q244" s="0">
        <f>IF(AND(O244&gt;0,LEN(TRIM(B244&amp;""))&gt;0,LEN(TRIM(C244&amp;""))&gt;0,LEN(TRIM(E244&amp;""))&gt;0,ISNUMBER(F244)),O244,"")</f>
      </c>
      <c r="R244" s="0" t="n">
        <f>IF(O244=0,0,IF(COUNTIFS($Q$13:$Q$512,O244)&gt;0,MATCH(O244,$Q$13:$Q$512,0),0))</f>
        <v>0</v>
      </c>
      <c r="S244" s="0">
        <f>IF(AB244="","",IF(SUMPRODUCT(--('LÉEME'!$B$65:$B$86=AC244))=1,INDEX('LÉEME'!$C$65:$C$86,MATCH(AC244,'LÉEME'!$B$65:$B$86,0)),UPPER(TRIM(AB244))))</f>
      </c>
      <c r="T244" s="0" t="n">
        <f>IF(R244=0,0,IF(OR(AND(LEN(TRIM(B244&amp;""))&gt;0,UPPER(TRIM(B244&amp;""))&lt;&gt;UPPER(TRIM(INDEX($B$13:$B$512,R244)&amp;""))),AND(LEN(TRIM(C244&amp;""))&gt;0,UPPER(TRIM(C244&amp;""))&lt;&gt;UPPER(TRIM(INDEX($C$13:$C$512,R244)&amp;""))),AND(LEN(TRIM(E244&amp;""))&gt;0,S244&lt;&gt;INDEX($S$13:$S$512,R244)),AND(F244&lt;&gt;"",NOT(ISNUMBER(F244)))),1,IF(ISNUMBER(F244),IF(ABS(F244-INDEX($F$13:$F$512,R244))&gt;0.00000001,1,0),0)))</f>
        <v>0</v>
      </c>
      <c r="U244" s="0" t="n">
        <f>IF(P244="DIRECTA",IF(AND(ISNUMBER(G244),COUNTA(H244:J244)=0),1,0),IF(P244="DIMENSIONES",IF(AND(COUNT(G244:J244)&gt;0,COUNTA(G244:J244)=COUNT(G244:J244)),1,0),0))</f>
        <v>0</v>
      </c>
      <c r="V244" s="0" t="n">
        <f>IF(O244=0,0,IF(COUNTIFS($O$13:O244,O244)=1,1,0))</f>
        <v>0</v>
      </c>
      <c r="W244" s="0">
        <f>IF(V244=1,COUNTIFS($V$13:V244,1),"")</f>
      </c>
      <c r="X244" s="0">
        <f>IF(COUNTA(B244:L244)=0,"",IF(OR(NOT(IF(ISNUMBER($E$6),AND($E$6&gt;=0,$E$6&lt;=6,$E$6=INT($E$6)),FALSE)),O244=0,R244=0,T244&gt;0,AND(P244&lt;&gt;"DIMENSIONES",P244&lt;&gt;"DIRECTA",P244&lt;&gt;"SIN LÍNEAS",P244&lt;&gt;"CABECERA"),AND(OR(P244="DIRECTA",P244="DIMENSIONES"),U244=0),AND(OR(P244="SIN LÍNEAS",P244="CABECERA"),COUNTA(G244:J244)&gt;0)),2,IF(OR(P244="SIN LÍNEAS",Y244&gt;0,Z244&gt;0,AA244&gt;0,SUMPRODUCT(--('LÉEME'!$B$65:$B$86=AC244))&lt;&gt;1),1,0)))</f>
      </c>
      <c r="Y244" s="0" t="n">
        <f>IF(AND(P244="DIMENSIONES",S244="m²",COUNT(H244:J244)=3),1,0)</f>
        <v>0</v>
      </c>
      <c r="Z244" s="0" t="n">
        <f>IF(IF(ISNUMBER($E$6),AND($E$6&gt;=0,$E$6&lt;=6,$E$6=INT($E$6)),FALSE),IF(SUM(IF(ISNUMBER(F244),IF(ABS(F244-ROUND(F244,$E$6))&gt;0.00000001,1,0),0),IF(ISNUMBER(G244),IF(ABS(G244-ROUND(G244,$E$6))&gt;0.00000001,1,0),0),IF(ISNUMBER(H244),IF(ABS(H244-ROUND(H244,$E$6))&gt;0.00000001,1,0),0),IF(ISNUMBER(I244),IF(ABS(I244-ROUND(I244,$E$6))&gt;0.00000001,1,0),0),IF(ISNUMBER(J244),IF(ABS(J244-ROUND(J244,$E$6))&gt;0.00000001,1,0),0),IF(ISNUMBER(M244),IF(ABS(M244-ROUND(M244,$E$6))&gt;0.00000001,1,0),0))&gt;0,1,0),0)</f>
        <v>0</v>
      </c>
      <c r="AA244" s="0" t="n">
        <f>IF(COUNTA(B244:L244)=0,0,IF(OR(AND(ISNUMBER(F244),F244&lt;0),AND(U244=1,OR(SUM(IF(ISNUMBER(G244),IF(G244=0,1,0),0),IF(ISNUMBER(H244),IF(H244=0,1,0),0),IF(ISNUMBER(I244),IF(I244=0,1,0),0),IF(ISNUMBER(J244),IF(J244=0,1,0),0))&gt;0,COUNTIFS(G244:J244,"&lt;0")&gt;0)),AND(P244="DIMENSIONES",U244=1,OR(AND(S244="m",COUNT(H244:J244)&lt;&gt;1),AND(S244="m²",COUNT(H244:J244)&lt;&gt;2,Y244=0),AND(S244="m³",COUNT(H244:J244)&lt;&gt;3),AND(S244="ud",COUNT(H244:J244)&gt;0))),AND(P244="DIRECTA",OR(S244="m",S244="m²",S244="m³"))),1,0))</f>
        <v>0</v>
      </c>
      <c r="AB244" s="0">
        <f>IF(LEN(TRIM(E244&amp;""))&gt;0,E244,IF(R244&gt;0,INDEX($E$13:$E$512,R244),""))</f>
      </c>
      <c r="AC244" s="0">
        <f>UPPER(SUBSTITUTE(SUBSTITUTE(SUBSTITUTE(SUBSTITUTE(SUBSTITUTE(TRIM(AB244),"²","2"),"³","3"),"^",""),".","")," ",""))</f>
      </c>
    </row>
    <row r="245" ht="35" customHeight="1">
      <c r="B245" s="35"/>
      <c r="C245" s="35"/>
      <c r="D245" s="37"/>
      <c r="E245" s="35"/>
      <c r="F245" s="38"/>
      <c r="G245" s="38"/>
      <c r="H245" s="38"/>
      <c r="I245" s="38"/>
      <c r="J245" s="38"/>
      <c r="K245" s="35"/>
      <c r="L245" s="35"/>
      <c r="M245" s="39">
        <f>IF(U245&lt;&gt;1,"",IF(P245="DIRECTA",G245,IF(ISNUMBER(G245),G245,1)*IF(ISNUMBER(H245),H245,1)*IF(ISNUMBER(I245),I245,1)*IF(ISNUMBER(J245),J245,1)))</f>
      </c>
      <c r="N245" s="30">
        <f>IF(COUNTA(B245:L245)=0,"",IF(X245=0,IF(P245="CABECERA","VERDE · Fila descriptiva; la suma usa las líneas del ID","VERDE · Datos numéricos interpretables"),IF(X245=2,"ROJO · ","ÁMBAR · ")&amp;IF(NOT(IF(ISNUMBER($E$6),AND($E$6&gt;=0,$E$6&lt;=6,$E$6=INT($E$6)),FALSE)),"Indicamos entre 0 y 6 decimales en E6. ","")&amp;IF(O245=0,"Falta un ID numérico. ","")&amp;IF(R245=0,"Faltan capítulo, código, unidad o total numérico del ID. ","")&amp;IF(T245&gt;0,"Los datos o el total del ID se contradicen. ","")&amp;IF(AND(P245&lt;&gt;"DIMENSIONES",P245&lt;&gt;"DIRECTA",P245&lt;&gt;"SIN LÍNEAS",P245&lt;&gt;"CABECERA"),"Tipo de fila no reconocido. ","")&amp;IF(AND(OR(P245="SIN LÍNEAS",P245="CABECERA"),COUNTA(G245:J245)&gt;0),"La fila dice que no mide, pero contiene medidas. ","")&amp;IF(AND(OR(P245="DIRECTA",P245="DIMENSIONES"),U245=0),"Línea incompleta o con medidas no numéricas. ","")&amp;IF(P245="SIN LÍNEAS","No constan medidas de esta fila. ","")&amp;IF(Y245&gt;0,"Parece m³: tres dimensiones bajo m². ","")&amp;IF(AND(AB245&lt;&gt;"",SUMPRODUCT(--('LÉEME'!$B$65:$B$86=AC245))&lt;&gt;1),"Revisamos el significado de la unidad. ","")&amp;IF(Z245&gt;0,"Más precisión que los decimales indicados: cotejamos el original. ","")&amp;IF(AA245&gt;0,"Revisamos dimensiones, cantidad directa, ceros o deducción. ","")))</f>
      </c>
      <c r="O245" s="0" t="n">
        <f>IF(ISNUMBER(K245),IF(AND(K245&gt;0,K245=INT(K245),K245&lt;=999999),K245,0),0)</f>
        <v>0</v>
      </c>
      <c r="P245" s="0">
        <f>IF(COUNTA(B245:L245)=0,"",IF(L245="",IF(COUNTA(G245:J245)&gt;0,"DIMENSIONES","SIN LÍNEAS"),UPPER(TRIM(L245))))</f>
      </c>
      <c r="Q245" s="0">
        <f>IF(AND(O245&gt;0,LEN(TRIM(B245&amp;""))&gt;0,LEN(TRIM(C245&amp;""))&gt;0,LEN(TRIM(E245&amp;""))&gt;0,ISNUMBER(F245)),O245,"")</f>
      </c>
      <c r="R245" s="0" t="n">
        <f>IF(O245=0,0,IF(COUNTIFS($Q$13:$Q$512,O245)&gt;0,MATCH(O245,$Q$13:$Q$512,0),0))</f>
        <v>0</v>
      </c>
      <c r="S245" s="0">
        <f>IF(AB245="","",IF(SUMPRODUCT(--('LÉEME'!$B$65:$B$86=AC245))=1,INDEX('LÉEME'!$C$65:$C$86,MATCH(AC245,'LÉEME'!$B$65:$B$86,0)),UPPER(TRIM(AB245))))</f>
      </c>
      <c r="T245" s="0" t="n">
        <f>IF(R245=0,0,IF(OR(AND(LEN(TRIM(B245&amp;""))&gt;0,UPPER(TRIM(B245&amp;""))&lt;&gt;UPPER(TRIM(INDEX($B$13:$B$512,R245)&amp;""))),AND(LEN(TRIM(C245&amp;""))&gt;0,UPPER(TRIM(C245&amp;""))&lt;&gt;UPPER(TRIM(INDEX($C$13:$C$512,R245)&amp;""))),AND(LEN(TRIM(E245&amp;""))&gt;0,S245&lt;&gt;INDEX($S$13:$S$512,R245)),AND(F245&lt;&gt;"",NOT(ISNUMBER(F245)))),1,IF(ISNUMBER(F245),IF(ABS(F245-INDEX($F$13:$F$512,R245))&gt;0.00000001,1,0),0)))</f>
        <v>0</v>
      </c>
      <c r="U245" s="0" t="n">
        <f>IF(P245="DIRECTA",IF(AND(ISNUMBER(G245),COUNTA(H245:J245)=0),1,0),IF(P245="DIMENSIONES",IF(AND(COUNT(G245:J245)&gt;0,COUNTA(G245:J245)=COUNT(G245:J245)),1,0),0))</f>
        <v>0</v>
      </c>
      <c r="V245" s="0" t="n">
        <f>IF(O245=0,0,IF(COUNTIFS($O$13:O245,O245)=1,1,0))</f>
        <v>0</v>
      </c>
      <c r="W245" s="0">
        <f>IF(V245=1,COUNTIFS($V$13:V245,1),"")</f>
      </c>
      <c r="X245" s="0">
        <f>IF(COUNTA(B245:L245)=0,"",IF(OR(NOT(IF(ISNUMBER($E$6),AND($E$6&gt;=0,$E$6&lt;=6,$E$6=INT($E$6)),FALSE)),O245=0,R245=0,T245&gt;0,AND(P245&lt;&gt;"DIMENSIONES",P245&lt;&gt;"DIRECTA",P245&lt;&gt;"SIN LÍNEAS",P245&lt;&gt;"CABECERA"),AND(OR(P245="DIRECTA",P245="DIMENSIONES"),U245=0),AND(OR(P245="SIN LÍNEAS",P245="CABECERA"),COUNTA(G245:J245)&gt;0)),2,IF(OR(P245="SIN LÍNEAS",Y245&gt;0,Z245&gt;0,AA245&gt;0,SUMPRODUCT(--('LÉEME'!$B$65:$B$86=AC245))&lt;&gt;1),1,0)))</f>
      </c>
      <c r="Y245" s="0" t="n">
        <f>IF(AND(P245="DIMENSIONES",S245="m²",COUNT(H245:J245)=3),1,0)</f>
        <v>0</v>
      </c>
      <c r="Z245" s="0" t="n">
        <f>IF(IF(ISNUMBER($E$6),AND($E$6&gt;=0,$E$6&lt;=6,$E$6=INT($E$6)),FALSE),IF(SUM(IF(ISNUMBER(F245),IF(ABS(F245-ROUND(F245,$E$6))&gt;0.00000001,1,0),0),IF(ISNUMBER(G245),IF(ABS(G245-ROUND(G245,$E$6))&gt;0.00000001,1,0),0),IF(ISNUMBER(H245),IF(ABS(H245-ROUND(H245,$E$6))&gt;0.00000001,1,0),0),IF(ISNUMBER(I245),IF(ABS(I245-ROUND(I245,$E$6))&gt;0.00000001,1,0),0),IF(ISNUMBER(J245),IF(ABS(J245-ROUND(J245,$E$6))&gt;0.00000001,1,0),0),IF(ISNUMBER(M245),IF(ABS(M245-ROUND(M245,$E$6))&gt;0.00000001,1,0),0))&gt;0,1,0),0)</f>
        <v>0</v>
      </c>
      <c r="AA245" s="0" t="n">
        <f>IF(COUNTA(B245:L245)=0,0,IF(OR(AND(ISNUMBER(F245),F245&lt;0),AND(U245=1,OR(SUM(IF(ISNUMBER(G245),IF(G245=0,1,0),0),IF(ISNUMBER(H245),IF(H245=0,1,0),0),IF(ISNUMBER(I245),IF(I245=0,1,0),0),IF(ISNUMBER(J245),IF(J245=0,1,0),0))&gt;0,COUNTIFS(G245:J245,"&lt;0")&gt;0)),AND(P245="DIMENSIONES",U245=1,OR(AND(S245="m",COUNT(H245:J245)&lt;&gt;1),AND(S245="m²",COUNT(H245:J245)&lt;&gt;2,Y245=0),AND(S245="m³",COUNT(H245:J245)&lt;&gt;3),AND(S245="ud",COUNT(H245:J245)&gt;0))),AND(P245="DIRECTA",OR(S245="m",S245="m²",S245="m³"))),1,0))</f>
        <v>0</v>
      </c>
      <c r="AB245" s="0">
        <f>IF(LEN(TRIM(E245&amp;""))&gt;0,E245,IF(R245&gt;0,INDEX($E$13:$E$512,R245),""))</f>
      </c>
      <c r="AC245" s="0">
        <f>UPPER(SUBSTITUTE(SUBSTITUTE(SUBSTITUTE(SUBSTITUTE(SUBSTITUTE(TRIM(AB245),"²","2"),"³","3"),"^",""),".","")," ",""))</f>
      </c>
    </row>
    <row r="246" ht="35" customHeight="1">
      <c r="B246" s="35"/>
      <c r="C246" s="35"/>
      <c r="D246" s="37"/>
      <c r="E246" s="35"/>
      <c r="F246" s="38"/>
      <c r="G246" s="38"/>
      <c r="H246" s="38"/>
      <c r="I246" s="38"/>
      <c r="J246" s="38"/>
      <c r="K246" s="35"/>
      <c r="L246" s="35"/>
      <c r="M246" s="39">
        <f>IF(U246&lt;&gt;1,"",IF(P246="DIRECTA",G246,IF(ISNUMBER(G246),G246,1)*IF(ISNUMBER(H246),H246,1)*IF(ISNUMBER(I246),I246,1)*IF(ISNUMBER(J246),J246,1)))</f>
      </c>
      <c r="N246" s="30">
        <f>IF(COUNTA(B246:L246)=0,"",IF(X246=0,IF(P246="CABECERA","VERDE · Fila descriptiva; la suma usa las líneas del ID","VERDE · Datos numéricos interpretables"),IF(X246=2,"ROJO · ","ÁMBAR · ")&amp;IF(NOT(IF(ISNUMBER($E$6),AND($E$6&gt;=0,$E$6&lt;=6,$E$6=INT($E$6)),FALSE)),"Indicamos entre 0 y 6 decimales en E6. ","")&amp;IF(O246=0,"Falta un ID numérico. ","")&amp;IF(R246=0,"Faltan capítulo, código, unidad o total numérico del ID. ","")&amp;IF(T246&gt;0,"Los datos o el total del ID se contradicen. ","")&amp;IF(AND(P246&lt;&gt;"DIMENSIONES",P246&lt;&gt;"DIRECTA",P246&lt;&gt;"SIN LÍNEAS",P246&lt;&gt;"CABECERA"),"Tipo de fila no reconocido. ","")&amp;IF(AND(OR(P246="SIN LÍNEAS",P246="CABECERA"),COUNTA(G246:J246)&gt;0),"La fila dice que no mide, pero contiene medidas. ","")&amp;IF(AND(OR(P246="DIRECTA",P246="DIMENSIONES"),U246=0),"Línea incompleta o con medidas no numéricas. ","")&amp;IF(P246="SIN LÍNEAS","No constan medidas de esta fila. ","")&amp;IF(Y246&gt;0,"Parece m³: tres dimensiones bajo m². ","")&amp;IF(AND(AB246&lt;&gt;"",SUMPRODUCT(--('LÉEME'!$B$65:$B$86=AC246))&lt;&gt;1),"Revisamos el significado de la unidad. ","")&amp;IF(Z246&gt;0,"Más precisión que los decimales indicados: cotejamos el original. ","")&amp;IF(AA246&gt;0,"Revisamos dimensiones, cantidad directa, ceros o deducción. ","")))</f>
      </c>
      <c r="O246" s="0" t="n">
        <f>IF(ISNUMBER(K246),IF(AND(K246&gt;0,K246=INT(K246),K246&lt;=999999),K246,0),0)</f>
        <v>0</v>
      </c>
      <c r="P246" s="0">
        <f>IF(COUNTA(B246:L246)=0,"",IF(L246="",IF(COUNTA(G246:J246)&gt;0,"DIMENSIONES","SIN LÍNEAS"),UPPER(TRIM(L246))))</f>
      </c>
      <c r="Q246" s="0">
        <f>IF(AND(O246&gt;0,LEN(TRIM(B246&amp;""))&gt;0,LEN(TRIM(C246&amp;""))&gt;0,LEN(TRIM(E246&amp;""))&gt;0,ISNUMBER(F246)),O246,"")</f>
      </c>
      <c r="R246" s="0" t="n">
        <f>IF(O246=0,0,IF(COUNTIFS($Q$13:$Q$512,O246)&gt;0,MATCH(O246,$Q$13:$Q$512,0),0))</f>
        <v>0</v>
      </c>
      <c r="S246" s="0">
        <f>IF(AB246="","",IF(SUMPRODUCT(--('LÉEME'!$B$65:$B$86=AC246))=1,INDEX('LÉEME'!$C$65:$C$86,MATCH(AC246,'LÉEME'!$B$65:$B$86,0)),UPPER(TRIM(AB246))))</f>
      </c>
      <c r="T246" s="0" t="n">
        <f>IF(R246=0,0,IF(OR(AND(LEN(TRIM(B246&amp;""))&gt;0,UPPER(TRIM(B246&amp;""))&lt;&gt;UPPER(TRIM(INDEX($B$13:$B$512,R246)&amp;""))),AND(LEN(TRIM(C246&amp;""))&gt;0,UPPER(TRIM(C246&amp;""))&lt;&gt;UPPER(TRIM(INDEX($C$13:$C$512,R246)&amp;""))),AND(LEN(TRIM(E246&amp;""))&gt;0,S246&lt;&gt;INDEX($S$13:$S$512,R246)),AND(F246&lt;&gt;"",NOT(ISNUMBER(F246)))),1,IF(ISNUMBER(F246),IF(ABS(F246-INDEX($F$13:$F$512,R246))&gt;0.00000001,1,0),0)))</f>
        <v>0</v>
      </c>
      <c r="U246" s="0" t="n">
        <f>IF(P246="DIRECTA",IF(AND(ISNUMBER(G246),COUNTA(H246:J246)=0),1,0),IF(P246="DIMENSIONES",IF(AND(COUNT(G246:J246)&gt;0,COUNTA(G246:J246)=COUNT(G246:J246)),1,0),0))</f>
        <v>0</v>
      </c>
      <c r="V246" s="0" t="n">
        <f>IF(O246=0,0,IF(COUNTIFS($O$13:O246,O246)=1,1,0))</f>
        <v>0</v>
      </c>
      <c r="W246" s="0">
        <f>IF(V246=1,COUNTIFS($V$13:V246,1),"")</f>
      </c>
      <c r="X246" s="0">
        <f>IF(COUNTA(B246:L246)=0,"",IF(OR(NOT(IF(ISNUMBER($E$6),AND($E$6&gt;=0,$E$6&lt;=6,$E$6=INT($E$6)),FALSE)),O246=0,R246=0,T246&gt;0,AND(P246&lt;&gt;"DIMENSIONES",P246&lt;&gt;"DIRECTA",P246&lt;&gt;"SIN LÍNEAS",P246&lt;&gt;"CABECERA"),AND(OR(P246="DIRECTA",P246="DIMENSIONES"),U246=0),AND(OR(P246="SIN LÍNEAS",P246="CABECERA"),COUNTA(G246:J246)&gt;0)),2,IF(OR(P246="SIN LÍNEAS",Y246&gt;0,Z246&gt;0,AA246&gt;0,SUMPRODUCT(--('LÉEME'!$B$65:$B$86=AC246))&lt;&gt;1),1,0)))</f>
      </c>
      <c r="Y246" s="0" t="n">
        <f>IF(AND(P246="DIMENSIONES",S246="m²",COUNT(H246:J246)=3),1,0)</f>
        <v>0</v>
      </c>
      <c r="Z246" s="0" t="n">
        <f>IF(IF(ISNUMBER($E$6),AND($E$6&gt;=0,$E$6&lt;=6,$E$6=INT($E$6)),FALSE),IF(SUM(IF(ISNUMBER(F246),IF(ABS(F246-ROUND(F246,$E$6))&gt;0.00000001,1,0),0),IF(ISNUMBER(G246),IF(ABS(G246-ROUND(G246,$E$6))&gt;0.00000001,1,0),0),IF(ISNUMBER(H246),IF(ABS(H246-ROUND(H246,$E$6))&gt;0.00000001,1,0),0),IF(ISNUMBER(I246),IF(ABS(I246-ROUND(I246,$E$6))&gt;0.00000001,1,0),0),IF(ISNUMBER(J246),IF(ABS(J246-ROUND(J246,$E$6))&gt;0.00000001,1,0),0),IF(ISNUMBER(M246),IF(ABS(M246-ROUND(M246,$E$6))&gt;0.00000001,1,0),0))&gt;0,1,0),0)</f>
        <v>0</v>
      </c>
      <c r="AA246" s="0" t="n">
        <f>IF(COUNTA(B246:L246)=0,0,IF(OR(AND(ISNUMBER(F246),F246&lt;0),AND(U246=1,OR(SUM(IF(ISNUMBER(G246),IF(G246=0,1,0),0),IF(ISNUMBER(H246),IF(H246=0,1,0),0),IF(ISNUMBER(I246),IF(I246=0,1,0),0),IF(ISNUMBER(J246),IF(J246=0,1,0),0))&gt;0,COUNTIFS(G246:J246,"&lt;0")&gt;0)),AND(P246="DIMENSIONES",U246=1,OR(AND(S246="m",COUNT(H246:J246)&lt;&gt;1),AND(S246="m²",COUNT(H246:J246)&lt;&gt;2,Y246=0),AND(S246="m³",COUNT(H246:J246)&lt;&gt;3),AND(S246="ud",COUNT(H246:J246)&gt;0))),AND(P246="DIRECTA",OR(S246="m",S246="m²",S246="m³"))),1,0))</f>
        <v>0</v>
      </c>
      <c r="AB246" s="0">
        <f>IF(LEN(TRIM(E246&amp;""))&gt;0,E246,IF(R246&gt;0,INDEX($E$13:$E$512,R246),""))</f>
      </c>
      <c r="AC246" s="0">
        <f>UPPER(SUBSTITUTE(SUBSTITUTE(SUBSTITUTE(SUBSTITUTE(SUBSTITUTE(TRIM(AB246),"²","2"),"³","3"),"^",""),".","")," ",""))</f>
      </c>
    </row>
    <row r="247" ht="35" customHeight="1">
      <c r="B247" s="35"/>
      <c r="C247" s="35"/>
      <c r="D247" s="37"/>
      <c r="E247" s="35"/>
      <c r="F247" s="38"/>
      <c r="G247" s="38"/>
      <c r="H247" s="38"/>
      <c r="I247" s="38"/>
      <c r="J247" s="38"/>
      <c r="K247" s="35"/>
      <c r="L247" s="35"/>
      <c r="M247" s="39">
        <f>IF(U247&lt;&gt;1,"",IF(P247="DIRECTA",G247,IF(ISNUMBER(G247),G247,1)*IF(ISNUMBER(H247),H247,1)*IF(ISNUMBER(I247),I247,1)*IF(ISNUMBER(J247),J247,1)))</f>
      </c>
      <c r="N247" s="30">
        <f>IF(COUNTA(B247:L247)=0,"",IF(X247=0,IF(P247="CABECERA","VERDE · Fila descriptiva; la suma usa las líneas del ID","VERDE · Datos numéricos interpretables"),IF(X247=2,"ROJO · ","ÁMBAR · ")&amp;IF(NOT(IF(ISNUMBER($E$6),AND($E$6&gt;=0,$E$6&lt;=6,$E$6=INT($E$6)),FALSE)),"Indicamos entre 0 y 6 decimales en E6. ","")&amp;IF(O247=0,"Falta un ID numérico. ","")&amp;IF(R247=0,"Faltan capítulo, código, unidad o total numérico del ID. ","")&amp;IF(T247&gt;0,"Los datos o el total del ID se contradicen. ","")&amp;IF(AND(P247&lt;&gt;"DIMENSIONES",P247&lt;&gt;"DIRECTA",P247&lt;&gt;"SIN LÍNEAS",P247&lt;&gt;"CABECERA"),"Tipo de fila no reconocido. ","")&amp;IF(AND(OR(P247="SIN LÍNEAS",P247="CABECERA"),COUNTA(G247:J247)&gt;0),"La fila dice que no mide, pero contiene medidas. ","")&amp;IF(AND(OR(P247="DIRECTA",P247="DIMENSIONES"),U247=0),"Línea incompleta o con medidas no numéricas. ","")&amp;IF(P247="SIN LÍNEAS","No constan medidas de esta fila. ","")&amp;IF(Y247&gt;0,"Parece m³: tres dimensiones bajo m². ","")&amp;IF(AND(AB247&lt;&gt;"",SUMPRODUCT(--('LÉEME'!$B$65:$B$86=AC247))&lt;&gt;1),"Revisamos el significado de la unidad. ","")&amp;IF(Z247&gt;0,"Más precisión que los decimales indicados: cotejamos el original. ","")&amp;IF(AA247&gt;0,"Revisamos dimensiones, cantidad directa, ceros o deducción. ","")))</f>
      </c>
      <c r="O247" s="0" t="n">
        <f>IF(ISNUMBER(K247),IF(AND(K247&gt;0,K247=INT(K247),K247&lt;=999999),K247,0),0)</f>
        <v>0</v>
      </c>
      <c r="P247" s="0">
        <f>IF(COUNTA(B247:L247)=0,"",IF(L247="",IF(COUNTA(G247:J247)&gt;0,"DIMENSIONES","SIN LÍNEAS"),UPPER(TRIM(L247))))</f>
      </c>
      <c r="Q247" s="0">
        <f>IF(AND(O247&gt;0,LEN(TRIM(B247&amp;""))&gt;0,LEN(TRIM(C247&amp;""))&gt;0,LEN(TRIM(E247&amp;""))&gt;0,ISNUMBER(F247)),O247,"")</f>
      </c>
      <c r="R247" s="0" t="n">
        <f>IF(O247=0,0,IF(COUNTIFS($Q$13:$Q$512,O247)&gt;0,MATCH(O247,$Q$13:$Q$512,0),0))</f>
        <v>0</v>
      </c>
      <c r="S247" s="0">
        <f>IF(AB247="","",IF(SUMPRODUCT(--('LÉEME'!$B$65:$B$86=AC247))=1,INDEX('LÉEME'!$C$65:$C$86,MATCH(AC247,'LÉEME'!$B$65:$B$86,0)),UPPER(TRIM(AB247))))</f>
      </c>
      <c r="T247" s="0" t="n">
        <f>IF(R247=0,0,IF(OR(AND(LEN(TRIM(B247&amp;""))&gt;0,UPPER(TRIM(B247&amp;""))&lt;&gt;UPPER(TRIM(INDEX($B$13:$B$512,R247)&amp;""))),AND(LEN(TRIM(C247&amp;""))&gt;0,UPPER(TRIM(C247&amp;""))&lt;&gt;UPPER(TRIM(INDEX($C$13:$C$512,R247)&amp;""))),AND(LEN(TRIM(E247&amp;""))&gt;0,S247&lt;&gt;INDEX($S$13:$S$512,R247)),AND(F247&lt;&gt;"",NOT(ISNUMBER(F247)))),1,IF(ISNUMBER(F247),IF(ABS(F247-INDEX($F$13:$F$512,R247))&gt;0.00000001,1,0),0)))</f>
        <v>0</v>
      </c>
      <c r="U247" s="0" t="n">
        <f>IF(P247="DIRECTA",IF(AND(ISNUMBER(G247),COUNTA(H247:J247)=0),1,0),IF(P247="DIMENSIONES",IF(AND(COUNT(G247:J247)&gt;0,COUNTA(G247:J247)=COUNT(G247:J247)),1,0),0))</f>
        <v>0</v>
      </c>
      <c r="V247" s="0" t="n">
        <f>IF(O247=0,0,IF(COUNTIFS($O$13:O247,O247)=1,1,0))</f>
        <v>0</v>
      </c>
      <c r="W247" s="0">
        <f>IF(V247=1,COUNTIFS($V$13:V247,1),"")</f>
      </c>
      <c r="X247" s="0">
        <f>IF(COUNTA(B247:L247)=0,"",IF(OR(NOT(IF(ISNUMBER($E$6),AND($E$6&gt;=0,$E$6&lt;=6,$E$6=INT($E$6)),FALSE)),O247=0,R247=0,T247&gt;0,AND(P247&lt;&gt;"DIMENSIONES",P247&lt;&gt;"DIRECTA",P247&lt;&gt;"SIN LÍNEAS",P247&lt;&gt;"CABECERA"),AND(OR(P247="DIRECTA",P247="DIMENSIONES"),U247=0),AND(OR(P247="SIN LÍNEAS",P247="CABECERA"),COUNTA(G247:J247)&gt;0)),2,IF(OR(P247="SIN LÍNEAS",Y247&gt;0,Z247&gt;0,AA247&gt;0,SUMPRODUCT(--('LÉEME'!$B$65:$B$86=AC247))&lt;&gt;1),1,0)))</f>
      </c>
      <c r="Y247" s="0" t="n">
        <f>IF(AND(P247="DIMENSIONES",S247="m²",COUNT(H247:J247)=3),1,0)</f>
        <v>0</v>
      </c>
      <c r="Z247" s="0" t="n">
        <f>IF(IF(ISNUMBER($E$6),AND($E$6&gt;=0,$E$6&lt;=6,$E$6=INT($E$6)),FALSE),IF(SUM(IF(ISNUMBER(F247),IF(ABS(F247-ROUND(F247,$E$6))&gt;0.00000001,1,0),0),IF(ISNUMBER(G247),IF(ABS(G247-ROUND(G247,$E$6))&gt;0.00000001,1,0),0),IF(ISNUMBER(H247),IF(ABS(H247-ROUND(H247,$E$6))&gt;0.00000001,1,0),0),IF(ISNUMBER(I247),IF(ABS(I247-ROUND(I247,$E$6))&gt;0.00000001,1,0),0),IF(ISNUMBER(J247),IF(ABS(J247-ROUND(J247,$E$6))&gt;0.00000001,1,0),0),IF(ISNUMBER(M247),IF(ABS(M247-ROUND(M247,$E$6))&gt;0.00000001,1,0),0))&gt;0,1,0),0)</f>
        <v>0</v>
      </c>
      <c r="AA247" s="0" t="n">
        <f>IF(COUNTA(B247:L247)=0,0,IF(OR(AND(ISNUMBER(F247),F247&lt;0),AND(U247=1,OR(SUM(IF(ISNUMBER(G247),IF(G247=0,1,0),0),IF(ISNUMBER(H247),IF(H247=0,1,0),0),IF(ISNUMBER(I247),IF(I247=0,1,0),0),IF(ISNUMBER(J247),IF(J247=0,1,0),0))&gt;0,COUNTIFS(G247:J247,"&lt;0")&gt;0)),AND(P247="DIMENSIONES",U247=1,OR(AND(S247="m",COUNT(H247:J247)&lt;&gt;1),AND(S247="m²",COUNT(H247:J247)&lt;&gt;2,Y247=0),AND(S247="m³",COUNT(H247:J247)&lt;&gt;3),AND(S247="ud",COUNT(H247:J247)&gt;0))),AND(P247="DIRECTA",OR(S247="m",S247="m²",S247="m³"))),1,0))</f>
        <v>0</v>
      </c>
      <c r="AB247" s="0">
        <f>IF(LEN(TRIM(E247&amp;""))&gt;0,E247,IF(R247&gt;0,INDEX($E$13:$E$512,R247),""))</f>
      </c>
      <c r="AC247" s="0">
        <f>UPPER(SUBSTITUTE(SUBSTITUTE(SUBSTITUTE(SUBSTITUTE(SUBSTITUTE(TRIM(AB247),"²","2"),"³","3"),"^",""),".","")," ",""))</f>
      </c>
    </row>
    <row r="248" ht="35" customHeight="1">
      <c r="B248" s="35"/>
      <c r="C248" s="35"/>
      <c r="D248" s="37"/>
      <c r="E248" s="35"/>
      <c r="F248" s="38"/>
      <c r="G248" s="38"/>
      <c r="H248" s="38"/>
      <c r="I248" s="38"/>
      <c r="J248" s="38"/>
      <c r="K248" s="35"/>
      <c r="L248" s="35"/>
      <c r="M248" s="39">
        <f>IF(U248&lt;&gt;1,"",IF(P248="DIRECTA",G248,IF(ISNUMBER(G248),G248,1)*IF(ISNUMBER(H248),H248,1)*IF(ISNUMBER(I248),I248,1)*IF(ISNUMBER(J248),J248,1)))</f>
      </c>
      <c r="N248" s="30">
        <f>IF(COUNTA(B248:L248)=0,"",IF(X248=0,IF(P248="CABECERA","VERDE · Fila descriptiva; la suma usa las líneas del ID","VERDE · Datos numéricos interpretables"),IF(X248=2,"ROJO · ","ÁMBAR · ")&amp;IF(NOT(IF(ISNUMBER($E$6),AND($E$6&gt;=0,$E$6&lt;=6,$E$6=INT($E$6)),FALSE)),"Indicamos entre 0 y 6 decimales en E6. ","")&amp;IF(O248=0,"Falta un ID numérico. ","")&amp;IF(R248=0,"Faltan capítulo, código, unidad o total numérico del ID. ","")&amp;IF(T248&gt;0,"Los datos o el total del ID se contradicen. ","")&amp;IF(AND(P248&lt;&gt;"DIMENSIONES",P248&lt;&gt;"DIRECTA",P248&lt;&gt;"SIN LÍNEAS",P248&lt;&gt;"CABECERA"),"Tipo de fila no reconocido. ","")&amp;IF(AND(OR(P248="SIN LÍNEAS",P248="CABECERA"),COUNTA(G248:J248)&gt;0),"La fila dice que no mide, pero contiene medidas. ","")&amp;IF(AND(OR(P248="DIRECTA",P248="DIMENSIONES"),U248=0),"Línea incompleta o con medidas no numéricas. ","")&amp;IF(P248="SIN LÍNEAS","No constan medidas de esta fila. ","")&amp;IF(Y248&gt;0,"Parece m³: tres dimensiones bajo m². ","")&amp;IF(AND(AB248&lt;&gt;"",SUMPRODUCT(--('LÉEME'!$B$65:$B$86=AC248))&lt;&gt;1),"Revisamos el significado de la unidad. ","")&amp;IF(Z248&gt;0,"Más precisión que los decimales indicados: cotejamos el original. ","")&amp;IF(AA248&gt;0,"Revisamos dimensiones, cantidad directa, ceros o deducción. ","")))</f>
      </c>
      <c r="O248" s="0" t="n">
        <f>IF(ISNUMBER(K248),IF(AND(K248&gt;0,K248=INT(K248),K248&lt;=999999),K248,0),0)</f>
        <v>0</v>
      </c>
      <c r="P248" s="0">
        <f>IF(COUNTA(B248:L248)=0,"",IF(L248="",IF(COUNTA(G248:J248)&gt;0,"DIMENSIONES","SIN LÍNEAS"),UPPER(TRIM(L248))))</f>
      </c>
      <c r="Q248" s="0">
        <f>IF(AND(O248&gt;0,LEN(TRIM(B248&amp;""))&gt;0,LEN(TRIM(C248&amp;""))&gt;0,LEN(TRIM(E248&amp;""))&gt;0,ISNUMBER(F248)),O248,"")</f>
      </c>
      <c r="R248" s="0" t="n">
        <f>IF(O248=0,0,IF(COUNTIFS($Q$13:$Q$512,O248)&gt;0,MATCH(O248,$Q$13:$Q$512,0),0))</f>
        <v>0</v>
      </c>
      <c r="S248" s="0">
        <f>IF(AB248="","",IF(SUMPRODUCT(--('LÉEME'!$B$65:$B$86=AC248))=1,INDEX('LÉEME'!$C$65:$C$86,MATCH(AC248,'LÉEME'!$B$65:$B$86,0)),UPPER(TRIM(AB248))))</f>
      </c>
      <c r="T248" s="0" t="n">
        <f>IF(R248=0,0,IF(OR(AND(LEN(TRIM(B248&amp;""))&gt;0,UPPER(TRIM(B248&amp;""))&lt;&gt;UPPER(TRIM(INDEX($B$13:$B$512,R248)&amp;""))),AND(LEN(TRIM(C248&amp;""))&gt;0,UPPER(TRIM(C248&amp;""))&lt;&gt;UPPER(TRIM(INDEX($C$13:$C$512,R248)&amp;""))),AND(LEN(TRIM(E248&amp;""))&gt;0,S248&lt;&gt;INDEX($S$13:$S$512,R248)),AND(F248&lt;&gt;"",NOT(ISNUMBER(F248)))),1,IF(ISNUMBER(F248),IF(ABS(F248-INDEX($F$13:$F$512,R248))&gt;0.00000001,1,0),0)))</f>
        <v>0</v>
      </c>
      <c r="U248" s="0" t="n">
        <f>IF(P248="DIRECTA",IF(AND(ISNUMBER(G248),COUNTA(H248:J248)=0),1,0),IF(P248="DIMENSIONES",IF(AND(COUNT(G248:J248)&gt;0,COUNTA(G248:J248)=COUNT(G248:J248)),1,0),0))</f>
        <v>0</v>
      </c>
      <c r="V248" s="0" t="n">
        <f>IF(O248=0,0,IF(COUNTIFS($O$13:O248,O248)=1,1,0))</f>
        <v>0</v>
      </c>
      <c r="W248" s="0">
        <f>IF(V248=1,COUNTIFS($V$13:V248,1),"")</f>
      </c>
      <c r="X248" s="0">
        <f>IF(COUNTA(B248:L248)=0,"",IF(OR(NOT(IF(ISNUMBER($E$6),AND($E$6&gt;=0,$E$6&lt;=6,$E$6=INT($E$6)),FALSE)),O248=0,R248=0,T248&gt;0,AND(P248&lt;&gt;"DIMENSIONES",P248&lt;&gt;"DIRECTA",P248&lt;&gt;"SIN LÍNEAS",P248&lt;&gt;"CABECERA"),AND(OR(P248="DIRECTA",P248="DIMENSIONES"),U248=0),AND(OR(P248="SIN LÍNEAS",P248="CABECERA"),COUNTA(G248:J248)&gt;0)),2,IF(OR(P248="SIN LÍNEAS",Y248&gt;0,Z248&gt;0,AA248&gt;0,SUMPRODUCT(--('LÉEME'!$B$65:$B$86=AC248))&lt;&gt;1),1,0)))</f>
      </c>
      <c r="Y248" s="0" t="n">
        <f>IF(AND(P248="DIMENSIONES",S248="m²",COUNT(H248:J248)=3),1,0)</f>
        <v>0</v>
      </c>
      <c r="Z248" s="0" t="n">
        <f>IF(IF(ISNUMBER($E$6),AND($E$6&gt;=0,$E$6&lt;=6,$E$6=INT($E$6)),FALSE),IF(SUM(IF(ISNUMBER(F248),IF(ABS(F248-ROUND(F248,$E$6))&gt;0.00000001,1,0),0),IF(ISNUMBER(G248),IF(ABS(G248-ROUND(G248,$E$6))&gt;0.00000001,1,0),0),IF(ISNUMBER(H248),IF(ABS(H248-ROUND(H248,$E$6))&gt;0.00000001,1,0),0),IF(ISNUMBER(I248),IF(ABS(I248-ROUND(I248,$E$6))&gt;0.00000001,1,0),0),IF(ISNUMBER(J248),IF(ABS(J248-ROUND(J248,$E$6))&gt;0.00000001,1,0),0),IF(ISNUMBER(M248),IF(ABS(M248-ROUND(M248,$E$6))&gt;0.00000001,1,0),0))&gt;0,1,0),0)</f>
        <v>0</v>
      </c>
      <c r="AA248" s="0" t="n">
        <f>IF(COUNTA(B248:L248)=0,0,IF(OR(AND(ISNUMBER(F248),F248&lt;0),AND(U248=1,OR(SUM(IF(ISNUMBER(G248),IF(G248=0,1,0),0),IF(ISNUMBER(H248),IF(H248=0,1,0),0),IF(ISNUMBER(I248),IF(I248=0,1,0),0),IF(ISNUMBER(J248),IF(J248=0,1,0),0))&gt;0,COUNTIFS(G248:J248,"&lt;0")&gt;0)),AND(P248="DIMENSIONES",U248=1,OR(AND(S248="m",COUNT(H248:J248)&lt;&gt;1),AND(S248="m²",COUNT(H248:J248)&lt;&gt;2,Y248=0),AND(S248="m³",COUNT(H248:J248)&lt;&gt;3),AND(S248="ud",COUNT(H248:J248)&gt;0))),AND(P248="DIRECTA",OR(S248="m",S248="m²",S248="m³"))),1,0))</f>
        <v>0</v>
      </c>
      <c r="AB248" s="0">
        <f>IF(LEN(TRIM(E248&amp;""))&gt;0,E248,IF(R248&gt;0,INDEX($E$13:$E$512,R248),""))</f>
      </c>
      <c r="AC248" s="0">
        <f>UPPER(SUBSTITUTE(SUBSTITUTE(SUBSTITUTE(SUBSTITUTE(SUBSTITUTE(TRIM(AB248),"²","2"),"³","3"),"^",""),".","")," ",""))</f>
      </c>
    </row>
    <row r="249" ht="35" customHeight="1">
      <c r="B249" s="35"/>
      <c r="C249" s="35"/>
      <c r="D249" s="37"/>
      <c r="E249" s="35"/>
      <c r="F249" s="38"/>
      <c r="G249" s="38"/>
      <c r="H249" s="38"/>
      <c r="I249" s="38"/>
      <c r="J249" s="38"/>
      <c r="K249" s="35"/>
      <c r="L249" s="35"/>
      <c r="M249" s="39">
        <f>IF(U249&lt;&gt;1,"",IF(P249="DIRECTA",G249,IF(ISNUMBER(G249),G249,1)*IF(ISNUMBER(H249),H249,1)*IF(ISNUMBER(I249),I249,1)*IF(ISNUMBER(J249),J249,1)))</f>
      </c>
      <c r="N249" s="30">
        <f>IF(COUNTA(B249:L249)=0,"",IF(X249=0,IF(P249="CABECERA","VERDE · Fila descriptiva; la suma usa las líneas del ID","VERDE · Datos numéricos interpretables"),IF(X249=2,"ROJO · ","ÁMBAR · ")&amp;IF(NOT(IF(ISNUMBER($E$6),AND($E$6&gt;=0,$E$6&lt;=6,$E$6=INT($E$6)),FALSE)),"Indicamos entre 0 y 6 decimales en E6. ","")&amp;IF(O249=0,"Falta un ID numérico. ","")&amp;IF(R249=0,"Faltan capítulo, código, unidad o total numérico del ID. ","")&amp;IF(T249&gt;0,"Los datos o el total del ID se contradicen. ","")&amp;IF(AND(P249&lt;&gt;"DIMENSIONES",P249&lt;&gt;"DIRECTA",P249&lt;&gt;"SIN LÍNEAS",P249&lt;&gt;"CABECERA"),"Tipo de fila no reconocido. ","")&amp;IF(AND(OR(P249="SIN LÍNEAS",P249="CABECERA"),COUNTA(G249:J249)&gt;0),"La fila dice que no mide, pero contiene medidas. ","")&amp;IF(AND(OR(P249="DIRECTA",P249="DIMENSIONES"),U249=0),"Línea incompleta o con medidas no numéricas. ","")&amp;IF(P249="SIN LÍNEAS","No constan medidas de esta fila. ","")&amp;IF(Y249&gt;0,"Parece m³: tres dimensiones bajo m². ","")&amp;IF(AND(AB249&lt;&gt;"",SUMPRODUCT(--('LÉEME'!$B$65:$B$86=AC249))&lt;&gt;1),"Revisamos el significado de la unidad. ","")&amp;IF(Z249&gt;0,"Más precisión que los decimales indicados: cotejamos el original. ","")&amp;IF(AA249&gt;0,"Revisamos dimensiones, cantidad directa, ceros o deducción. ","")))</f>
      </c>
      <c r="O249" s="0" t="n">
        <f>IF(ISNUMBER(K249),IF(AND(K249&gt;0,K249=INT(K249),K249&lt;=999999),K249,0),0)</f>
        <v>0</v>
      </c>
      <c r="P249" s="0">
        <f>IF(COUNTA(B249:L249)=0,"",IF(L249="",IF(COUNTA(G249:J249)&gt;0,"DIMENSIONES","SIN LÍNEAS"),UPPER(TRIM(L249))))</f>
      </c>
      <c r="Q249" s="0">
        <f>IF(AND(O249&gt;0,LEN(TRIM(B249&amp;""))&gt;0,LEN(TRIM(C249&amp;""))&gt;0,LEN(TRIM(E249&amp;""))&gt;0,ISNUMBER(F249)),O249,"")</f>
      </c>
      <c r="R249" s="0" t="n">
        <f>IF(O249=0,0,IF(COUNTIFS($Q$13:$Q$512,O249)&gt;0,MATCH(O249,$Q$13:$Q$512,0),0))</f>
        <v>0</v>
      </c>
      <c r="S249" s="0">
        <f>IF(AB249="","",IF(SUMPRODUCT(--('LÉEME'!$B$65:$B$86=AC249))=1,INDEX('LÉEME'!$C$65:$C$86,MATCH(AC249,'LÉEME'!$B$65:$B$86,0)),UPPER(TRIM(AB249))))</f>
      </c>
      <c r="T249" s="0" t="n">
        <f>IF(R249=0,0,IF(OR(AND(LEN(TRIM(B249&amp;""))&gt;0,UPPER(TRIM(B249&amp;""))&lt;&gt;UPPER(TRIM(INDEX($B$13:$B$512,R249)&amp;""))),AND(LEN(TRIM(C249&amp;""))&gt;0,UPPER(TRIM(C249&amp;""))&lt;&gt;UPPER(TRIM(INDEX($C$13:$C$512,R249)&amp;""))),AND(LEN(TRIM(E249&amp;""))&gt;0,S249&lt;&gt;INDEX($S$13:$S$512,R249)),AND(F249&lt;&gt;"",NOT(ISNUMBER(F249)))),1,IF(ISNUMBER(F249),IF(ABS(F249-INDEX($F$13:$F$512,R249))&gt;0.00000001,1,0),0)))</f>
        <v>0</v>
      </c>
      <c r="U249" s="0" t="n">
        <f>IF(P249="DIRECTA",IF(AND(ISNUMBER(G249),COUNTA(H249:J249)=0),1,0),IF(P249="DIMENSIONES",IF(AND(COUNT(G249:J249)&gt;0,COUNTA(G249:J249)=COUNT(G249:J249)),1,0),0))</f>
        <v>0</v>
      </c>
      <c r="V249" s="0" t="n">
        <f>IF(O249=0,0,IF(COUNTIFS($O$13:O249,O249)=1,1,0))</f>
        <v>0</v>
      </c>
      <c r="W249" s="0">
        <f>IF(V249=1,COUNTIFS($V$13:V249,1),"")</f>
      </c>
      <c r="X249" s="0">
        <f>IF(COUNTA(B249:L249)=0,"",IF(OR(NOT(IF(ISNUMBER($E$6),AND($E$6&gt;=0,$E$6&lt;=6,$E$6=INT($E$6)),FALSE)),O249=0,R249=0,T249&gt;0,AND(P249&lt;&gt;"DIMENSIONES",P249&lt;&gt;"DIRECTA",P249&lt;&gt;"SIN LÍNEAS",P249&lt;&gt;"CABECERA"),AND(OR(P249="DIRECTA",P249="DIMENSIONES"),U249=0),AND(OR(P249="SIN LÍNEAS",P249="CABECERA"),COUNTA(G249:J249)&gt;0)),2,IF(OR(P249="SIN LÍNEAS",Y249&gt;0,Z249&gt;0,AA249&gt;0,SUMPRODUCT(--('LÉEME'!$B$65:$B$86=AC249))&lt;&gt;1),1,0)))</f>
      </c>
      <c r="Y249" s="0" t="n">
        <f>IF(AND(P249="DIMENSIONES",S249="m²",COUNT(H249:J249)=3),1,0)</f>
        <v>0</v>
      </c>
      <c r="Z249" s="0" t="n">
        <f>IF(IF(ISNUMBER($E$6),AND($E$6&gt;=0,$E$6&lt;=6,$E$6=INT($E$6)),FALSE),IF(SUM(IF(ISNUMBER(F249),IF(ABS(F249-ROUND(F249,$E$6))&gt;0.00000001,1,0),0),IF(ISNUMBER(G249),IF(ABS(G249-ROUND(G249,$E$6))&gt;0.00000001,1,0),0),IF(ISNUMBER(H249),IF(ABS(H249-ROUND(H249,$E$6))&gt;0.00000001,1,0),0),IF(ISNUMBER(I249),IF(ABS(I249-ROUND(I249,$E$6))&gt;0.00000001,1,0),0),IF(ISNUMBER(J249),IF(ABS(J249-ROUND(J249,$E$6))&gt;0.00000001,1,0),0),IF(ISNUMBER(M249),IF(ABS(M249-ROUND(M249,$E$6))&gt;0.00000001,1,0),0))&gt;0,1,0),0)</f>
        <v>0</v>
      </c>
      <c r="AA249" s="0" t="n">
        <f>IF(COUNTA(B249:L249)=0,0,IF(OR(AND(ISNUMBER(F249),F249&lt;0),AND(U249=1,OR(SUM(IF(ISNUMBER(G249),IF(G249=0,1,0),0),IF(ISNUMBER(H249),IF(H249=0,1,0),0),IF(ISNUMBER(I249),IF(I249=0,1,0),0),IF(ISNUMBER(J249),IF(J249=0,1,0),0))&gt;0,COUNTIFS(G249:J249,"&lt;0")&gt;0)),AND(P249="DIMENSIONES",U249=1,OR(AND(S249="m",COUNT(H249:J249)&lt;&gt;1),AND(S249="m²",COUNT(H249:J249)&lt;&gt;2,Y249=0),AND(S249="m³",COUNT(H249:J249)&lt;&gt;3),AND(S249="ud",COUNT(H249:J249)&gt;0))),AND(P249="DIRECTA",OR(S249="m",S249="m²",S249="m³"))),1,0))</f>
        <v>0</v>
      </c>
      <c r="AB249" s="0">
        <f>IF(LEN(TRIM(E249&amp;""))&gt;0,E249,IF(R249&gt;0,INDEX($E$13:$E$512,R249),""))</f>
      </c>
      <c r="AC249" s="0">
        <f>UPPER(SUBSTITUTE(SUBSTITUTE(SUBSTITUTE(SUBSTITUTE(SUBSTITUTE(TRIM(AB249),"²","2"),"³","3"),"^",""),".","")," ",""))</f>
      </c>
    </row>
    <row r="250" ht="35" customHeight="1">
      <c r="B250" s="35"/>
      <c r="C250" s="35"/>
      <c r="D250" s="37"/>
      <c r="E250" s="35"/>
      <c r="F250" s="38"/>
      <c r="G250" s="38"/>
      <c r="H250" s="38"/>
      <c r="I250" s="38"/>
      <c r="J250" s="38"/>
      <c r="K250" s="35"/>
      <c r="L250" s="35"/>
      <c r="M250" s="39">
        <f>IF(U250&lt;&gt;1,"",IF(P250="DIRECTA",G250,IF(ISNUMBER(G250),G250,1)*IF(ISNUMBER(H250),H250,1)*IF(ISNUMBER(I250),I250,1)*IF(ISNUMBER(J250),J250,1)))</f>
      </c>
      <c r="N250" s="30">
        <f>IF(COUNTA(B250:L250)=0,"",IF(X250=0,IF(P250="CABECERA","VERDE · Fila descriptiva; la suma usa las líneas del ID","VERDE · Datos numéricos interpretables"),IF(X250=2,"ROJO · ","ÁMBAR · ")&amp;IF(NOT(IF(ISNUMBER($E$6),AND($E$6&gt;=0,$E$6&lt;=6,$E$6=INT($E$6)),FALSE)),"Indicamos entre 0 y 6 decimales en E6. ","")&amp;IF(O250=0,"Falta un ID numérico. ","")&amp;IF(R250=0,"Faltan capítulo, código, unidad o total numérico del ID. ","")&amp;IF(T250&gt;0,"Los datos o el total del ID se contradicen. ","")&amp;IF(AND(P250&lt;&gt;"DIMENSIONES",P250&lt;&gt;"DIRECTA",P250&lt;&gt;"SIN LÍNEAS",P250&lt;&gt;"CABECERA"),"Tipo de fila no reconocido. ","")&amp;IF(AND(OR(P250="SIN LÍNEAS",P250="CABECERA"),COUNTA(G250:J250)&gt;0),"La fila dice que no mide, pero contiene medidas. ","")&amp;IF(AND(OR(P250="DIRECTA",P250="DIMENSIONES"),U250=0),"Línea incompleta o con medidas no numéricas. ","")&amp;IF(P250="SIN LÍNEAS","No constan medidas de esta fila. ","")&amp;IF(Y250&gt;0,"Parece m³: tres dimensiones bajo m². ","")&amp;IF(AND(AB250&lt;&gt;"",SUMPRODUCT(--('LÉEME'!$B$65:$B$86=AC250))&lt;&gt;1),"Revisamos el significado de la unidad. ","")&amp;IF(Z250&gt;0,"Más precisión que los decimales indicados: cotejamos el original. ","")&amp;IF(AA250&gt;0,"Revisamos dimensiones, cantidad directa, ceros o deducción. ","")))</f>
      </c>
      <c r="O250" s="0" t="n">
        <f>IF(ISNUMBER(K250),IF(AND(K250&gt;0,K250=INT(K250),K250&lt;=999999),K250,0),0)</f>
        <v>0</v>
      </c>
      <c r="P250" s="0">
        <f>IF(COUNTA(B250:L250)=0,"",IF(L250="",IF(COUNTA(G250:J250)&gt;0,"DIMENSIONES","SIN LÍNEAS"),UPPER(TRIM(L250))))</f>
      </c>
      <c r="Q250" s="0">
        <f>IF(AND(O250&gt;0,LEN(TRIM(B250&amp;""))&gt;0,LEN(TRIM(C250&amp;""))&gt;0,LEN(TRIM(E250&amp;""))&gt;0,ISNUMBER(F250)),O250,"")</f>
      </c>
      <c r="R250" s="0" t="n">
        <f>IF(O250=0,0,IF(COUNTIFS($Q$13:$Q$512,O250)&gt;0,MATCH(O250,$Q$13:$Q$512,0),0))</f>
        <v>0</v>
      </c>
      <c r="S250" s="0">
        <f>IF(AB250="","",IF(SUMPRODUCT(--('LÉEME'!$B$65:$B$86=AC250))=1,INDEX('LÉEME'!$C$65:$C$86,MATCH(AC250,'LÉEME'!$B$65:$B$86,0)),UPPER(TRIM(AB250))))</f>
      </c>
      <c r="T250" s="0" t="n">
        <f>IF(R250=0,0,IF(OR(AND(LEN(TRIM(B250&amp;""))&gt;0,UPPER(TRIM(B250&amp;""))&lt;&gt;UPPER(TRIM(INDEX($B$13:$B$512,R250)&amp;""))),AND(LEN(TRIM(C250&amp;""))&gt;0,UPPER(TRIM(C250&amp;""))&lt;&gt;UPPER(TRIM(INDEX($C$13:$C$512,R250)&amp;""))),AND(LEN(TRIM(E250&amp;""))&gt;0,S250&lt;&gt;INDEX($S$13:$S$512,R250)),AND(F250&lt;&gt;"",NOT(ISNUMBER(F250)))),1,IF(ISNUMBER(F250),IF(ABS(F250-INDEX($F$13:$F$512,R250))&gt;0.00000001,1,0),0)))</f>
        <v>0</v>
      </c>
      <c r="U250" s="0" t="n">
        <f>IF(P250="DIRECTA",IF(AND(ISNUMBER(G250),COUNTA(H250:J250)=0),1,0),IF(P250="DIMENSIONES",IF(AND(COUNT(G250:J250)&gt;0,COUNTA(G250:J250)=COUNT(G250:J250)),1,0),0))</f>
        <v>0</v>
      </c>
      <c r="V250" s="0" t="n">
        <f>IF(O250=0,0,IF(COUNTIFS($O$13:O250,O250)=1,1,0))</f>
        <v>0</v>
      </c>
      <c r="W250" s="0">
        <f>IF(V250=1,COUNTIFS($V$13:V250,1),"")</f>
      </c>
      <c r="X250" s="0">
        <f>IF(COUNTA(B250:L250)=0,"",IF(OR(NOT(IF(ISNUMBER($E$6),AND($E$6&gt;=0,$E$6&lt;=6,$E$6=INT($E$6)),FALSE)),O250=0,R250=0,T250&gt;0,AND(P250&lt;&gt;"DIMENSIONES",P250&lt;&gt;"DIRECTA",P250&lt;&gt;"SIN LÍNEAS",P250&lt;&gt;"CABECERA"),AND(OR(P250="DIRECTA",P250="DIMENSIONES"),U250=0),AND(OR(P250="SIN LÍNEAS",P250="CABECERA"),COUNTA(G250:J250)&gt;0)),2,IF(OR(P250="SIN LÍNEAS",Y250&gt;0,Z250&gt;0,AA250&gt;0,SUMPRODUCT(--('LÉEME'!$B$65:$B$86=AC250))&lt;&gt;1),1,0)))</f>
      </c>
      <c r="Y250" s="0" t="n">
        <f>IF(AND(P250="DIMENSIONES",S250="m²",COUNT(H250:J250)=3),1,0)</f>
        <v>0</v>
      </c>
      <c r="Z250" s="0" t="n">
        <f>IF(IF(ISNUMBER($E$6),AND($E$6&gt;=0,$E$6&lt;=6,$E$6=INT($E$6)),FALSE),IF(SUM(IF(ISNUMBER(F250),IF(ABS(F250-ROUND(F250,$E$6))&gt;0.00000001,1,0),0),IF(ISNUMBER(G250),IF(ABS(G250-ROUND(G250,$E$6))&gt;0.00000001,1,0),0),IF(ISNUMBER(H250),IF(ABS(H250-ROUND(H250,$E$6))&gt;0.00000001,1,0),0),IF(ISNUMBER(I250),IF(ABS(I250-ROUND(I250,$E$6))&gt;0.00000001,1,0),0),IF(ISNUMBER(J250),IF(ABS(J250-ROUND(J250,$E$6))&gt;0.00000001,1,0),0),IF(ISNUMBER(M250),IF(ABS(M250-ROUND(M250,$E$6))&gt;0.00000001,1,0),0))&gt;0,1,0),0)</f>
        <v>0</v>
      </c>
      <c r="AA250" s="0" t="n">
        <f>IF(COUNTA(B250:L250)=0,0,IF(OR(AND(ISNUMBER(F250),F250&lt;0),AND(U250=1,OR(SUM(IF(ISNUMBER(G250),IF(G250=0,1,0),0),IF(ISNUMBER(H250),IF(H250=0,1,0),0),IF(ISNUMBER(I250),IF(I250=0,1,0),0),IF(ISNUMBER(J250),IF(J250=0,1,0),0))&gt;0,COUNTIFS(G250:J250,"&lt;0")&gt;0)),AND(P250="DIMENSIONES",U250=1,OR(AND(S250="m",COUNT(H250:J250)&lt;&gt;1),AND(S250="m²",COUNT(H250:J250)&lt;&gt;2,Y250=0),AND(S250="m³",COUNT(H250:J250)&lt;&gt;3),AND(S250="ud",COUNT(H250:J250)&gt;0))),AND(P250="DIRECTA",OR(S250="m",S250="m²",S250="m³"))),1,0))</f>
        <v>0</v>
      </c>
      <c r="AB250" s="0">
        <f>IF(LEN(TRIM(E250&amp;""))&gt;0,E250,IF(R250&gt;0,INDEX($E$13:$E$512,R250),""))</f>
      </c>
      <c r="AC250" s="0">
        <f>UPPER(SUBSTITUTE(SUBSTITUTE(SUBSTITUTE(SUBSTITUTE(SUBSTITUTE(TRIM(AB250),"²","2"),"³","3"),"^",""),".","")," ",""))</f>
      </c>
    </row>
    <row r="251" ht="35" customHeight="1">
      <c r="B251" s="35"/>
      <c r="C251" s="35"/>
      <c r="D251" s="37"/>
      <c r="E251" s="35"/>
      <c r="F251" s="38"/>
      <c r="G251" s="38"/>
      <c r="H251" s="38"/>
      <c r="I251" s="38"/>
      <c r="J251" s="38"/>
      <c r="K251" s="35"/>
      <c r="L251" s="35"/>
      <c r="M251" s="39">
        <f>IF(U251&lt;&gt;1,"",IF(P251="DIRECTA",G251,IF(ISNUMBER(G251),G251,1)*IF(ISNUMBER(H251),H251,1)*IF(ISNUMBER(I251),I251,1)*IF(ISNUMBER(J251),J251,1)))</f>
      </c>
      <c r="N251" s="30">
        <f>IF(COUNTA(B251:L251)=0,"",IF(X251=0,IF(P251="CABECERA","VERDE · Fila descriptiva; la suma usa las líneas del ID","VERDE · Datos numéricos interpretables"),IF(X251=2,"ROJO · ","ÁMBAR · ")&amp;IF(NOT(IF(ISNUMBER($E$6),AND($E$6&gt;=0,$E$6&lt;=6,$E$6=INT($E$6)),FALSE)),"Indicamos entre 0 y 6 decimales en E6. ","")&amp;IF(O251=0,"Falta un ID numérico. ","")&amp;IF(R251=0,"Faltan capítulo, código, unidad o total numérico del ID. ","")&amp;IF(T251&gt;0,"Los datos o el total del ID se contradicen. ","")&amp;IF(AND(P251&lt;&gt;"DIMENSIONES",P251&lt;&gt;"DIRECTA",P251&lt;&gt;"SIN LÍNEAS",P251&lt;&gt;"CABECERA"),"Tipo de fila no reconocido. ","")&amp;IF(AND(OR(P251="SIN LÍNEAS",P251="CABECERA"),COUNTA(G251:J251)&gt;0),"La fila dice que no mide, pero contiene medidas. ","")&amp;IF(AND(OR(P251="DIRECTA",P251="DIMENSIONES"),U251=0),"Línea incompleta o con medidas no numéricas. ","")&amp;IF(P251="SIN LÍNEAS","No constan medidas de esta fila. ","")&amp;IF(Y251&gt;0,"Parece m³: tres dimensiones bajo m². ","")&amp;IF(AND(AB251&lt;&gt;"",SUMPRODUCT(--('LÉEME'!$B$65:$B$86=AC251))&lt;&gt;1),"Revisamos el significado de la unidad. ","")&amp;IF(Z251&gt;0,"Más precisión que los decimales indicados: cotejamos el original. ","")&amp;IF(AA251&gt;0,"Revisamos dimensiones, cantidad directa, ceros o deducción. ","")))</f>
      </c>
      <c r="O251" s="0" t="n">
        <f>IF(ISNUMBER(K251),IF(AND(K251&gt;0,K251=INT(K251),K251&lt;=999999),K251,0),0)</f>
        <v>0</v>
      </c>
      <c r="P251" s="0">
        <f>IF(COUNTA(B251:L251)=0,"",IF(L251="",IF(COUNTA(G251:J251)&gt;0,"DIMENSIONES","SIN LÍNEAS"),UPPER(TRIM(L251))))</f>
      </c>
      <c r="Q251" s="0">
        <f>IF(AND(O251&gt;0,LEN(TRIM(B251&amp;""))&gt;0,LEN(TRIM(C251&amp;""))&gt;0,LEN(TRIM(E251&amp;""))&gt;0,ISNUMBER(F251)),O251,"")</f>
      </c>
      <c r="R251" s="0" t="n">
        <f>IF(O251=0,0,IF(COUNTIFS($Q$13:$Q$512,O251)&gt;0,MATCH(O251,$Q$13:$Q$512,0),0))</f>
        <v>0</v>
      </c>
      <c r="S251" s="0">
        <f>IF(AB251="","",IF(SUMPRODUCT(--('LÉEME'!$B$65:$B$86=AC251))=1,INDEX('LÉEME'!$C$65:$C$86,MATCH(AC251,'LÉEME'!$B$65:$B$86,0)),UPPER(TRIM(AB251))))</f>
      </c>
      <c r="T251" s="0" t="n">
        <f>IF(R251=0,0,IF(OR(AND(LEN(TRIM(B251&amp;""))&gt;0,UPPER(TRIM(B251&amp;""))&lt;&gt;UPPER(TRIM(INDEX($B$13:$B$512,R251)&amp;""))),AND(LEN(TRIM(C251&amp;""))&gt;0,UPPER(TRIM(C251&amp;""))&lt;&gt;UPPER(TRIM(INDEX($C$13:$C$512,R251)&amp;""))),AND(LEN(TRIM(E251&amp;""))&gt;0,S251&lt;&gt;INDEX($S$13:$S$512,R251)),AND(F251&lt;&gt;"",NOT(ISNUMBER(F251)))),1,IF(ISNUMBER(F251),IF(ABS(F251-INDEX($F$13:$F$512,R251))&gt;0.00000001,1,0),0)))</f>
        <v>0</v>
      </c>
      <c r="U251" s="0" t="n">
        <f>IF(P251="DIRECTA",IF(AND(ISNUMBER(G251),COUNTA(H251:J251)=0),1,0),IF(P251="DIMENSIONES",IF(AND(COUNT(G251:J251)&gt;0,COUNTA(G251:J251)=COUNT(G251:J251)),1,0),0))</f>
        <v>0</v>
      </c>
      <c r="V251" s="0" t="n">
        <f>IF(O251=0,0,IF(COUNTIFS($O$13:O251,O251)=1,1,0))</f>
        <v>0</v>
      </c>
      <c r="W251" s="0">
        <f>IF(V251=1,COUNTIFS($V$13:V251,1),"")</f>
      </c>
      <c r="X251" s="0">
        <f>IF(COUNTA(B251:L251)=0,"",IF(OR(NOT(IF(ISNUMBER($E$6),AND($E$6&gt;=0,$E$6&lt;=6,$E$6=INT($E$6)),FALSE)),O251=0,R251=0,T251&gt;0,AND(P251&lt;&gt;"DIMENSIONES",P251&lt;&gt;"DIRECTA",P251&lt;&gt;"SIN LÍNEAS",P251&lt;&gt;"CABECERA"),AND(OR(P251="DIRECTA",P251="DIMENSIONES"),U251=0),AND(OR(P251="SIN LÍNEAS",P251="CABECERA"),COUNTA(G251:J251)&gt;0)),2,IF(OR(P251="SIN LÍNEAS",Y251&gt;0,Z251&gt;0,AA251&gt;0,SUMPRODUCT(--('LÉEME'!$B$65:$B$86=AC251))&lt;&gt;1),1,0)))</f>
      </c>
      <c r="Y251" s="0" t="n">
        <f>IF(AND(P251="DIMENSIONES",S251="m²",COUNT(H251:J251)=3),1,0)</f>
        <v>0</v>
      </c>
      <c r="Z251" s="0" t="n">
        <f>IF(IF(ISNUMBER($E$6),AND($E$6&gt;=0,$E$6&lt;=6,$E$6=INT($E$6)),FALSE),IF(SUM(IF(ISNUMBER(F251),IF(ABS(F251-ROUND(F251,$E$6))&gt;0.00000001,1,0),0),IF(ISNUMBER(G251),IF(ABS(G251-ROUND(G251,$E$6))&gt;0.00000001,1,0),0),IF(ISNUMBER(H251),IF(ABS(H251-ROUND(H251,$E$6))&gt;0.00000001,1,0),0),IF(ISNUMBER(I251),IF(ABS(I251-ROUND(I251,$E$6))&gt;0.00000001,1,0),0),IF(ISNUMBER(J251),IF(ABS(J251-ROUND(J251,$E$6))&gt;0.00000001,1,0),0),IF(ISNUMBER(M251),IF(ABS(M251-ROUND(M251,$E$6))&gt;0.00000001,1,0),0))&gt;0,1,0),0)</f>
        <v>0</v>
      </c>
      <c r="AA251" s="0" t="n">
        <f>IF(COUNTA(B251:L251)=0,0,IF(OR(AND(ISNUMBER(F251),F251&lt;0),AND(U251=1,OR(SUM(IF(ISNUMBER(G251),IF(G251=0,1,0),0),IF(ISNUMBER(H251),IF(H251=0,1,0),0),IF(ISNUMBER(I251),IF(I251=0,1,0),0),IF(ISNUMBER(J251),IF(J251=0,1,0),0))&gt;0,COUNTIFS(G251:J251,"&lt;0")&gt;0)),AND(P251="DIMENSIONES",U251=1,OR(AND(S251="m",COUNT(H251:J251)&lt;&gt;1),AND(S251="m²",COUNT(H251:J251)&lt;&gt;2,Y251=0),AND(S251="m³",COUNT(H251:J251)&lt;&gt;3),AND(S251="ud",COUNT(H251:J251)&gt;0))),AND(P251="DIRECTA",OR(S251="m",S251="m²",S251="m³"))),1,0))</f>
        <v>0</v>
      </c>
      <c r="AB251" s="0">
        <f>IF(LEN(TRIM(E251&amp;""))&gt;0,E251,IF(R251&gt;0,INDEX($E$13:$E$512,R251),""))</f>
      </c>
      <c r="AC251" s="0">
        <f>UPPER(SUBSTITUTE(SUBSTITUTE(SUBSTITUTE(SUBSTITUTE(SUBSTITUTE(TRIM(AB251),"²","2"),"³","3"),"^",""),".","")," ",""))</f>
      </c>
    </row>
    <row r="252" ht="35" customHeight="1">
      <c r="B252" s="35"/>
      <c r="C252" s="35"/>
      <c r="D252" s="37"/>
      <c r="E252" s="35"/>
      <c r="F252" s="38"/>
      <c r="G252" s="38"/>
      <c r="H252" s="38"/>
      <c r="I252" s="38"/>
      <c r="J252" s="38"/>
      <c r="K252" s="35"/>
      <c r="L252" s="35"/>
      <c r="M252" s="39">
        <f>IF(U252&lt;&gt;1,"",IF(P252="DIRECTA",G252,IF(ISNUMBER(G252),G252,1)*IF(ISNUMBER(H252),H252,1)*IF(ISNUMBER(I252),I252,1)*IF(ISNUMBER(J252),J252,1)))</f>
      </c>
      <c r="N252" s="30">
        <f>IF(COUNTA(B252:L252)=0,"",IF(X252=0,IF(P252="CABECERA","VERDE · Fila descriptiva; la suma usa las líneas del ID","VERDE · Datos numéricos interpretables"),IF(X252=2,"ROJO · ","ÁMBAR · ")&amp;IF(NOT(IF(ISNUMBER($E$6),AND($E$6&gt;=0,$E$6&lt;=6,$E$6=INT($E$6)),FALSE)),"Indicamos entre 0 y 6 decimales en E6. ","")&amp;IF(O252=0,"Falta un ID numérico. ","")&amp;IF(R252=0,"Faltan capítulo, código, unidad o total numérico del ID. ","")&amp;IF(T252&gt;0,"Los datos o el total del ID se contradicen. ","")&amp;IF(AND(P252&lt;&gt;"DIMENSIONES",P252&lt;&gt;"DIRECTA",P252&lt;&gt;"SIN LÍNEAS",P252&lt;&gt;"CABECERA"),"Tipo de fila no reconocido. ","")&amp;IF(AND(OR(P252="SIN LÍNEAS",P252="CABECERA"),COUNTA(G252:J252)&gt;0),"La fila dice que no mide, pero contiene medidas. ","")&amp;IF(AND(OR(P252="DIRECTA",P252="DIMENSIONES"),U252=0),"Línea incompleta o con medidas no numéricas. ","")&amp;IF(P252="SIN LÍNEAS","No constan medidas de esta fila. ","")&amp;IF(Y252&gt;0,"Parece m³: tres dimensiones bajo m². ","")&amp;IF(AND(AB252&lt;&gt;"",SUMPRODUCT(--('LÉEME'!$B$65:$B$86=AC252))&lt;&gt;1),"Revisamos el significado de la unidad. ","")&amp;IF(Z252&gt;0,"Más precisión que los decimales indicados: cotejamos el original. ","")&amp;IF(AA252&gt;0,"Revisamos dimensiones, cantidad directa, ceros o deducción. ","")))</f>
      </c>
      <c r="O252" s="0" t="n">
        <f>IF(ISNUMBER(K252),IF(AND(K252&gt;0,K252=INT(K252),K252&lt;=999999),K252,0),0)</f>
        <v>0</v>
      </c>
      <c r="P252" s="0">
        <f>IF(COUNTA(B252:L252)=0,"",IF(L252="",IF(COUNTA(G252:J252)&gt;0,"DIMENSIONES","SIN LÍNEAS"),UPPER(TRIM(L252))))</f>
      </c>
      <c r="Q252" s="0">
        <f>IF(AND(O252&gt;0,LEN(TRIM(B252&amp;""))&gt;0,LEN(TRIM(C252&amp;""))&gt;0,LEN(TRIM(E252&amp;""))&gt;0,ISNUMBER(F252)),O252,"")</f>
      </c>
      <c r="R252" s="0" t="n">
        <f>IF(O252=0,0,IF(COUNTIFS($Q$13:$Q$512,O252)&gt;0,MATCH(O252,$Q$13:$Q$512,0),0))</f>
        <v>0</v>
      </c>
      <c r="S252" s="0">
        <f>IF(AB252="","",IF(SUMPRODUCT(--('LÉEME'!$B$65:$B$86=AC252))=1,INDEX('LÉEME'!$C$65:$C$86,MATCH(AC252,'LÉEME'!$B$65:$B$86,0)),UPPER(TRIM(AB252))))</f>
      </c>
      <c r="T252" s="0" t="n">
        <f>IF(R252=0,0,IF(OR(AND(LEN(TRIM(B252&amp;""))&gt;0,UPPER(TRIM(B252&amp;""))&lt;&gt;UPPER(TRIM(INDEX($B$13:$B$512,R252)&amp;""))),AND(LEN(TRIM(C252&amp;""))&gt;0,UPPER(TRIM(C252&amp;""))&lt;&gt;UPPER(TRIM(INDEX($C$13:$C$512,R252)&amp;""))),AND(LEN(TRIM(E252&amp;""))&gt;0,S252&lt;&gt;INDEX($S$13:$S$512,R252)),AND(F252&lt;&gt;"",NOT(ISNUMBER(F252)))),1,IF(ISNUMBER(F252),IF(ABS(F252-INDEX($F$13:$F$512,R252))&gt;0.00000001,1,0),0)))</f>
        <v>0</v>
      </c>
      <c r="U252" s="0" t="n">
        <f>IF(P252="DIRECTA",IF(AND(ISNUMBER(G252),COUNTA(H252:J252)=0),1,0),IF(P252="DIMENSIONES",IF(AND(COUNT(G252:J252)&gt;0,COUNTA(G252:J252)=COUNT(G252:J252)),1,0),0))</f>
        <v>0</v>
      </c>
      <c r="V252" s="0" t="n">
        <f>IF(O252=0,0,IF(COUNTIFS($O$13:O252,O252)=1,1,0))</f>
        <v>0</v>
      </c>
      <c r="W252" s="0">
        <f>IF(V252=1,COUNTIFS($V$13:V252,1),"")</f>
      </c>
      <c r="X252" s="0">
        <f>IF(COUNTA(B252:L252)=0,"",IF(OR(NOT(IF(ISNUMBER($E$6),AND($E$6&gt;=0,$E$6&lt;=6,$E$6=INT($E$6)),FALSE)),O252=0,R252=0,T252&gt;0,AND(P252&lt;&gt;"DIMENSIONES",P252&lt;&gt;"DIRECTA",P252&lt;&gt;"SIN LÍNEAS",P252&lt;&gt;"CABECERA"),AND(OR(P252="DIRECTA",P252="DIMENSIONES"),U252=0),AND(OR(P252="SIN LÍNEAS",P252="CABECERA"),COUNTA(G252:J252)&gt;0)),2,IF(OR(P252="SIN LÍNEAS",Y252&gt;0,Z252&gt;0,AA252&gt;0,SUMPRODUCT(--('LÉEME'!$B$65:$B$86=AC252))&lt;&gt;1),1,0)))</f>
      </c>
      <c r="Y252" s="0" t="n">
        <f>IF(AND(P252="DIMENSIONES",S252="m²",COUNT(H252:J252)=3),1,0)</f>
        <v>0</v>
      </c>
      <c r="Z252" s="0" t="n">
        <f>IF(IF(ISNUMBER($E$6),AND($E$6&gt;=0,$E$6&lt;=6,$E$6=INT($E$6)),FALSE),IF(SUM(IF(ISNUMBER(F252),IF(ABS(F252-ROUND(F252,$E$6))&gt;0.00000001,1,0),0),IF(ISNUMBER(G252),IF(ABS(G252-ROUND(G252,$E$6))&gt;0.00000001,1,0),0),IF(ISNUMBER(H252),IF(ABS(H252-ROUND(H252,$E$6))&gt;0.00000001,1,0),0),IF(ISNUMBER(I252),IF(ABS(I252-ROUND(I252,$E$6))&gt;0.00000001,1,0),0),IF(ISNUMBER(J252),IF(ABS(J252-ROUND(J252,$E$6))&gt;0.00000001,1,0),0),IF(ISNUMBER(M252),IF(ABS(M252-ROUND(M252,$E$6))&gt;0.00000001,1,0),0))&gt;0,1,0),0)</f>
        <v>0</v>
      </c>
      <c r="AA252" s="0" t="n">
        <f>IF(COUNTA(B252:L252)=0,0,IF(OR(AND(ISNUMBER(F252),F252&lt;0),AND(U252=1,OR(SUM(IF(ISNUMBER(G252),IF(G252=0,1,0),0),IF(ISNUMBER(H252),IF(H252=0,1,0),0),IF(ISNUMBER(I252),IF(I252=0,1,0),0),IF(ISNUMBER(J252),IF(J252=0,1,0),0))&gt;0,COUNTIFS(G252:J252,"&lt;0")&gt;0)),AND(P252="DIMENSIONES",U252=1,OR(AND(S252="m",COUNT(H252:J252)&lt;&gt;1),AND(S252="m²",COUNT(H252:J252)&lt;&gt;2,Y252=0),AND(S252="m³",COUNT(H252:J252)&lt;&gt;3),AND(S252="ud",COUNT(H252:J252)&gt;0))),AND(P252="DIRECTA",OR(S252="m",S252="m²",S252="m³"))),1,0))</f>
        <v>0</v>
      </c>
      <c r="AB252" s="0">
        <f>IF(LEN(TRIM(E252&amp;""))&gt;0,E252,IF(R252&gt;0,INDEX($E$13:$E$512,R252),""))</f>
      </c>
      <c r="AC252" s="0">
        <f>UPPER(SUBSTITUTE(SUBSTITUTE(SUBSTITUTE(SUBSTITUTE(SUBSTITUTE(TRIM(AB252),"²","2"),"³","3"),"^",""),".","")," ",""))</f>
      </c>
    </row>
    <row r="253" ht="35" customHeight="1">
      <c r="B253" s="35"/>
      <c r="C253" s="35"/>
      <c r="D253" s="37"/>
      <c r="E253" s="35"/>
      <c r="F253" s="38"/>
      <c r="G253" s="38"/>
      <c r="H253" s="38"/>
      <c r="I253" s="38"/>
      <c r="J253" s="38"/>
      <c r="K253" s="35"/>
      <c r="L253" s="35"/>
      <c r="M253" s="39">
        <f>IF(U253&lt;&gt;1,"",IF(P253="DIRECTA",G253,IF(ISNUMBER(G253),G253,1)*IF(ISNUMBER(H253),H253,1)*IF(ISNUMBER(I253),I253,1)*IF(ISNUMBER(J253),J253,1)))</f>
      </c>
      <c r="N253" s="30">
        <f>IF(COUNTA(B253:L253)=0,"",IF(X253=0,IF(P253="CABECERA","VERDE · Fila descriptiva; la suma usa las líneas del ID","VERDE · Datos numéricos interpretables"),IF(X253=2,"ROJO · ","ÁMBAR · ")&amp;IF(NOT(IF(ISNUMBER($E$6),AND($E$6&gt;=0,$E$6&lt;=6,$E$6=INT($E$6)),FALSE)),"Indicamos entre 0 y 6 decimales en E6. ","")&amp;IF(O253=0,"Falta un ID numérico. ","")&amp;IF(R253=0,"Faltan capítulo, código, unidad o total numérico del ID. ","")&amp;IF(T253&gt;0,"Los datos o el total del ID se contradicen. ","")&amp;IF(AND(P253&lt;&gt;"DIMENSIONES",P253&lt;&gt;"DIRECTA",P253&lt;&gt;"SIN LÍNEAS",P253&lt;&gt;"CABECERA"),"Tipo de fila no reconocido. ","")&amp;IF(AND(OR(P253="SIN LÍNEAS",P253="CABECERA"),COUNTA(G253:J253)&gt;0),"La fila dice que no mide, pero contiene medidas. ","")&amp;IF(AND(OR(P253="DIRECTA",P253="DIMENSIONES"),U253=0),"Línea incompleta o con medidas no numéricas. ","")&amp;IF(P253="SIN LÍNEAS","No constan medidas de esta fila. ","")&amp;IF(Y253&gt;0,"Parece m³: tres dimensiones bajo m². ","")&amp;IF(AND(AB253&lt;&gt;"",SUMPRODUCT(--('LÉEME'!$B$65:$B$86=AC253))&lt;&gt;1),"Revisamos el significado de la unidad. ","")&amp;IF(Z253&gt;0,"Más precisión que los decimales indicados: cotejamos el original. ","")&amp;IF(AA253&gt;0,"Revisamos dimensiones, cantidad directa, ceros o deducción. ","")))</f>
      </c>
      <c r="O253" s="0" t="n">
        <f>IF(ISNUMBER(K253),IF(AND(K253&gt;0,K253=INT(K253),K253&lt;=999999),K253,0),0)</f>
        <v>0</v>
      </c>
      <c r="P253" s="0">
        <f>IF(COUNTA(B253:L253)=0,"",IF(L253="",IF(COUNTA(G253:J253)&gt;0,"DIMENSIONES","SIN LÍNEAS"),UPPER(TRIM(L253))))</f>
      </c>
      <c r="Q253" s="0">
        <f>IF(AND(O253&gt;0,LEN(TRIM(B253&amp;""))&gt;0,LEN(TRIM(C253&amp;""))&gt;0,LEN(TRIM(E253&amp;""))&gt;0,ISNUMBER(F253)),O253,"")</f>
      </c>
      <c r="R253" s="0" t="n">
        <f>IF(O253=0,0,IF(COUNTIFS($Q$13:$Q$512,O253)&gt;0,MATCH(O253,$Q$13:$Q$512,0),0))</f>
        <v>0</v>
      </c>
      <c r="S253" s="0">
        <f>IF(AB253="","",IF(SUMPRODUCT(--('LÉEME'!$B$65:$B$86=AC253))=1,INDEX('LÉEME'!$C$65:$C$86,MATCH(AC253,'LÉEME'!$B$65:$B$86,0)),UPPER(TRIM(AB253))))</f>
      </c>
      <c r="T253" s="0" t="n">
        <f>IF(R253=0,0,IF(OR(AND(LEN(TRIM(B253&amp;""))&gt;0,UPPER(TRIM(B253&amp;""))&lt;&gt;UPPER(TRIM(INDEX($B$13:$B$512,R253)&amp;""))),AND(LEN(TRIM(C253&amp;""))&gt;0,UPPER(TRIM(C253&amp;""))&lt;&gt;UPPER(TRIM(INDEX($C$13:$C$512,R253)&amp;""))),AND(LEN(TRIM(E253&amp;""))&gt;0,S253&lt;&gt;INDEX($S$13:$S$512,R253)),AND(F253&lt;&gt;"",NOT(ISNUMBER(F253)))),1,IF(ISNUMBER(F253),IF(ABS(F253-INDEX($F$13:$F$512,R253))&gt;0.00000001,1,0),0)))</f>
        <v>0</v>
      </c>
      <c r="U253" s="0" t="n">
        <f>IF(P253="DIRECTA",IF(AND(ISNUMBER(G253),COUNTA(H253:J253)=0),1,0),IF(P253="DIMENSIONES",IF(AND(COUNT(G253:J253)&gt;0,COUNTA(G253:J253)=COUNT(G253:J253)),1,0),0))</f>
        <v>0</v>
      </c>
      <c r="V253" s="0" t="n">
        <f>IF(O253=0,0,IF(COUNTIFS($O$13:O253,O253)=1,1,0))</f>
        <v>0</v>
      </c>
      <c r="W253" s="0">
        <f>IF(V253=1,COUNTIFS($V$13:V253,1),"")</f>
      </c>
      <c r="X253" s="0">
        <f>IF(COUNTA(B253:L253)=0,"",IF(OR(NOT(IF(ISNUMBER($E$6),AND($E$6&gt;=0,$E$6&lt;=6,$E$6=INT($E$6)),FALSE)),O253=0,R253=0,T253&gt;0,AND(P253&lt;&gt;"DIMENSIONES",P253&lt;&gt;"DIRECTA",P253&lt;&gt;"SIN LÍNEAS",P253&lt;&gt;"CABECERA"),AND(OR(P253="DIRECTA",P253="DIMENSIONES"),U253=0),AND(OR(P253="SIN LÍNEAS",P253="CABECERA"),COUNTA(G253:J253)&gt;0)),2,IF(OR(P253="SIN LÍNEAS",Y253&gt;0,Z253&gt;0,AA253&gt;0,SUMPRODUCT(--('LÉEME'!$B$65:$B$86=AC253))&lt;&gt;1),1,0)))</f>
      </c>
      <c r="Y253" s="0" t="n">
        <f>IF(AND(P253="DIMENSIONES",S253="m²",COUNT(H253:J253)=3),1,0)</f>
        <v>0</v>
      </c>
      <c r="Z253" s="0" t="n">
        <f>IF(IF(ISNUMBER($E$6),AND($E$6&gt;=0,$E$6&lt;=6,$E$6=INT($E$6)),FALSE),IF(SUM(IF(ISNUMBER(F253),IF(ABS(F253-ROUND(F253,$E$6))&gt;0.00000001,1,0),0),IF(ISNUMBER(G253),IF(ABS(G253-ROUND(G253,$E$6))&gt;0.00000001,1,0),0),IF(ISNUMBER(H253),IF(ABS(H253-ROUND(H253,$E$6))&gt;0.00000001,1,0),0),IF(ISNUMBER(I253),IF(ABS(I253-ROUND(I253,$E$6))&gt;0.00000001,1,0),0),IF(ISNUMBER(J253),IF(ABS(J253-ROUND(J253,$E$6))&gt;0.00000001,1,0),0),IF(ISNUMBER(M253),IF(ABS(M253-ROUND(M253,$E$6))&gt;0.00000001,1,0),0))&gt;0,1,0),0)</f>
        <v>0</v>
      </c>
      <c r="AA253" s="0" t="n">
        <f>IF(COUNTA(B253:L253)=0,0,IF(OR(AND(ISNUMBER(F253),F253&lt;0),AND(U253=1,OR(SUM(IF(ISNUMBER(G253),IF(G253=0,1,0),0),IF(ISNUMBER(H253),IF(H253=0,1,0),0),IF(ISNUMBER(I253),IF(I253=0,1,0),0),IF(ISNUMBER(J253),IF(J253=0,1,0),0))&gt;0,COUNTIFS(G253:J253,"&lt;0")&gt;0)),AND(P253="DIMENSIONES",U253=1,OR(AND(S253="m",COUNT(H253:J253)&lt;&gt;1),AND(S253="m²",COUNT(H253:J253)&lt;&gt;2,Y253=0),AND(S253="m³",COUNT(H253:J253)&lt;&gt;3),AND(S253="ud",COUNT(H253:J253)&gt;0))),AND(P253="DIRECTA",OR(S253="m",S253="m²",S253="m³"))),1,0))</f>
        <v>0</v>
      </c>
      <c r="AB253" s="0">
        <f>IF(LEN(TRIM(E253&amp;""))&gt;0,E253,IF(R253&gt;0,INDEX($E$13:$E$512,R253),""))</f>
      </c>
      <c r="AC253" s="0">
        <f>UPPER(SUBSTITUTE(SUBSTITUTE(SUBSTITUTE(SUBSTITUTE(SUBSTITUTE(TRIM(AB253),"²","2"),"³","3"),"^",""),".","")," ",""))</f>
      </c>
    </row>
    <row r="254" ht="35" customHeight="1">
      <c r="B254" s="35"/>
      <c r="C254" s="35"/>
      <c r="D254" s="37"/>
      <c r="E254" s="35"/>
      <c r="F254" s="38"/>
      <c r="G254" s="38"/>
      <c r="H254" s="38"/>
      <c r="I254" s="38"/>
      <c r="J254" s="38"/>
      <c r="K254" s="35"/>
      <c r="L254" s="35"/>
      <c r="M254" s="39">
        <f>IF(U254&lt;&gt;1,"",IF(P254="DIRECTA",G254,IF(ISNUMBER(G254),G254,1)*IF(ISNUMBER(H254),H254,1)*IF(ISNUMBER(I254),I254,1)*IF(ISNUMBER(J254),J254,1)))</f>
      </c>
      <c r="N254" s="30">
        <f>IF(COUNTA(B254:L254)=0,"",IF(X254=0,IF(P254="CABECERA","VERDE · Fila descriptiva; la suma usa las líneas del ID","VERDE · Datos numéricos interpretables"),IF(X254=2,"ROJO · ","ÁMBAR · ")&amp;IF(NOT(IF(ISNUMBER($E$6),AND($E$6&gt;=0,$E$6&lt;=6,$E$6=INT($E$6)),FALSE)),"Indicamos entre 0 y 6 decimales en E6. ","")&amp;IF(O254=0,"Falta un ID numérico. ","")&amp;IF(R254=0,"Faltan capítulo, código, unidad o total numérico del ID. ","")&amp;IF(T254&gt;0,"Los datos o el total del ID se contradicen. ","")&amp;IF(AND(P254&lt;&gt;"DIMENSIONES",P254&lt;&gt;"DIRECTA",P254&lt;&gt;"SIN LÍNEAS",P254&lt;&gt;"CABECERA"),"Tipo de fila no reconocido. ","")&amp;IF(AND(OR(P254="SIN LÍNEAS",P254="CABECERA"),COUNTA(G254:J254)&gt;0),"La fila dice que no mide, pero contiene medidas. ","")&amp;IF(AND(OR(P254="DIRECTA",P254="DIMENSIONES"),U254=0),"Línea incompleta o con medidas no numéricas. ","")&amp;IF(P254="SIN LÍNEAS","No constan medidas de esta fila. ","")&amp;IF(Y254&gt;0,"Parece m³: tres dimensiones bajo m². ","")&amp;IF(AND(AB254&lt;&gt;"",SUMPRODUCT(--('LÉEME'!$B$65:$B$86=AC254))&lt;&gt;1),"Revisamos el significado de la unidad. ","")&amp;IF(Z254&gt;0,"Más precisión que los decimales indicados: cotejamos el original. ","")&amp;IF(AA254&gt;0,"Revisamos dimensiones, cantidad directa, ceros o deducción. ","")))</f>
      </c>
      <c r="O254" s="0" t="n">
        <f>IF(ISNUMBER(K254),IF(AND(K254&gt;0,K254=INT(K254),K254&lt;=999999),K254,0),0)</f>
        <v>0</v>
      </c>
      <c r="P254" s="0">
        <f>IF(COUNTA(B254:L254)=0,"",IF(L254="",IF(COUNTA(G254:J254)&gt;0,"DIMENSIONES","SIN LÍNEAS"),UPPER(TRIM(L254))))</f>
      </c>
      <c r="Q254" s="0">
        <f>IF(AND(O254&gt;0,LEN(TRIM(B254&amp;""))&gt;0,LEN(TRIM(C254&amp;""))&gt;0,LEN(TRIM(E254&amp;""))&gt;0,ISNUMBER(F254)),O254,"")</f>
      </c>
      <c r="R254" s="0" t="n">
        <f>IF(O254=0,0,IF(COUNTIFS($Q$13:$Q$512,O254)&gt;0,MATCH(O254,$Q$13:$Q$512,0),0))</f>
        <v>0</v>
      </c>
      <c r="S254" s="0">
        <f>IF(AB254="","",IF(SUMPRODUCT(--('LÉEME'!$B$65:$B$86=AC254))=1,INDEX('LÉEME'!$C$65:$C$86,MATCH(AC254,'LÉEME'!$B$65:$B$86,0)),UPPER(TRIM(AB254))))</f>
      </c>
      <c r="T254" s="0" t="n">
        <f>IF(R254=0,0,IF(OR(AND(LEN(TRIM(B254&amp;""))&gt;0,UPPER(TRIM(B254&amp;""))&lt;&gt;UPPER(TRIM(INDEX($B$13:$B$512,R254)&amp;""))),AND(LEN(TRIM(C254&amp;""))&gt;0,UPPER(TRIM(C254&amp;""))&lt;&gt;UPPER(TRIM(INDEX($C$13:$C$512,R254)&amp;""))),AND(LEN(TRIM(E254&amp;""))&gt;0,S254&lt;&gt;INDEX($S$13:$S$512,R254)),AND(F254&lt;&gt;"",NOT(ISNUMBER(F254)))),1,IF(ISNUMBER(F254),IF(ABS(F254-INDEX($F$13:$F$512,R254))&gt;0.00000001,1,0),0)))</f>
        <v>0</v>
      </c>
      <c r="U254" s="0" t="n">
        <f>IF(P254="DIRECTA",IF(AND(ISNUMBER(G254),COUNTA(H254:J254)=0),1,0),IF(P254="DIMENSIONES",IF(AND(COUNT(G254:J254)&gt;0,COUNTA(G254:J254)=COUNT(G254:J254)),1,0),0))</f>
        <v>0</v>
      </c>
      <c r="V254" s="0" t="n">
        <f>IF(O254=0,0,IF(COUNTIFS($O$13:O254,O254)=1,1,0))</f>
        <v>0</v>
      </c>
      <c r="W254" s="0">
        <f>IF(V254=1,COUNTIFS($V$13:V254,1),"")</f>
      </c>
      <c r="X254" s="0">
        <f>IF(COUNTA(B254:L254)=0,"",IF(OR(NOT(IF(ISNUMBER($E$6),AND($E$6&gt;=0,$E$6&lt;=6,$E$6=INT($E$6)),FALSE)),O254=0,R254=0,T254&gt;0,AND(P254&lt;&gt;"DIMENSIONES",P254&lt;&gt;"DIRECTA",P254&lt;&gt;"SIN LÍNEAS",P254&lt;&gt;"CABECERA"),AND(OR(P254="DIRECTA",P254="DIMENSIONES"),U254=0),AND(OR(P254="SIN LÍNEAS",P254="CABECERA"),COUNTA(G254:J254)&gt;0)),2,IF(OR(P254="SIN LÍNEAS",Y254&gt;0,Z254&gt;0,AA254&gt;0,SUMPRODUCT(--('LÉEME'!$B$65:$B$86=AC254))&lt;&gt;1),1,0)))</f>
      </c>
      <c r="Y254" s="0" t="n">
        <f>IF(AND(P254="DIMENSIONES",S254="m²",COUNT(H254:J254)=3),1,0)</f>
        <v>0</v>
      </c>
      <c r="Z254" s="0" t="n">
        <f>IF(IF(ISNUMBER($E$6),AND($E$6&gt;=0,$E$6&lt;=6,$E$6=INT($E$6)),FALSE),IF(SUM(IF(ISNUMBER(F254),IF(ABS(F254-ROUND(F254,$E$6))&gt;0.00000001,1,0),0),IF(ISNUMBER(G254),IF(ABS(G254-ROUND(G254,$E$6))&gt;0.00000001,1,0),0),IF(ISNUMBER(H254),IF(ABS(H254-ROUND(H254,$E$6))&gt;0.00000001,1,0),0),IF(ISNUMBER(I254),IF(ABS(I254-ROUND(I254,$E$6))&gt;0.00000001,1,0),0),IF(ISNUMBER(J254),IF(ABS(J254-ROUND(J254,$E$6))&gt;0.00000001,1,0),0),IF(ISNUMBER(M254),IF(ABS(M254-ROUND(M254,$E$6))&gt;0.00000001,1,0),0))&gt;0,1,0),0)</f>
        <v>0</v>
      </c>
      <c r="AA254" s="0" t="n">
        <f>IF(COUNTA(B254:L254)=0,0,IF(OR(AND(ISNUMBER(F254),F254&lt;0),AND(U254=1,OR(SUM(IF(ISNUMBER(G254),IF(G254=0,1,0),0),IF(ISNUMBER(H254),IF(H254=0,1,0),0),IF(ISNUMBER(I254),IF(I254=0,1,0),0),IF(ISNUMBER(J254),IF(J254=0,1,0),0))&gt;0,COUNTIFS(G254:J254,"&lt;0")&gt;0)),AND(P254="DIMENSIONES",U254=1,OR(AND(S254="m",COUNT(H254:J254)&lt;&gt;1),AND(S254="m²",COUNT(H254:J254)&lt;&gt;2,Y254=0),AND(S254="m³",COUNT(H254:J254)&lt;&gt;3),AND(S254="ud",COUNT(H254:J254)&gt;0))),AND(P254="DIRECTA",OR(S254="m",S254="m²",S254="m³"))),1,0))</f>
        <v>0</v>
      </c>
      <c r="AB254" s="0">
        <f>IF(LEN(TRIM(E254&amp;""))&gt;0,E254,IF(R254&gt;0,INDEX($E$13:$E$512,R254),""))</f>
      </c>
      <c r="AC254" s="0">
        <f>UPPER(SUBSTITUTE(SUBSTITUTE(SUBSTITUTE(SUBSTITUTE(SUBSTITUTE(TRIM(AB254),"²","2"),"³","3"),"^",""),".","")," ",""))</f>
      </c>
    </row>
    <row r="255" ht="35" customHeight="1">
      <c r="B255" s="35"/>
      <c r="C255" s="35"/>
      <c r="D255" s="37"/>
      <c r="E255" s="35"/>
      <c r="F255" s="38"/>
      <c r="G255" s="38"/>
      <c r="H255" s="38"/>
      <c r="I255" s="38"/>
      <c r="J255" s="38"/>
      <c r="K255" s="35"/>
      <c r="L255" s="35"/>
      <c r="M255" s="39">
        <f>IF(U255&lt;&gt;1,"",IF(P255="DIRECTA",G255,IF(ISNUMBER(G255),G255,1)*IF(ISNUMBER(H255),H255,1)*IF(ISNUMBER(I255),I255,1)*IF(ISNUMBER(J255),J255,1)))</f>
      </c>
      <c r="N255" s="30">
        <f>IF(COUNTA(B255:L255)=0,"",IF(X255=0,IF(P255="CABECERA","VERDE · Fila descriptiva; la suma usa las líneas del ID","VERDE · Datos numéricos interpretables"),IF(X255=2,"ROJO · ","ÁMBAR · ")&amp;IF(NOT(IF(ISNUMBER($E$6),AND($E$6&gt;=0,$E$6&lt;=6,$E$6=INT($E$6)),FALSE)),"Indicamos entre 0 y 6 decimales en E6. ","")&amp;IF(O255=0,"Falta un ID numérico. ","")&amp;IF(R255=0,"Faltan capítulo, código, unidad o total numérico del ID. ","")&amp;IF(T255&gt;0,"Los datos o el total del ID se contradicen. ","")&amp;IF(AND(P255&lt;&gt;"DIMENSIONES",P255&lt;&gt;"DIRECTA",P255&lt;&gt;"SIN LÍNEAS",P255&lt;&gt;"CABECERA"),"Tipo de fila no reconocido. ","")&amp;IF(AND(OR(P255="SIN LÍNEAS",P255="CABECERA"),COUNTA(G255:J255)&gt;0),"La fila dice que no mide, pero contiene medidas. ","")&amp;IF(AND(OR(P255="DIRECTA",P255="DIMENSIONES"),U255=0),"Línea incompleta o con medidas no numéricas. ","")&amp;IF(P255="SIN LÍNEAS","No constan medidas de esta fila. ","")&amp;IF(Y255&gt;0,"Parece m³: tres dimensiones bajo m². ","")&amp;IF(AND(AB255&lt;&gt;"",SUMPRODUCT(--('LÉEME'!$B$65:$B$86=AC255))&lt;&gt;1),"Revisamos el significado de la unidad. ","")&amp;IF(Z255&gt;0,"Más precisión que los decimales indicados: cotejamos el original. ","")&amp;IF(AA255&gt;0,"Revisamos dimensiones, cantidad directa, ceros o deducción. ","")))</f>
      </c>
      <c r="O255" s="0" t="n">
        <f>IF(ISNUMBER(K255),IF(AND(K255&gt;0,K255=INT(K255),K255&lt;=999999),K255,0),0)</f>
        <v>0</v>
      </c>
      <c r="P255" s="0">
        <f>IF(COUNTA(B255:L255)=0,"",IF(L255="",IF(COUNTA(G255:J255)&gt;0,"DIMENSIONES","SIN LÍNEAS"),UPPER(TRIM(L255))))</f>
      </c>
      <c r="Q255" s="0">
        <f>IF(AND(O255&gt;0,LEN(TRIM(B255&amp;""))&gt;0,LEN(TRIM(C255&amp;""))&gt;0,LEN(TRIM(E255&amp;""))&gt;0,ISNUMBER(F255)),O255,"")</f>
      </c>
      <c r="R255" s="0" t="n">
        <f>IF(O255=0,0,IF(COUNTIFS($Q$13:$Q$512,O255)&gt;0,MATCH(O255,$Q$13:$Q$512,0),0))</f>
        <v>0</v>
      </c>
      <c r="S255" s="0">
        <f>IF(AB255="","",IF(SUMPRODUCT(--('LÉEME'!$B$65:$B$86=AC255))=1,INDEX('LÉEME'!$C$65:$C$86,MATCH(AC255,'LÉEME'!$B$65:$B$86,0)),UPPER(TRIM(AB255))))</f>
      </c>
      <c r="T255" s="0" t="n">
        <f>IF(R255=0,0,IF(OR(AND(LEN(TRIM(B255&amp;""))&gt;0,UPPER(TRIM(B255&amp;""))&lt;&gt;UPPER(TRIM(INDEX($B$13:$B$512,R255)&amp;""))),AND(LEN(TRIM(C255&amp;""))&gt;0,UPPER(TRIM(C255&amp;""))&lt;&gt;UPPER(TRIM(INDEX($C$13:$C$512,R255)&amp;""))),AND(LEN(TRIM(E255&amp;""))&gt;0,S255&lt;&gt;INDEX($S$13:$S$512,R255)),AND(F255&lt;&gt;"",NOT(ISNUMBER(F255)))),1,IF(ISNUMBER(F255),IF(ABS(F255-INDEX($F$13:$F$512,R255))&gt;0.00000001,1,0),0)))</f>
        <v>0</v>
      </c>
      <c r="U255" s="0" t="n">
        <f>IF(P255="DIRECTA",IF(AND(ISNUMBER(G255),COUNTA(H255:J255)=0),1,0),IF(P255="DIMENSIONES",IF(AND(COUNT(G255:J255)&gt;0,COUNTA(G255:J255)=COUNT(G255:J255)),1,0),0))</f>
        <v>0</v>
      </c>
      <c r="V255" s="0" t="n">
        <f>IF(O255=0,0,IF(COUNTIFS($O$13:O255,O255)=1,1,0))</f>
        <v>0</v>
      </c>
      <c r="W255" s="0">
        <f>IF(V255=1,COUNTIFS($V$13:V255,1),"")</f>
      </c>
      <c r="X255" s="0">
        <f>IF(COUNTA(B255:L255)=0,"",IF(OR(NOT(IF(ISNUMBER($E$6),AND($E$6&gt;=0,$E$6&lt;=6,$E$6=INT($E$6)),FALSE)),O255=0,R255=0,T255&gt;0,AND(P255&lt;&gt;"DIMENSIONES",P255&lt;&gt;"DIRECTA",P255&lt;&gt;"SIN LÍNEAS",P255&lt;&gt;"CABECERA"),AND(OR(P255="DIRECTA",P255="DIMENSIONES"),U255=0),AND(OR(P255="SIN LÍNEAS",P255="CABECERA"),COUNTA(G255:J255)&gt;0)),2,IF(OR(P255="SIN LÍNEAS",Y255&gt;0,Z255&gt;0,AA255&gt;0,SUMPRODUCT(--('LÉEME'!$B$65:$B$86=AC255))&lt;&gt;1),1,0)))</f>
      </c>
      <c r="Y255" s="0" t="n">
        <f>IF(AND(P255="DIMENSIONES",S255="m²",COUNT(H255:J255)=3),1,0)</f>
        <v>0</v>
      </c>
      <c r="Z255" s="0" t="n">
        <f>IF(IF(ISNUMBER($E$6),AND($E$6&gt;=0,$E$6&lt;=6,$E$6=INT($E$6)),FALSE),IF(SUM(IF(ISNUMBER(F255),IF(ABS(F255-ROUND(F255,$E$6))&gt;0.00000001,1,0),0),IF(ISNUMBER(G255),IF(ABS(G255-ROUND(G255,$E$6))&gt;0.00000001,1,0),0),IF(ISNUMBER(H255),IF(ABS(H255-ROUND(H255,$E$6))&gt;0.00000001,1,0),0),IF(ISNUMBER(I255),IF(ABS(I255-ROUND(I255,$E$6))&gt;0.00000001,1,0),0),IF(ISNUMBER(J255),IF(ABS(J255-ROUND(J255,$E$6))&gt;0.00000001,1,0),0),IF(ISNUMBER(M255),IF(ABS(M255-ROUND(M255,$E$6))&gt;0.00000001,1,0),0))&gt;0,1,0),0)</f>
        <v>0</v>
      </c>
      <c r="AA255" s="0" t="n">
        <f>IF(COUNTA(B255:L255)=0,0,IF(OR(AND(ISNUMBER(F255),F255&lt;0),AND(U255=1,OR(SUM(IF(ISNUMBER(G255),IF(G255=0,1,0),0),IF(ISNUMBER(H255),IF(H255=0,1,0),0),IF(ISNUMBER(I255),IF(I255=0,1,0),0),IF(ISNUMBER(J255),IF(J255=0,1,0),0))&gt;0,COUNTIFS(G255:J255,"&lt;0")&gt;0)),AND(P255="DIMENSIONES",U255=1,OR(AND(S255="m",COUNT(H255:J255)&lt;&gt;1),AND(S255="m²",COUNT(H255:J255)&lt;&gt;2,Y255=0),AND(S255="m³",COUNT(H255:J255)&lt;&gt;3),AND(S255="ud",COUNT(H255:J255)&gt;0))),AND(P255="DIRECTA",OR(S255="m",S255="m²",S255="m³"))),1,0))</f>
        <v>0</v>
      </c>
      <c r="AB255" s="0">
        <f>IF(LEN(TRIM(E255&amp;""))&gt;0,E255,IF(R255&gt;0,INDEX($E$13:$E$512,R255),""))</f>
      </c>
      <c r="AC255" s="0">
        <f>UPPER(SUBSTITUTE(SUBSTITUTE(SUBSTITUTE(SUBSTITUTE(SUBSTITUTE(TRIM(AB255),"²","2"),"³","3"),"^",""),".","")," ",""))</f>
      </c>
    </row>
    <row r="256" ht="35" customHeight="1">
      <c r="B256" s="35"/>
      <c r="C256" s="35"/>
      <c r="D256" s="37"/>
      <c r="E256" s="35"/>
      <c r="F256" s="38"/>
      <c r="G256" s="38"/>
      <c r="H256" s="38"/>
      <c r="I256" s="38"/>
      <c r="J256" s="38"/>
      <c r="K256" s="35"/>
      <c r="L256" s="35"/>
      <c r="M256" s="39">
        <f>IF(U256&lt;&gt;1,"",IF(P256="DIRECTA",G256,IF(ISNUMBER(G256),G256,1)*IF(ISNUMBER(H256),H256,1)*IF(ISNUMBER(I256),I256,1)*IF(ISNUMBER(J256),J256,1)))</f>
      </c>
      <c r="N256" s="30">
        <f>IF(COUNTA(B256:L256)=0,"",IF(X256=0,IF(P256="CABECERA","VERDE · Fila descriptiva; la suma usa las líneas del ID","VERDE · Datos numéricos interpretables"),IF(X256=2,"ROJO · ","ÁMBAR · ")&amp;IF(NOT(IF(ISNUMBER($E$6),AND($E$6&gt;=0,$E$6&lt;=6,$E$6=INT($E$6)),FALSE)),"Indicamos entre 0 y 6 decimales en E6. ","")&amp;IF(O256=0,"Falta un ID numérico. ","")&amp;IF(R256=0,"Faltan capítulo, código, unidad o total numérico del ID. ","")&amp;IF(T256&gt;0,"Los datos o el total del ID se contradicen. ","")&amp;IF(AND(P256&lt;&gt;"DIMENSIONES",P256&lt;&gt;"DIRECTA",P256&lt;&gt;"SIN LÍNEAS",P256&lt;&gt;"CABECERA"),"Tipo de fila no reconocido. ","")&amp;IF(AND(OR(P256="SIN LÍNEAS",P256="CABECERA"),COUNTA(G256:J256)&gt;0),"La fila dice que no mide, pero contiene medidas. ","")&amp;IF(AND(OR(P256="DIRECTA",P256="DIMENSIONES"),U256=0),"Línea incompleta o con medidas no numéricas. ","")&amp;IF(P256="SIN LÍNEAS","No constan medidas de esta fila. ","")&amp;IF(Y256&gt;0,"Parece m³: tres dimensiones bajo m². ","")&amp;IF(AND(AB256&lt;&gt;"",SUMPRODUCT(--('LÉEME'!$B$65:$B$86=AC256))&lt;&gt;1),"Revisamos el significado de la unidad. ","")&amp;IF(Z256&gt;0,"Más precisión que los decimales indicados: cotejamos el original. ","")&amp;IF(AA256&gt;0,"Revisamos dimensiones, cantidad directa, ceros o deducción. ","")))</f>
      </c>
      <c r="O256" s="0" t="n">
        <f>IF(ISNUMBER(K256),IF(AND(K256&gt;0,K256=INT(K256),K256&lt;=999999),K256,0),0)</f>
        <v>0</v>
      </c>
      <c r="P256" s="0">
        <f>IF(COUNTA(B256:L256)=0,"",IF(L256="",IF(COUNTA(G256:J256)&gt;0,"DIMENSIONES","SIN LÍNEAS"),UPPER(TRIM(L256))))</f>
      </c>
      <c r="Q256" s="0">
        <f>IF(AND(O256&gt;0,LEN(TRIM(B256&amp;""))&gt;0,LEN(TRIM(C256&amp;""))&gt;0,LEN(TRIM(E256&amp;""))&gt;0,ISNUMBER(F256)),O256,"")</f>
      </c>
      <c r="R256" s="0" t="n">
        <f>IF(O256=0,0,IF(COUNTIFS($Q$13:$Q$512,O256)&gt;0,MATCH(O256,$Q$13:$Q$512,0),0))</f>
        <v>0</v>
      </c>
      <c r="S256" s="0">
        <f>IF(AB256="","",IF(SUMPRODUCT(--('LÉEME'!$B$65:$B$86=AC256))=1,INDEX('LÉEME'!$C$65:$C$86,MATCH(AC256,'LÉEME'!$B$65:$B$86,0)),UPPER(TRIM(AB256))))</f>
      </c>
      <c r="T256" s="0" t="n">
        <f>IF(R256=0,0,IF(OR(AND(LEN(TRIM(B256&amp;""))&gt;0,UPPER(TRIM(B256&amp;""))&lt;&gt;UPPER(TRIM(INDEX($B$13:$B$512,R256)&amp;""))),AND(LEN(TRIM(C256&amp;""))&gt;0,UPPER(TRIM(C256&amp;""))&lt;&gt;UPPER(TRIM(INDEX($C$13:$C$512,R256)&amp;""))),AND(LEN(TRIM(E256&amp;""))&gt;0,S256&lt;&gt;INDEX($S$13:$S$512,R256)),AND(F256&lt;&gt;"",NOT(ISNUMBER(F256)))),1,IF(ISNUMBER(F256),IF(ABS(F256-INDEX($F$13:$F$512,R256))&gt;0.00000001,1,0),0)))</f>
        <v>0</v>
      </c>
      <c r="U256" s="0" t="n">
        <f>IF(P256="DIRECTA",IF(AND(ISNUMBER(G256),COUNTA(H256:J256)=0),1,0),IF(P256="DIMENSIONES",IF(AND(COUNT(G256:J256)&gt;0,COUNTA(G256:J256)=COUNT(G256:J256)),1,0),0))</f>
        <v>0</v>
      </c>
      <c r="V256" s="0" t="n">
        <f>IF(O256=0,0,IF(COUNTIFS($O$13:O256,O256)=1,1,0))</f>
        <v>0</v>
      </c>
      <c r="W256" s="0">
        <f>IF(V256=1,COUNTIFS($V$13:V256,1),"")</f>
      </c>
      <c r="X256" s="0">
        <f>IF(COUNTA(B256:L256)=0,"",IF(OR(NOT(IF(ISNUMBER($E$6),AND($E$6&gt;=0,$E$6&lt;=6,$E$6=INT($E$6)),FALSE)),O256=0,R256=0,T256&gt;0,AND(P256&lt;&gt;"DIMENSIONES",P256&lt;&gt;"DIRECTA",P256&lt;&gt;"SIN LÍNEAS",P256&lt;&gt;"CABECERA"),AND(OR(P256="DIRECTA",P256="DIMENSIONES"),U256=0),AND(OR(P256="SIN LÍNEAS",P256="CABECERA"),COUNTA(G256:J256)&gt;0)),2,IF(OR(P256="SIN LÍNEAS",Y256&gt;0,Z256&gt;0,AA256&gt;0,SUMPRODUCT(--('LÉEME'!$B$65:$B$86=AC256))&lt;&gt;1),1,0)))</f>
      </c>
      <c r="Y256" s="0" t="n">
        <f>IF(AND(P256="DIMENSIONES",S256="m²",COUNT(H256:J256)=3),1,0)</f>
        <v>0</v>
      </c>
      <c r="Z256" s="0" t="n">
        <f>IF(IF(ISNUMBER($E$6),AND($E$6&gt;=0,$E$6&lt;=6,$E$6=INT($E$6)),FALSE),IF(SUM(IF(ISNUMBER(F256),IF(ABS(F256-ROUND(F256,$E$6))&gt;0.00000001,1,0),0),IF(ISNUMBER(G256),IF(ABS(G256-ROUND(G256,$E$6))&gt;0.00000001,1,0),0),IF(ISNUMBER(H256),IF(ABS(H256-ROUND(H256,$E$6))&gt;0.00000001,1,0),0),IF(ISNUMBER(I256),IF(ABS(I256-ROUND(I256,$E$6))&gt;0.00000001,1,0),0),IF(ISNUMBER(J256),IF(ABS(J256-ROUND(J256,$E$6))&gt;0.00000001,1,0),0),IF(ISNUMBER(M256),IF(ABS(M256-ROUND(M256,$E$6))&gt;0.00000001,1,0),0))&gt;0,1,0),0)</f>
        <v>0</v>
      </c>
      <c r="AA256" s="0" t="n">
        <f>IF(COUNTA(B256:L256)=0,0,IF(OR(AND(ISNUMBER(F256),F256&lt;0),AND(U256=1,OR(SUM(IF(ISNUMBER(G256),IF(G256=0,1,0),0),IF(ISNUMBER(H256),IF(H256=0,1,0),0),IF(ISNUMBER(I256),IF(I256=0,1,0),0),IF(ISNUMBER(J256),IF(J256=0,1,0),0))&gt;0,COUNTIFS(G256:J256,"&lt;0")&gt;0)),AND(P256="DIMENSIONES",U256=1,OR(AND(S256="m",COUNT(H256:J256)&lt;&gt;1),AND(S256="m²",COUNT(H256:J256)&lt;&gt;2,Y256=0),AND(S256="m³",COUNT(H256:J256)&lt;&gt;3),AND(S256="ud",COUNT(H256:J256)&gt;0))),AND(P256="DIRECTA",OR(S256="m",S256="m²",S256="m³"))),1,0))</f>
        <v>0</v>
      </c>
      <c r="AB256" s="0">
        <f>IF(LEN(TRIM(E256&amp;""))&gt;0,E256,IF(R256&gt;0,INDEX($E$13:$E$512,R256),""))</f>
      </c>
      <c r="AC256" s="0">
        <f>UPPER(SUBSTITUTE(SUBSTITUTE(SUBSTITUTE(SUBSTITUTE(SUBSTITUTE(TRIM(AB256),"²","2"),"³","3"),"^",""),".","")," ",""))</f>
      </c>
    </row>
    <row r="257" ht="35" customHeight="1">
      <c r="B257" s="35"/>
      <c r="C257" s="35"/>
      <c r="D257" s="37"/>
      <c r="E257" s="35"/>
      <c r="F257" s="38"/>
      <c r="G257" s="38"/>
      <c r="H257" s="38"/>
      <c r="I257" s="38"/>
      <c r="J257" s="38"/>
      <c r="K257" s="35"/>
      <c r="L257" s="35"/>
      <c r="M257" s="39">
        <f>IF(U257&lt;&gt;1,"",IF(P257="DIRECTA",G257,IF(ISNUMBER(G257),G257,1)*IF(ISNUMBER(H257),H257,1)*IF(ISNUMBER(I257),I257,1)*IF(ISNUMBER(J257),J257,1)))</f>
      </c>
      <c r="N257" s="30">
        <f>IF(COUNTA(B257:L257)=0,"",IF(X257=0,IF(P257="CABECERA","VERDE · Fila descriptiva; la suma usa las líneas del ID","VERDE · Datos numéricos interpretables"),IF(X257=2,"ROJO · ","ÁMBAR · ")&amp;IF(NOT(IF(ISNUMBER($E$6),AND($E$6&gt;=0,$E$6&lt;=6,$E$6=INT($E$6)),FALSE)),"Indicamos entre 0 y 6 decimales en E6. ","")&amp;IF(O257=0,"Falta un ID numérico. ","")&amp;IF(R257=0,"Faltan capítulo, código, unidad o total numérico del ID. ","")&amp;IF(T257&gt;0,"Los datos o el total del ID se contradicen. ","")&amp;IF(AND(P257&lt;&gt;"DIMENSIONES",P257&lt;&gt;"DIRECTA",P257&lt;&gt;"SIN LÍNEAS",P257&lt;&gt;"CABECERA"),"Tipo de fila no reconocido. ","")&amp;IF(AND(OR(P257="SIN LÍNEAS",P257="CABECERA"),COUNTA(G257:J257)&gt;0),"La fila dice que no mide, pero contiene medidas. ","")&amp;IF(AND(OR(P257="DIRECTA",P257="DIMENSIONES"),U257=0),"Línea incompleta o con medidas no numéricas. ","")&amp;IF(P257="SIN LÍNEAS","No constan medidas de esta fila. ","")&amp;IF(Y257&gt;0,"Parece m³: tres dimensiones bajo m². ","")&amp;IF(AND(AB257&lt;&gt;"",SUMPRODUCT(--('LÉEME'!$B$65:$B$86=AC257))&lt;&gt;1),"Revisamos el significado de la unidad. ","")&amp;IF(Z257&gt;0,"Más precisión que los decimales indicados: cotejamos el original. ","")&amp;IF(AA257&gt;0,"Revisamos dimensiones, cantidad directa, ceros o deducción. ","")))</f>
      </c>
      <c r="O257" s="0" t="n">
        <f>IF(ISNUMBER(K257),IF(AND(K257&gt;0,K257=INT(K257),K257&lt;=999999),K257,0),0)</f>
        <v>0</v>
      </c>
      <c r="P257" s="0">
        <f>IF(COUNTA(B257:L257)=0,"",IF(L257="",IF(COUNTA(G257:J257)&gt;0,"DIMENSIONES","SIN LÍNEAS"),UPPER(TRIM(L257))))</f>
      </c>
      <c r="Q257" s="0">
        <f>IF(AND(O257&gt;0,LEN(TRIM(B257&amp;""))&gt;0,LEN(TRIM(C257&amp;""))&gt;0,LEN(TRIM(E257&amp;""))&gt;0,ISNUMBER(F257)),O257,"")</f>
      </c>
      <c r="R257" s="0" t="n">
        <f>IF(O257=0,0,IF(COUNTIFS($Q$13:$Q$512,O257)&gt;0,MATCH(O257,$Q$13:$Q$512,0),0))</f>
        <v>0</v>
      </c>
      <c r="S257" s="0">
        <f>IF(AB257="","",IF(SUMPRODUCT(--('LÉEME'!$B$65:$B$86=AC257))=1,INDEX('LÉEME'!$C$65:$C$86,MATCH(AC257,'LÉEME'!$B$65:$B$86,0)),UPPER(TRIM(AB257))))</f>
      </c>
      <c r="T257" s="0" t="n">
        <f>IF(R257=0,0,IF(OR(AND(LEN(TRIM(B257&amp;""))&gt;0,UPPER(TRIM(B257&amp;""))&lt;&gt;UPPER(TRIM(INDEX($B$13:$B$512,R257)&amp;""))),AND(LEN(TRIM(C257&amp;""))&gt;0,UPPER(TRIM(C257&amp;""))&lt;&gt;UPPER(TRIM(INDEX($C$13:$C$512,R257)&amp;""))),AND(LEN(TRIM(E257&amp;""))&gt;0,S257&lt;&gt;INDEX($S$13:$S$512,R257)),AND(F257&lt;&gt;"",NOT(ISNUMBER(F257)))),1,IF(ISNUMBER(F257),IF(ABS(F257-INDEX($F$13:$F$512,R257))&gt;0.00000001,1,0),0)))</f>
        <v>0</v>
      </c>
      <c r="U257" s="0" t="n">
        <f>IF(P257="DIRECTA",IF(AND(ISNUMBER(G257),COUNTA(H257:J257)=0),1,0),IF(P257="DIMENSIONES",IF(AND(COUNT(G257:J257)&gt;0,COUNTA(G257:J257)=COUNT(G257:J257)),1,0),0))</f>
        <v>0</v>
      </c>
      <c r="V257" s="0" t="n">
        <f>IF(O257=0,0,IF(COUNTIFS($O$13:O257,O257)=1,1,0))</f>
        <v>0</v>
      </c>
      <c r="W257" s="0">
        <f>IF(V257=1,COUNTIFS($V$13:V257,1),"")</f>
      </c>
      <c r="X257" s="0">
        <f>IF(COUNTA(B257:L257)=0,"",IF(OR(NOT(IF(ISNUMBER($E$6),AND($E$6&gt;=0,$E$6&lt;=6,$E$6=INT($E$6)),FALSE)),O257=0,R257=0,T257&gt;0,AND(P257&lt;&gt;"DIMENSIONES",P257&lt;&gt;"DIRECTA",P257&lt;&gt;"SIN LÍNEAS",P257&lt;&gt;"CABECERA"),AND(OR(P257="DIRECTA",P257="DIMENSIONES"),U257=0),AND(OR(P257="SIN LÍNEAS",P257="CABECERA"),COUNTA(G257:J257)&gt;0)),2,IF(OR(P257="SIN LÍNEAS",Y257&gt;0,Z257&gt;0,AA257&gt;0,SUMPRODUCT(--('LÉEME'!$B$65:$B$86=AC257))&lt;&gt;1),1,0)))</f>
      </c>
      <c r="Y257" s="0" t="n">
        <f>IF(AND(P257="DIMENSIONES",S257="m²",COUNT(H257:J257)=3),1,0)</f>
        <v>0</v>
      </c>
      <c r="Z257" s="0" t="n">
        <f>IF(IF(ISNUMBER($E$6),AND($E$6&gt;=0,$E$6&lt;=6,$E$6=INT($E$6)),FALSE),IF(SUM(IF(ISNUMBER(F257),IF(ABS(F257-ROUND(F257,$E$6))&gt;0.00000001,1,0),0),IF(ISNUMBER(G257),IF(ABS(G257-ROUND(G257,$E$6))&gt;0.00000001,1,0),0),IF(ISNUMBER(H257),IF(ABS(H257-ROUND(H257,$E$6))&gt;0.00000001,1,0),0),IF(ISNUMBER(I257),IF(ABS(I257-ROUND(I257,$E$6))&gt;0.00000001,1,0),0),IF(ISNUMBER(J257),IF(ABS(J257-ROUND(J257,$E$6))&gt;0.00000001,1,0),0),IF(ISNUMBER(M257),IF(ABS(M257-ROUND(M257,$E$6))&gt;0.00000001,1,0),0))&gt;0,1,0),0)</f>
        <v>0</v>
      </c>
      <c r="AA257" s="0" t="n">
        <f>IF(COUNTA(B257:L257)=0,0,IF(OR(AND(ISNUMBER(F257),F257&lt;0),AND(U257=1,OR(SUM(IF(ISNUMBER(G257),IF(G257=0,1,0),0),IF(ISNUMBER(H257),IF(H257=0,1,0),0),IF(ISNUMBER(I257),IF(I257=0,1,0),0),IF(ISNUMBER(J257),IF(J257=0,1,0),0))&gt;0,COUNTIFS(G257:J257,"&lt;0")&gt;0)),AND(P257="DIMENSIONES",U257=1,OR(AND(S257="m",COUNT(H257:J257)&lt;&gt;1),AND(S257="m²",COUNT(H257:J257)&lt;&gt;2,Y257=0),AND(S257="m³",COUNT(H257:J257)&lt;&gt;3),AND(S257="ud",COUNT(H257:J257)&gt;0))),AND(P257="DIRECTA",OR(S257="m",S257="m²",S257="m³"))),1,0))</f>
        <v>0</v>
      </c>
      <c r="AB257" s="0">
        <f>IF(LEN(TRIM(E257&amp;""))&gt;0,E257,IF(R257&gt;0,INDEX($E$13:$E$512,R257),""))</f>
      </c>
      <c r="AC257" s="0">
        <f>UPPER(SUBSTITUTE(SUBSTITUTE(SUBSTITUTE(SUBSTITUTE(SUBSTITUTE(TRIM(AB257),"²","2"),"³","3"),"^",""),".","")," ",""))</f>
      </c>
    </row>
    <row r="258" ht="35" customHeight="1">
      <c r="B258" s="35"/>
      <c r="C258" s="35"/>
      <c r="D258" s="37"/>
      <c r="E258" s="35"/>
      <c r="F258" s="38"/>
      <c r="G258" s="38"/>
      <c r="H258" s="38"/>
      <c r="I258" s="38"/>
      <c r="J258" s="38"/>
      <c r="K258" s="35"/>
      <c r="L258" s="35"/>
      <c r="M258" s="39">
        <f>IF(U258&lt;&gt;1,"",IF(P258="DIRECTA",G258,IF(ISNUMBER(G258),G258,1)*IF(ISNUMBER(H258),H258,1)*IF(ISNUMBER(I258),I258,1)*IF(ISNUMBER(J258),J258,1)))</f>
      </c>
      <c r="N258" s="30">
        <f>IF(COUNTA(B258:L258)=0,"",IF(X258=0,IF(P258="CABECERA","VERDE · Fila descriptiva; la suma usa las líneas del ID","VERDE · Datos numéricos interpretables"),IF(X258=2,"ROJO · ","ÁMBAR · ")&amp;IF(NOT(IF(ISNUMBER($E$6),AND($E$6&gt;=0,$E$6&lt;=6,$E$6=INT($E$6)),FALSE)),"Indicamos entre 0 y 6 decimales en E6. ","")&amp;IF(O258=0,"Falta un ID numérico. ","")&amp;IF(R258=0,"Faltan capítulo, código, unidad o total numérico del ID. ","")&amp;IF(T258&gt;0,"Los datos o el total del ID se contradicen. ","")&amp;IF(AND(P258&lt;&gt;"DIMENSIONES",P258&lt;&gt;"DIRECTA",P258&lt;&gt;"SIN LÍNEAS",P258&lt;&gt;"CABECERA"),"Tipo de fila no reconocido. ","")&amp;IF(AND(OR(P258="SIN LÍNEAS",P258="CABECERA"),COUNTA(G258:J258)&gt;0),"La fila dice que no mide, pero contiene medidas. ","")&amp;IF(AND(OR(P258="DIRECTA",P258="DIMENSIONES"),U258=0),"Línea incompleta o con medidas no numéricas. ","")&amp;IF(P258="SIN LÍNEAS","No constan medidas de esta fila. ","")&amp;IF(Y258&gt;0,"Parece m³: tres dimensiones bajo m². ","")&amp;IF(AND(AB258&lt;&gt;"",SUMPRODUCT(--('LÉEME'!$B$65:$B$86=AC258))&lt;&gt;1),"Revisamos el significado de la unidad. ","")&amp;IF(Z258&gt;0,"Más precisión que los decimales indicados: cotejamos el original. ","")&amp;IF(AA258&gt;0,"Revisamos dimensiones, cantidad directa, ceros o deducción. ","")))</f>
      </c>
      <c r="O258" s="0" t="n">
        <f>IF(ISNUMBER(K258),IF(AND(K258&gt;0,K258=INT(K258),K258&lt;=999999),K258,0),0)</f>
        <v>0</v>
      </c>
      <c r="P258" s="0">
        <f>IF(COUNTA(B258:L258)=0,"",IF(L258="",IF(COUNTA(G258:J258)&gt;0,"DIMENSIONES","SIN LÍNEAS"),UPPER(TRIM(L258))))</f>
      </c>
      <c r="Q258" s="0">
        <f>IF(AND(O258&gt;0,LEN(TRIM(B258&amp;""))&gt;0,LEN(TRIM(C258&amp;""))&gt;0,LEN(TRIM(E258&amp;""))&gt;0,ISNUMBER(F258)),O258,"")</f>
      </c>
      <c r="R258" s="0" t="n">
        <f>IF(O258=0,0,IF(COUNTIFS($Q$13:$Q$512,O258)&gt;0,MATCH(O258,$Q$13:$Q$512,0),0))</f>
        <v>0</v>
      </c>
      <c r="S258" s="0">
        <f>IF(AB258="","",IF(SUMPRODUCT(--('LÉEME'!$B$65:$B$86=AC258))=1,INDEX('LÉEME'!$C$65:$C$86,MATCH(AC258,'LÉEME'!$B$65:$B$86,0)),UPPER(TRIM(AB258))))</f>
      </c>
      <c r="T258" s="0" t="n">
        <f>IF(R258=0,0,IF(OR(AND(LEN(TRIM(B258&amp;""))&gt;0,UPPER(TRIM(B258&amp;""))&lt;&gt;UPPER(TRIM(INDEX($B$13:$B$512,R258)&amp;""))),AND(LEN(TRIM(C258&amp;""))&gt;0,UPPER(TRIM(C258&amp;""))&lt;&gt;UPPER(TRIM(INDEX($C$13:$C$512,R258)&amp;""))),AND(LEN(TRIM(E258&amp;""))&gt;0,S258&lt;&gt;INDEX($S$13:$S$512,R258)),AND(F258&lt;&gt;"",NOT(ISNUMBER(F258)))),1,IF(ISNUMBER(F258),IF(ABS(F258-INDEX($F$13:$F$512,R258))&gt;0.00000001,1,0),0)))</f>
        <v>0</v>
      </c>
      <c r="U258" s="0" t="n">
        <f>IF(P258="DIRECTA",IF(AND(ISNUMBER(G258),COUNTA(H258:J258)=0),1,0),IF(P258="DIMENSIONES",IF(AND(COUNT(G258:J258)&gt;0,COUNTA(G258:J258)=COUNT(G258:J258)),1,0),0))</f>
        <v>0</v>
      </c>
      <c r="V258" s="0" t="n">
        <f>IF(O258=0,0,IF(COUNTIFS($O$13:O258,O258)=1,1,0))</f>
        <v>0</v>
      </c>
      <c r="W258" s="0">
        <f>IF(V258=1,COUNTIFS($V$13:V258,1),"")</f>
      </c>
      <c r="X258" s="0">
        <f>IF(COUNTA(B258:L258)=0,"",IF(OR(NOT(IF(ISNUMBER($E$6),AND($E$6&gt;=0,$E$6&lt;=6,$E$6=INT($E$6)),FALSE)),O258=0,R258=0,T258&gt;0,AND(P258&lt;&gt;"DIMENSIONES",P258&lt;&gt;"DIRECTA",P258&lt;&gt;"SIN LÍNEAS",P258&lt;&gt;"CABECERA"),AND(OR(P258="DIRECTA",P258="DIMENSIONES"),U258=0),AND(OR(P258="SIN LÍNEAS",P258="CABECERA"),COUNTA(G258:J258)&gt;0)),2,IF(OR(P258="SIN LÍNEAS",Y258&gt;0,Z258&gt;0,AA258&gt;0,SUMPRODUCT(--('LÉEME'!$B$65:$B$86=AC258))&lt;&gt;1),1,0)))</f>
      </c>
      <c r="Y258" s="0" t="n">
        <f>IF(AND(P258="DIMENSIONES",S258="m²",COUNT(H258:J258)=3),1,0)</f>
        <v>0</v>
      </c>
      <c r="Z258" s="0" t="n">
        <f>IF(IF(ISNUMBER($E$6),AND($E$6&gt;=0,$E$6&lt;=6,$E$6=INT($E$6)),FALSE),IF(SUM(IF(ISNUMBER(F258),IF(ABS(F258-ROUND(F258,$E$6))&gt;0.00000001,1,0),0),IF(ISNUMBER(G258),IF(ABS(G258-ROUND(G258,$E$6))&gt;0.00000001,1,0),0),IF(ISNUMBER(H258),IF(ABS(H258-ROUND(H258,$E$6))&gt;0.00000001,1,0),0),IF(ISNUMBER(I258),IF(ABS(I258-ROUND(I258,$E$6))&gt;0.00000001,1,0),0),IF(ISNUMBER(J258),IF(ABS(J258-ROUND(J258,$E$6))&gt;0.00000001,1,0),0),IF(ISNUMBER(M258),IF(ABS(M258-ROUND(M258,$E$6))&gt;0.00000001,1,0),0))&gt;0,1,0),0)</f>
        <v>0</v>
      </c>
      <c r="AA258" s="0" t="n">
        <f>IF(COUNTA(B258:L258)=0,0,IF(OR(AND(ISNUMBER(F258),F258&lt;0),AND(U258=1,OR(SUM(IF(ISNUMBER(G258),IF(G258=0,1,0),0),IF(ISNUMBER(H258),IF(H258=0,1,0),0),IF(ISNUMBER(I258),IF(I258=0,1,0),0),IF(ISNUMBER(J258),IF(J258=0,1,0),0))&gt;0,COUNTIFS(G258:J258,"&lt;0")&gt;0)),AND(P258="DIMENSIONES",U258=1,OR(AND(S258="m",COUNT(H258:J258)&lt;&gt;1),AND(S258="m²",COUNT(H258:J258)&lt;&gt;2,Y258=0),AND(S258="m³",COUNT(H258:J258)&lt;&gt;3),AND(S258="ud",COUNT(H258:J258)&gt;0))),AND(P258="DIRECTA",OR(S258="m",S258="m²",S258="m³"))),1,0))</f>
        <v>0</v>
      </c>
      <c r="AB258" s="0">
        <f>IF(LEN(TRIM(E258&amp;""))&gt;0,E258,IF(R258&gt;0,INDEX($E$13:$E$512,R258),""))</f>
      </c>
      <c r="AC258" s="0">
        <f>UPPER(SUBSTITUTE(SUBSTITUTE(SUBSTITUTE(SUBSTITUTE(SUBSTITUTE(TRIM(AB258),"²","2"),"³","3"),"^",""),".","")," ",""))</f>
      </c>
    </row>
    <row r="259" ht="35" customHeight="1">
      <c r="B259" s="35"/>
      <c r="C259" s="35"/>
      <c r="D259" s="37"/>
      <c r="E259" s="35"/>
      <c r="F259" s="38"/>
      <c r="G259" s="38"/>
      <c r="H259" s="38"/>
      <c r="I259" s="38"/>
      <c r="J259" s="38"/>
      <c r="K259" s="35"/>
      <c r="L259" s="35"/>
      <c r="M259" s="39">
        <f>IF(U259&lt;&gt;1,"",IF(P259="DIRECTA",G259,IF(ISNUMBER(G259),G259,1)*IF(ISNUMBER(H259),H259,1)*IF(ISNUMBER(I259),I259,1)*IF(ISNUMBER(J259),J259,1)))</f>
      </c>
      <c r="N259" s="30">
        <f>IF(COUNTA(B259:L259)=0,"",IF(X259=0,IF(P259="CABECERA","VERDE · Fila descriptiva; la suma usa las líneas del ID","VERDE · Datos numéricos interpretables"),IF(X259=2,"ROJO · ","ÁMBAR · ")&amp;IF(NOT(IF(ISNUMBER($E$6),AND($E$6&gt;=0,$E$6&lt;=6,$E$6=INT($E$6)),FALSE)),"Indicamos entre 0 y 6 decimales en E6. ","")&amp;IF(O259=0,"Falta un ID numérico. ","")&amp;IF(R259=0,"Faltan capítulo, código, unidad o total numérico del ID. ","")&amp;IF(T259&gt;0,"Los datos o el total del ID se contradicen. ","")&amp;IF(AND(P259&lt;&gt;"DIMENSIONES",P259&lt;&gt;"DIRECTA",P259&lt;&gt;"SIN LÍNEAS",P259&lt;&gt;"CABECERA"),"Tipo de fila no reconocido. ","")&amp;IF(AND(OR(P259="SIN LÍNEAS",P259="CABECERA"),COUNTA(G259:J259)&gt;0),"La fila dice que no mide, pero contiene medidas. ","")&amp;IF(AND(OR(P259="DIRECTA",P259="DIMENSIONES"),U259=0),"Línea incompleta o con medidas no numéricas. ","")&amp;IF(P259="SIN LÍNEAS","No constan medidas de esta fila. ","")&amp;IF(Y259&gt;0,"Parece m³: tres dimensiones bajo m². ","")&amp;IF(AND(AB259&lt;&gt;"",SUMPRODUCT(--('LÉEME'!$B$65:$B$86=AC259))&lt;&gt;1),"Revisamos el significado de la unidad. ","")&amp;IF(Z259&gt;0,"Más precisión que los decimales indicados: cotejamos el original. ","")&amp;IF(AA259&gt;0,"Revisamos dimensiones, cantidad directa, ceros o deducción. ","")))</f>
      </c>
      <c r="O259" s="0" t="n">
        <f>IF(ISNUMBER(K259),IF(AND(K259&gt;0,K259=INT(K259),K259&lt;=999999),K259,0),0)</f>
        <v>0</v>
      </c>
      <c r="P259" s="0">
        <f>IF(COUNTA(B259:L259)=0,"",IF(L259="",IF(COUNTA(G259:J259)&gt;0,"DIMENSIONES","SIN LÍNEAS"),UPPER(TRIM(L259))))</f>
      </c>
      <c r="Q259" s="0">
        <f>IF(AND(O259&gt;0,LEN(TRIM(B259&amp;""))&gt;0,LEN(TRIM(C259&amp;""))&gt;0,LEN(TRIM(E259&amp;""))&gt;0,ISNUMBER(F259)),O259,"")</f>
      </c>
      <c r="R259" s="0" t="n">
        <f>IF(O259=0,0,IF(COUNTIFS($Q$13:$Q$512,O259)&gt;0,MATCH(O259,$Q$13:$Q$512,0),0))</f>
        <v>0</v>
      </c>
      <c r="S259" s="0">
        <f>IF(AB259="","",IF(SUMPRODUCT(--('LÉEME'!$B$65:$B$86=AC259))=1,INDEX('LÉEME'!$C$65:$C$86,MATCH(AC259,'LÉEME'!$B$65:$B$86,0)),UPPER(TRIM(AB259))))</f>
      </c>
      <c r="T259" s="0" t="n">
        <f>IF(R259=0,0,IF(OR(AND(LEN(TRIM(B259&amp;""))&gt;0,UPPER(TRIM(B259&amp;""))&lt;&gt;UPPER(TRIM(INDEX($B$13:$B$512,R259)&amp;""))),AND(LEN(TRIM(C259&amp;""))&gt;0,UPPER(TRIM(C259&amp;""))&lt;&gt;UPPER(TRIM(INDEX($C$13:$C$512,R259)&amp;""))),AND(LEN(TRIM(E259&amp;""))&gt;0,S259&lt;&gt;INDEX($S$13:$S$512,R259)),AND(F259&lt;&gt;"",NOT(ISNUMBER(F259)))),1,IF(ISNUMBER(F259),IF(ABS(F259-INDEX($F$13:$F$512,R259))&gt;0.00000001,1,0),0)))</f>
        <v>0</v>
      </c>
      <c r="U259" s="0" t="n">
        <f>IF(P259="DIRECTA",IF(AND(ISNUMBER(G259),COUNTA(H259:J259)=0),1,0),IF(P259="DIMENSIONES",IF(AND(COUNT(G259:J259)&gt;0,COUNTA(G259:J259)=COUNT(G259:J259)),1,0),0))</f>
        <v>0</v>
      </c>
      <c r="V259" s="0" t="n">
        <f>IF(O259=0,0,IF(COUNTIFS($O$13:O259,O259)=1,1,0))</f>
        <v>0</v>
      </c>
      <c r="W259" s="0">
        <f>IF(V259=1,COUNTIFS($V$13:V259,1),"")</f>
      </c>
      <c r="X259" s="0">
        <f>IF(COUNTA(B259:L259)=0,"",IF(OR(NOT(IF(ISNUMBER($E$6),AND($E$6&gt;=0,$E$6&lt;=6,$E$6=INT($E$6)),FALSE)),O259=0,R259=0,T259&gt;0,AND(P259&lt;&gt;"DIMENSIONES",P259&lt;&gt;"DIRECTA",P259&lt;&gt;"SIN LÍNEAS",P259&lt;&gt;"CABECERA"),AND(OR(P259="DIRECTA",P259="DIMENSIONES"),U259=0),AND(OR(P259="SIN LÍNEAS",P259="CABECERA"),COUNTA(G259:J259)&gt;0)),2,IF(OR(P259="SIN LÍNEAS",Y259&gt;0,Z259&gt;0,AA259&gt;0,SUMPRODUCT(--('LÉEME'!$B$65:$B$86=AC259))&lt;&gt;1),1,0)))</f>
      </c>
      <c r="Y259" s="0" t="n">
        <f>IF(AND(P259="DIMENSIONES",S259="m²",COUNT(H259:J259)=3),1,0)</f>
        <v>0</v>
      </c>
      <c r="Z259" s="0" t="n">
        <f>IF(IF(ISNUMBER($E$6),AND($E$6&gt;=0,$E$6&lt;=6,$E$6=INT($E$6)),FALSE),IF(SUM(IF(ISNUMBER(F259),IF(ABS(F259-ROUND(F259,$E$6))&gt;0.00000001,1,0),0),IF(ISNUMBER(G259),IF(ABS(G259-ROUND(G259,$E$6))&gt;0.00000001,1,0),0),IF(ISNUMBER(H259),IF(ABS(H259-ROUND(H259,$E$6))&gt;0.00000001,1,0),0),IF(ISNUMBER(I259),IF(ABS(I259-ROUND(I259,$E$6))&gt;0.00000001,1,0),0),IF(ISNUMBER(J259),IF(ABS(J259-ROUND(J259,$E$6))&gt;0.00000001,1,0),0),IF(ISNUMBER(M259),IF(ABS(M259-ROUND(M259,$E$6))&gt;0.00000001,1,0),0))&gt;0,1,0),0)</f>
        <v>0</v>
      </c>
      <c r="AA259" s="0" t="n">
        <f>IF(COUNTA(B259:L259)=0,0,IF(OR(AND(ISNUMBER(F259),F259&lt;0),AND(U259=1,OR(SUM(IF(ISNUMBER(G259),IF(G259=0,1,0),0),IF(ISNUMBER(H259),IF(H259=0,1,0),0),IF(ISNUMBER(I259),IF(I259=0,1,0),0),IF(ISNUMBER(J259),IF(J259=0,1,0),0))&gt;0,COUNTIFS(G259:J259,"&lt;0")&gt;0)),AND(P259="DIMENSIONES",U259=1,OR(AND(S259="m",COUNT(H259:J259)&lt;&gt;1),AND(S259="m²",COUNT(H259:J259)&lt;&gt;2,Y259=0),AND(S259="m³",COUNT(H259:J259)&lt;&gt;3),AND(S259="ud",COUNT(H259:J259)&gt;0))),AND(P259="DIRECTA",OR(S259="m",S259="m²",S259="m³"))),1,0))</f>
        <v>0</v>
      </c>
      <c r="AB259" s="0">
        <f>IF(LEN(TRIM(E259&amp;""))&gt;0,E259,IF(R259&gt;0,INDEX($E$13:$E$512,R259),""))</f>
      </c>
      <c r="AC259" s="0">
        <f>UPPER(SUBSTITUTE(SUBSTITUTE(SUBSTITUTE(SUBSTITUTE(SUBSTITUTE(TRIM(AB259),"²","2"),"³","3"),"^",""),".","")," ",""))</f>
      </c>
    </row>
    <row r="260" ht="35" customHeight="1">
      <c r="B260" s="35"/>
      <c r="C260" s="35"/>
      <c r="D260" s="37"/>
      <c r="E260" s="35"/>
      <c r="F260" s="38"/>
      <c r="G260" s="38"/>
      <c r="H260" s="38"/>
      <c r="I260" s="38"/>
      <c r="J260" s="38"/>
      <c r="K260" s="35"/>
      <c r="L260" s="35"/>
      <c r="M260" s="39">
        <f>IF(U260&lt;&gt;1,"",IF(P260="DIRECTA",G260,IF(ISNUMBER(G260),G260,1)*IF(ISNUMBER(H260),H260,1)*IF(ISNUMBER(I260),I260,1)*IF(ISNUMBER(J260),J260,1)))</f>
      </c>
      <c r="N260" s="30">
        <f>IF(COUNTA(B260:L260)=0,"",IF(X260=0,IF(P260="CABECERA","VERDE · Fila descriptiva; la suma usa las líneas del ID","VERDE · Datos numéricos interpretables"),IF(X260=2,"ROJO · ","ÁMBAR · ")&amp;IF(NOT(IF(ISNUMBER($E$6),AND($E$6&gt;=0,$E$6&lt;=6,$E$6=INT($E$6)),FALSE)),"Indicamos entre 0 y 6 decimales en E6. ","")&amp;IF(O260=0,"Falta un ID numérico. ","")&amp;IF(R260=0,"Faltan capítulo, código, unidad o total numérico del ID. ","")&amp;IF(T260&gt;0,"Los datos o el total del ID se contradicen. ","")&amp;IF(AND(P260&lt;&gt;"DIMENSIONES",P260&lt;&gt;"DIRECTA",P260&lt;&gt;"SIN LÍNEAS",P260&lt;&gt;"CABECERA"),"Tipo de fila no reconocido. ","")&amp;IF(AND(OR(P260="SIN LÍNEAS",P260="CABECERA"),COUNTA(G260:J260)&gt;0),"La fila dice que no mide, pero contiene medidas. ","")&amp;IF(AND(OR(P260="DIRECTA",P260="DIMENSIONES"),U260=0),"Línea incompleta o con medidas no numéricas. ","")&amp;IF(P260="SIN LÍNEAS","No constan medidas de esta fila. ","")&amp;IF(Y260&gt;0,"Parece m³: tres dimensiones bajo m². ","")&amp;IF(AND(AB260&lt;&gt;"",SUMPRODUCT(--('LÉEME'!$B$65:$B$86=AC260))&lt;&gt;1),"Revisamos el significado de la unidad. ","")&amp;IF(Z260&gt;0,"Más precisión que los decimales indicados: cotejamos el original. ","")&amp;IF(AA260&gt;0,"Revisamos dimensiones, cantidad directa, ceros o deducción. ","")))</f>
      </c>
      <c r="O260" s="0" t="n">
        <f>IF(ISNUMBER(K260),IF(AND(K260&gt;0,K260=INT(K260),K260&lt;=999999),K260,0),0)</f>
        <v>0</v>
      </c>
      <c r="P260" s="0">
        <f>IF(COUNTA(B260:L260)=0,"",IF(L260="",IF(COUNTA(G260:J260)&gt;0,"DIMENSIONES","SIN LÍNEAS"),UPPER(TRIM(L260))))</f>
      </c>
      <c r="Q260" s="0">
        <f>IF(AND(O260&gt;0,LEN(TRIM(B260&amp;""))&gt;0,LEN(TRIM(C260&amp;""))&gt;0,LEN(TRIM(E260&amp;""))&gt;0,ISNUMBER(F260)),O260,"")</f>
      </c>
      <c r="R260" s="0" t="n">
        <f>IF(O260=0,0,IF(COUNTIFS($Q$13:$Q$512,O260)&gt;0,MATCH(O260,$Q$13:$Q$512,0),0))</f>
        <v>0</v>
      </c>
      <c r="S260" s="0">
        <f>IF(AB260="","",IF(SUMPRODUCT(--('LÉEME'!$B$65:$B$86=AC260))=1,INDEX('LÉEME'!$C$65:$C$86,MATCH(AC260,'LÉEME'!$B$65:$B$86,0)),UPPER(TRIM(AB260))))</f>
      </c>
      <c r="T260" s="0" t="n">
        <f>IF(R260=0,0,IF(OR(AND(LEN(TRIM(B260&amp;""))&gt;0,UPPER(TRIM(B260&amp;""))&lt;&gt;UPPER(TRIM(INDEX($B$13:$B$512,R260)&amp;""))),AND(LEN(TRIM(C260&amp;""))&gt;0,UPPER(TRIM(C260&amp;""))&lt;&gt;UPPER(TRIM(INDEX($C$13:$C$512,R260)&amp;""))),AND(LEN(TRIM(E260&amp;""))&gt;0,S260&lt;&gt;INDEX($S$13:$S$512,R260)),AND(F260&lt;&gt;"",NOT(ISNUMBER(F260)))),1,IF(ISNUMBER(F260),IF(ABS(F260-INDEX($F$13:$F$512,R260))&gt;0.00000001,1,0),0)))</f>
        <v>0</v>
      </c>
      <c r="U260" s="0" t="n">
        <f>IF(P260="DIRECTA",IF(AND(ISNUMBER(G260),COUNTA(H260:J260)=0),1,0),IF(P260="DIMENSIONES",IF(AND(COUNT(G260:J260)&gt;0,COUNTA(G260:J260)=COUNT(G260:J260)),1,0),0))</f>
        <v>0</v>
      </c>
      <c r="V260" s="0" t="n">
        <f>IF(O260=0,0,IF(COUNTIFS($O$13:O260,O260)=1,1,0))</f>
        <v>0</v>
      </c>
      <c r="W260" s="0">
        <f>IF(V260=1,COUNTIFS($V$13:V260,1),"")</f>
      </c>
      <c r="X260" s="0">
        <f>IF(COUNTA(B260:L260)=0,"",IF(OR(NOT(IF(ISNUMBER($E$6),AND($E$6&gt;=0,$E$6&lt;=6,$E$6=INT($E$6)),FALSE)),O260=0,R260=0,T260&gt;0,AND(P260&lt;&gt;"DIMENSIONES",P260&lt;&gt;"DIRECTA",P260&lt;&gt;"SIN LÍNEAS",P260&lt;&gt;"CABECERA"),AND(OR(P260="DIRECTA",P260="DIMENSIONES"),U260=0),AND(OR(P260="SIN LÍNEAS",P260="CABECERA"),COUNTA(G260:J260)&gt;0)),2,IF(OR(P260="SIN LÍNEAS",Y260&gt;0,Z260&gt;0,AA260&gt;0,SUMPRODUCT(--('LÉEME'!$B$65:$B$86=AC260))&lt;&gt;1),1,0)))</f>
      </c>
      <c r="Y260" s="0" t="n">
        <f>IF(AND(P260="DIMENSIONES",S260="m²",COUNT(H260:J260)=3),1,0)</f>
        <v>0</v>
      </c>
      <c r="Z260" s="0" t="n">
        <f>IF(IF(ISNUMBER($E$6),AND($E$6&gt;=0,$E$6&lt;=6,$E$6=INT($E$6)),FALSE),IF(SUM(IF(ISNUMBER(F260),IF(ABS(F260-ROUND(F260,$E$6))&gt;0.00000001,1,0),0),IF(ISNUMBER(G260),IF(ABS(G260-ROUND(G260,$E$6))&gt;0.00000001,1,0),0),IF(ISNUMBER(H260),IF(ABS(H260-ROUND(H260,$E$6))&gt;0.00000001,1,0),0),IF(ISNUMBER(I260),IF(ABS(I260-ROUND(I260,$E$6))&gt;0.00000001,1,0),0),IF(ISNUMBER(J260),IF(ABS(J260-ROUND(J260,$E$6))&gt;0.00000001,1,0),0),IF(ISNUMBER(M260),IF(ABS(M260-ROUND(M260,$E$6))&gt;0.00000001,1,0),0))&gt;0,1,0),0)</f>
        <v>0</v>
      </c>
      <c r="AA260" s="0" t="n">
        <f>IF(COUNTA(B260:L260)=0,0,IF(OR(AND(ISNUMBER(F260),F260&lt;0),AND(U260=1,OR(SUM(IF(ISNUMBER(G260),IF(G260=0,1,0),0),IF(ISNUMBER(H260),IF(H260=0,1,0),0),IF(ISNUMBER(I260),IF(I260=0,1,0),0),IF(ISNUMBER(J260),IF(J260=0,1,0),0))&gt;0,COUNTIFS(G260:J260,"&lt;0")&gt;0)),AND(P260="DIMENSIONES",U260=1,OR(AND(S260="m",COUNT(H260:J260)&lt;&gt;1),AND(S260="m²",COUNT(H260:J260)&lt;&gt;2,Y260=0),AND(S260="m³",COUNT(H260:J260)&lt;&gt;3),AND(S260="ud",COUNT(H260:J260)&gt;0))),AND(P260="DIRECTA",OR(S260="m",S260="m²",S260="m³"))),1,0))</f>
        <v>0</v>
      </c>
      <c r="AB260" s="0">
        <f>IF(LEN(TRIM(E260&amp;""))&gt;0,E260,IF(R260&gt;0,INDEX($E$13:$E$512,R260),""))</f>
      </c>
      <c r="AC260" s="0">
        <f>UPPER(SUBSTITUTE(SUBSTITUTE(SUBSTITUTE(SUBSTITUTE(SUBSTITUTE(TRIM(AB260),"²","2"),"³","3"),"^",""),".","")," ",""))</f>
      </c>
    </row>
    <row r="261" ht="35" customHeight="1">
      <c r="B261" s="35"/>
      <c r="C261" s="35"/>
      <c r="D261" s="37"/>
      <c r="E261" s="35"/>
      <c r="F261" s="38"/>
      <c r="G261" s="38"/>
      <c r="H261" s="38"/>
      <c r="I261" s="38"/>
      <c r="J261" s="38"/>
      <c r="K261" s="35"/>
      <c r="L261" s="35"/>
      <c r="M261" s="39">
        <f>IF(U261&lt;&gt;1,"",IF(P261="DIRECTA",G261,IF(ISNUMBER(G261),G261,1)*IF(ISNUMBER(H261),H261,1)*IF(ISNUMBER(I261),I261,1)*IF(ISNUMBER(J261),J261,1)))</f>
      </c>
      <c r="N261" s="30">
        <f>IF(COUNTA(B261:L261)=0,"",IF(X261=0,IF(P261="CABECERA","VERDE · Fila descriptiva; la suma usa las líneas del ID","VERDE · Datos numéricos interpretables"),IF(X261=2,"ROJO · ","ÁMBAR · ")&amp;IF(NOT(IF(ISNUMBER($E$6),AND($E$6&gt;=0,$E$6&lt;=6,$E$6=INT($E$6)),FALSE)),"Indicamos entre 0 y 6 decimales en E6. ","")&amp;IF(O261=0,"Falta un ID numérico. ","")&amp;IF(R261=0,"Faltan capítulo, código, unidad o total numérico del ID. ","")&amp;IF(T261&gt;0,"Los datos o el total del ID se contradicen. ","")&amp;IF(AND(P261&lt;&gt;"DIMENSIONES",P261&lt;&gt;"DIRECTA",P261&lt;&gt;"SIN LÍNEAS",P261&lt;&gt;"CABECERA"),"Tipo de fila no reconocido. ","")&amp;IF(AND(OR(P261="SIN LÍNEAS",P261="CABECERA"),COUNTA(G261:J261)&gt;0),"La fila dice que no mide, pero contiene medidas. ","")&amp;IF(AND(OR(P261="DIRECTA",P261="DIMENSIONES"),U261=0),"Línea incompleta o con medidas no numéricas. ","")&amp;IF(P261="SIN LÍNEAS","No constan medidas de esta fila. ","")&amp;IF(Y261&gt;0,"Parece m³: tres dimensiones bajo m². ","")&amp;IF(AND(AB261&lt;&gt;"",SUMPRODUCT(--('LÉEME'!$B$65:$B$86=AC261))&lt;&gt;1),"Revisamos el significado de la unidad. ","")&amp;IF(Z261&gt;0,"Más precisión que los decimales indicados: cotejamos el original. ","")&amp;IF(AA261&gt;0,"Revisamos dimensiones, cantidad directa, ceros o deducción. ","")))</f>
      </c>
      <c r="O261" s="0" t="n">
        <f>IF(ISNUMBER(K261),IF(AND(K261&gt;0,K261=INT(K261),K261&lt;=999999),K261,0),0)</f>
        <v>0</v>
      </c>
      <c r="P261" s="0">
        <f>IF(COUNTA(B261:L261)=0,"",IF(L261="",IF(COUNTA(G261:J261)&gt;0,"DIMENSIONES","SIN LÍNEAS"),UPPER(TRIM(L261))))</f>
      </c>
      <c r="Q261" s="0">
        <f>IF(AND(O261&gt;0,LEN(TRIM(B261&amp;""))&gt;0,LEN(TRIM(C261&amp;""))&gt;0,LEN(TRIM(E261&amp;""))&gt;0,ISNUMBER(F261)),O261,"")</f>
      </c>
      <c r="R261" s="0" t="n">
        <f>IF(O261=0,0,IF(COUNTIFS($Q$13:$Q$512,O261)&gt;0,MATCH(O261,$Q$13:$Q$512,0),0))</f>
        <v>0</v>
      </c>
      <c r="S261" s="0">
        <f>IF(AB261="","",IF(SUMPRODUCT(--('LÉEME'!$B$65:$B$86=AC261))=1,INDEX('LÉEME'!$C$65:$C$86,MATCH(AC261,'LÉEME'!$B$65:$B$86,0)),UPPER(TRIM(AB261))))</f>
      </c>
      <c r="T261" s="0" t="n">
        <f>IF(R261=0,0,IF(OR(AND(LEN(TRIM(B261&amp;""))&gt;0,UPPER(TRIM(B261&amp;""))&lt;&gt;UPPER(TRIM(INDEX($B$13:$B$512,R261)&amp;""))),AND(LEN(TRIM(C261&amp;""))&gt;0,UPPER(TRIM(C261&amp;""))&lt;&gt;UPPER(TRIM(INDEX($C$13:$C$512,R261)&amp;""))),AND(LEN(TRIM(E261&amp;""))&gt;0,S261&lt;&gt;INDEX($S$13:$S$512,R261)),AND(F261&lt;&gt;"",NOT(ISNUMBER(F261)))),1,IF(ISNUMBER(F261),IF(ABS(F261-INDEX($F$13:$F$512,R261))&gt;0.00000001,1,0),0)))</f>
        <v>0</v>
      </c>
      <c r="U261" s="0" t="n">
        <f>IF(P261="DIRECTA",IF(AND(ISNUMBER(G261),COUNTA(H261:J261)=0),1,0),IF(P261="DIMENSIONES",IF(AND(COUNT(G261:J261)&gt;0,COUNTA(G261:J261)=COUNT(G261:J261)),1,0),0))</f>
        <v>0</v>
      </c>
      <c r="V261" s="0" t="n">
        <f>IF(O261=0,0,IF(COUNTIFS($O$13:O261,O261)=1,1,0))</f>
        <v>0</v>
      </c>
      <c r="W261" s="0">
        <f>IF(V261=1,COUNTIFS($V$13:V261,1),"")</f>
      </c>
      <c r="X261" s="0">
        <f>IF(COUNTA(B261:L261)=0,"",IF(OR(NOT(IF(ISNUMBER($E$6),AND($E$6&gt;=0,$E$6&lt;=6,$E$6=INT($E$6)),FALSE)),O261=0,R261=0,T261&gt;0,AND(P261&lt;&gt;"DIMENSIONES",P261&lt;&gt;"DIRECTA",P261&lt;&gt;"SIN LÍNEAS",P261&lt;&gt;"CABECERA"),AND(OR(P261="DIRECTA",P261="DIMENSIONES"),U261=0),AND(OR(P261="SIN LÍNEAS",P261="CABECERA"),COUNTA(G261:J261)&gt;0)),2,IF(OR(P261="SIN LÍNEAS",Y261&gt;0,Z261&gt;0,AA261&gt;0,SUMPRODUCT(--('LÉEME'!$B$65:$B$86=AC261))&lt;&gt;1),1,0)))</f>
      </c>
      <c r="Y261" s="0" t="n">
        <f>IF(AND(P261="DIMENSIONES",S261="m²",COUNT(H261:J261)=3),1,0)</f>
        <v>0</v>
      </c>
      <c r="Z261" s="0" t="n">
        <f>IF(IF(ISNUMBER($E$6),AND($E$6&gt;=0,$E$6&lt;=6,$E$6=INT($E$6)),FALSE),IF(SUM(IF(ISNUMBER(F261),IF(ABS(F261-ROUND(F261,$E$6))&gt;0.00000001,1,0),0),IF(ISNUMBER(G261),IF(ABS(G261-ROUND(G261,$E$6))&gt;0.00000001,1,0),0),IF(ISNUMBER(H261),IF(ABS(H261-ROUND(H261,$E$6))&gt;0.00000001,1,0),0),IF(ISNUMBER(I261),IF(ABS(I261-ROUND(I261,$E$6))&gt;0.00000001,1,0),0),IF(ISNUMBER(J261),IF(ABS(J261-ROUND(J261,$E$6))&gt;0.00000001,1,0),0),IF(ISNUMBER(M261),IF(ABS(M261-ROUND(M261,$E$6))&gt;0.00000001,1,0),0))&gt;0,1,0),0)</f>
        <v>0</v>
      </c>
      <c r="AA261" s="0" t="n">
        <f>IF(COUNTA(B261:L261)=0,0,IF(OR(AND(ISNUMBER(F261),F261&lt;0),AND(U261=1,OR(SUM(IF(ISNUMBER(G261),IF(G261=0,1,0),0),IF(ISNUMBER(H261),IF(H261=0,1,0),0),IF(ISNUMBER(I261),IF(I261=0,1,0),0),IF(ISNUMBER(J261),IF(J261=0,1,0),0))&gt;0,COUNTIFS(G261:J261,"&lt;0")&gt;0)),AND(P261="DIMENSIONES",U261=1,OR(AND(S261="m",COUNT(H261:J261)&lt;&gt;1),AND(S261="m²",COUNT(H261:J261)&lt;&gt;2,Y261=0),AND(S261="m³",COUNT(H261:J261)&lt;&gt;3),AND(S261="ud",COUNT(H261:J261)&gt;0))),AND(P261="DIRECTA",OR(S261="m",S261="m²",S261="m³"))),1,0))</f>
        <v>0</v>
      </c>
      <c r="AB261" s="0">
        <f>IF(LEN(TRIM(E261&amp;""))&gt;0,E261,IF(R261&gt;0,INDEX($E$13:$E$512,R261),""))</f>
      </c>
      <c r="AC261" s="0">
        <f>UPPER(SUBSTITUTE(SUBSTITUTE(SUBSTITUTE(SUBSTITUTE(SUBSTITUTE(TRIM(AB261),"²","2"),"³","3"),"^",""),".","")," ",""))</f>
      </c>
    </row>
    <row r="262" ht="35" customHeight="1">
      <c r="B262" s="35"/>
      <c r="C262" s="35"/>
      <c r="D262" s="37"/>
      <c r="E262" s="35"/>
      <c r="F262" s="38"/>
      <c r="G262" s="38"/>
      <c r="H262" s="38"/>
      <c r="I262" s="38"/>
      <c r="J262" s="38"/>
      <c r="K262" s="35"/>
      <c r="L262" s="35"/>
      <c r="M262" s="39">
        <f>IF(U262&lt;&gt;1,"",IF(P262="DIRECTA",G262,IF(ISNUMBER(G262),G262,1)*IF(ISNUMBER(H262),H262,1)*IF(ISNUMBER(I262),I262,1)*IF(ISNUMBER(J262),J262,1)))</f>
      </c>
      <c r="N262" s="30">
        <f>IF(COUNTA(B262:L262)=0,"",IF(X262=0,IF(P262="CABECERA","VERDE · Fila descriptiva; la suma usa las líneas del ID","VERDE · Datos numéricos interpretables"),IF(X262=2,"ROJO · ","ÁMBAR · ")&amp;IF(NOT(IF(ISNUMBER($E$6),AND($E$6&gt;=0,$E$6&lt;=6,$E$6=INT($E$6)),FALSE)),"Indicamos entre 0 y 6 decimales en E6. ","")&amp;IF(O262=0,"Falta un ID numérico. ","")&amp;IF(R262=0,"Faltan capítulo, código, unidad o total numérico del ID. ","")&amp;IF(T262&gt;0,"Los datos o el total del ID se contradicen. ","")&amp;IF(AND(P262&lt;&gt;"DIMENSIONES",P262&lt;&gt;"DIRECTA",P262&lt;&gt;"SIN LÍNEAS",P262&lt;&gt;"CABECERA"),"Tipo de fila no reconocido. ","")&amp;IF(AND(OR(P262="SIN LÍNEAS",P262="CABECERA"),COUNTA(G262:J262)&gt;0),"La fila dice que no mide, pero contiene medidas. ","")&amp;IF(AND(OR(P262="DIRECTA",P262="DIMENSIONES"),U262=0),"Línea incompleta o con medidas no numéricas. ","")&amp;IF(P262="SIN LÍNEAS","No constan medidas de esta fila. ","")&amp;IF(Y262&gt;0,"Parece m³: tres dimensiones bajo m². ","")&amp;IF(AND(AB262&lt;&gt;"",SUMPRODUCT(--('LÉEME'!$B$65:$B$86=AC262))&lt;&gt;1),"Revisamos el significado de la unidad. ","")&amp;IF(Z262&gt;0,"Más precisión que los decimales indicados: cotejamos el original. ","")&amp;IF(AA262&gt;0,"Revisamos dimensiones, cantidad directa, ceros o deducción. ","")))</f>
      </c>
      <c r="O262" s="0" t="n">
        <f>IF(ISNUMBER(K262),IF(AND(K262&gt;0,K262=INT(K262),K262&lt;=999999),K262,0),0)</f>
        <v>0</v>
      </c>
      <c r="P262" s="0">
        <f>IF(COUNTA(B262:L262)=0,"",IF(L262="",IF(COUNTA(G262:J262)&gt;0,"DIMENSIONES","SIN LÍNEAS"),UPPER(TRIM(L262))))</f>
      </c>
      <c r="Q262" s="0">
        <f>IF(AND(O262&gt;0,LEN(TRIM(B262&amp;""))&gt;0,LEN(TRIM(C262&amp;""))&gt;0,LEN(TRIM(E262&amp;""))&gt;0,ISNUMBER(F262)),O262,"")</f>
      </c>
      <c r="R262" s="0" t="n">
        <f>IF(O262=0,0,IF(COUNTIFS($Q$13:$Q$512,O262)&gt;0,MATCH(O262,$Q$13:$Q$512,0),0))</f>
        <v>0</v>
      </c>
      <c r="S262" s="0">
        <f>IF(AB262="","",IF(SUMPRODUCT(--('LÉEME'!$B$65:$B$86=AC262))=1,INDEX('LÉEME'!$C$65:$C$86,MATCH(AC262,'LÉEME'!$B$65:$B$86,0)),UPPER(TRIM(AB262))))</f>
      </c>
      <c r="T262" s="0" t="n">
        <f>IF(R262=0,0,IF(OR(AND(LEN(TRIM(B262&amp;""))&gt;0,UPPER(TRIM(B262&amp;""))&lt;&gt;UPPER(TRIM(INDEX($B$13:$B$512,R262)&amp;""))),AND(LEN(TRIM(C262&amp;""))&gt;0,UPPER(TRIM(C262&amp;""))&lt;&gt;UPPER(TRIM(INDEX($C$13:$C$512,R262)&amp;""))),AND(LEN(TRIM(E262&amp;""))&gt;0,S262&lt;&gt;INDEX($S$13:$S$512,R262)),AND(F262&lt;&gt;"",NOT(ISNUMBER(F262)))),1,IF(ISNUMBER(F262),IF(ABS(F262-INDEX($F$13:$F$512,R262))&gt;0.00000001,1,0),0)))</f>
        <v>0</v>
      </c>
      <c r="U262" s="0" t="n">
        <f>IF(P262="DIRECTA",IF(AND(ISNUMBER(G262),COUNTA(H262:J262)=0),1,0),IF(P262="DIMENSIONES",IF(AND(COUNT(G262:J262)&gt;0,COUNTA(G262:J262)=COUNT(G262:J262)),1,0),0))</f>
        <v>0</v>
      </c>
      <c r="V262" s="0" t="n">
        <f>IF(O262=0,0,IF(COUNTIFS($O$13:O262,O262)=1,1,0))</f>
        <v>0</v>
      </c>
      <c r="W262" s="0">
        <f>IF(V262=1,COUNTIFS($V$13:V262,1),"")</f>
      </c>
      <c r="X262" s="0">
        <f>IF(COUNTA(B262:L262)=0,"",IF(OR(NOT(IF(ISNUMBER($E$6),AND($E$6&gt;=0,$E$6&lt;=6,$E$6=INT($E$6)),FALSE)),O262=0,R262=0,T262&gt;0,AND(P262&lt;&gt;"DIMENSIONES",P262&lt;&gt;"DIRECTA",P262&lt;&gt;"SIN LÍNEAS",P262&lt;&gt;"CABECERA"),AND(OR(P262="DIRECTA",P262="DIMENSIONES"),U262=0),AND(OR(P262="SIN LÍNEAS",P262="CABECERA"),COUNTA(G262:J262)&gt;0)),2,IF(OR(P262="SIN LÍNEAS",Y262&gt;0,Z262&gt;0,AA262&gt;0,SUMPRODUCT(--('LÉEME'!$B$65:$B$86=AC262))&lt;&gt;1),1,0)))</f>
      </c>
      <c r="Y262" s="0" t="n">
        <f>IF(AND(P262="DIMENSIONES",S262="m²",COUNT(H262:J262)=3),1,0)</f>
        <v>0</v>
      </c>
      <c r="Z262" s="0" t="n">
        <f>IF(IF(ISNUMBER($E$6),AND($E$6&gt;=0,$E$6&lt;=6,$E$6=INT($E$6)),FALSE),IF(SUM(IF(ISNUMBER(F262),IF(ABS(F262-ROUND(F262,$E$6))&gt;0.00000001,1,0),0),IF(ISNUMBER(G262),IF(ABS(G262-ROUND(G262,$E$6))&gt;0.00000001,1,0),0),IF(ISNUMBER(H262),IF(ABS(H262-ROUND(H262,$E$6))&gt;0.00000001,1,0),0),IF(ISNUMBER(I262),IF(ABS(I262-ROUND(I262,$E$6))&gt;0.00000001,1,0),0),IF(ISNUMBER(J262),IF(ABS(J262-ROUND(J262,$E$6))&gt;0.00000001,1,0),0),IF(ISNUMBER(M262),IF(ABS(M262-ROUND(M262,$E$6))&gt;0.00000001,1,0),0))&gt;0,1,0),0)</f>
        <v>0</v>
      </c>
      <c r="AA262" s="0" t="n">
        <f>IF(COUNTA(B262:L262)=0,0,IF(OR(AND(ISNUMBER(F262),F262&lt;0),AND(U262=1,OR(SUM(IF(ISNUMBER(G262),IF(G262=0,1,0),0),IF(ISNUMBER(H262),IF(H262=0,1,0),0),IF(ISNUMBER(I262),IF(I262=0,1,0),0),IF(ISNUMBER(J262),IF(J262=0,1,0),0))&gt;0,COUNTIFS(G262:J262,"&lt;0")&gt;0)),AND(P262="DIMENSIONES",U262=1,OR(AND(S262="m",COUNT(H262:J262)&lt;&gt;1),AND(S262="m²",COUNT(H262:J262)&lt;&gt;2,Y262=0),AND(S262="m³",COUNT(H262:J262)&lt;&gt;3),AND(S262="ud",COUNT(H262:J262)&gt;0))),AND(P262="DIRECTA",OR(S262="m",S262="m²",S262="m³"))),1,0))</f>
        <v>0</v>
      </c>
      <c r="AB262" s="0">
        <f>IF(LEN(TRIM(E262&amp;""))&gt;0,E262,IF(R262&gt;0,INDEX($E$13:$E$512,R262),""))</f>
      </c>
      <c r="AC262" s="0">
        <f>UPPER(SUBSTITUTE(SUBSTITUTE(SUBSTITUTE(SUBSTITUTE(SUBSTITUTE(TRIM(AB262),"²","2"),"³","3"),"^",""),".","")," ",""))</f>
      </c>
    </row>
    <row r="263" ht="35" customHeight="1">
      <c r="B263" s="35"/>
      <c r="C263" s="35"/>
      <c r="D263" s="37"/>
      <c r="E263" s="35"/>
      <c r="F263" s="38"/>
      <c r="G263" s="38"/>
      <c r="H263" s="38"/>
      <c r="I263" s="38"/>
      <c r="J263" s="38"/>
      <c r="K263" s="35"/>
      <c r="L263" s="35"/>
      <c r="M263" s="39">
        <f>IF(U263&lt;&gt;1,"",IF(P263="DIRECTA",G263,IF(ISNUMBER(G263),G263,1)*IF(ISNUMBER(H263),H263,1)*IF(ISNUMBER(I263),I263,1)*IF(ISNUMBER(J263),J263,1)))</f>
      </c>
      <c r="N263" s="30">
        <f>IF(COUNTA(B263:L263)=0,"",IF(X263=0,IF(P263="CABECERA","VERDE · Fila descriptiva; la suma usa las líneas del ID","VERDE · Datos numéricos interpretables"),IF(X263=2,"ROJO · ","ÁMBAR · ")&amp;IF(NOT(IF(ISNUMBER($E$6),AND($E$6&gt;=0,$E$6&lt;=6,$E$6=INT($E$6)),FALSE)),"Indicamos entre 0 y 6 decimales en E6. ","")&amp;IF(O263=0,"Falta un ID numérico. ","")&amp;IF(R263=0,"Faltan capítulo, código, unidad o total numérico del ID. ","")&amp;IF(T263&gt;0,"Los datos o el total del ID se contradicen. ","")&amp;IF(AND(P263&lt;&gt;"DIMENSIONES",P263&lt;&gt;"DIRECTA",P263&lt;&gt;"SIN LÍNEAS",P263&lt;&gt;"CABECERA"),"Tipo de fila no reconocido. ","")&amp;IF(AND(OR(P263="SIN LÍNEAS",P263="CABECERA"),COUNTA(G263:J263)&gt;0),"La fila dice que no mide, pero contiene medidas. ","")&amp;IF(AND(OR(P263="DIRECTA",P263="DIMENSIONES"),U263=0),"Línea incompleta o con medidas no numéricas. ","")&amp;IF(P263="SIN LÍNEAS","No constan medidas de esta fila. ","")&amp;IF(Y263&gt;0,"Parece m³: tres dimensiones bajo m². ","")&amp;IF(AND(AB263&lt;&gt;"",SUMPRODUCT(--('LÉEME'!$B$65:$B$86=AC263))&lt;&gt;1),"Revisamos el significado de la unidad. ","")&amp;IF(Z263&gt;0,"Más precisión que los decimales indicados: cotejamos el original. ","")&amp;IF(AA263&gt;0,"Revisamos dimensiones, cantidad directa, ceros o deducción. ","")))</f>
      </c>
      <c r="O263" s="0" t="n">
        <f>IF(ISNUMBER(K263),IF(AND(K263&gt;0,K263=INT(K263),K263&lt;=999999),K263,0),0)</f>
        <v>0</v>
      </c>
      <c r="P263" s="0">
        <f>IF(COUNTA(B263:L263)=0,"",IF(L263="",IF(COUNTA(G263:J263)&gt;0,"DIMENSIONES","SIN LÍNEAS"),UPPER(TRIM(L263))))</f>
      </c>
      <c r="Q263" s="0">
        <f>IF(AND(O263&gt;0,LEN(TRIM(B263&amp;""))&gt;0,LEN(TRIM(C263&amp;""))&gt;0,LEN(TRIM(E263&amp;""))&gt;0,ISNUMBER(F263)),O263,"")</f>
      </c>
      <c r="R263" s="0" t="n">
        <f>IF(O263=0,0,IF(COUNTIFS($Q$13:$Q$512,O263)&gt;0,MATCH(O263,$Q$13:$Q$512,0),0))</f>
        <v>0</v>
      </c>
      <c r="S263" s="0">
        <f>IF(AB263="","",IF(SUMPRODUCT(--('LÉEME'!$B$65:$B$86=AC263))=1,INDEX('LÉEME'!$C$65:$C$86,MATCH(AC263,'LÉEME'!$B$65:$B$86,0)),UPPER(TRIM(AB263))))</f>
      </c>
      <c r="T263" s="0" t="n">
        <f>IF(R263=0,0,IF(OR(AND(LEN(TRIM(B263&amp;""))&gt;0,UPPER(TRIM(B263&amp;""))&lt;&gt;UPPER(TRIM(INDEX($B$13:$B$512,R263)&amp;""))),AND(LEN(TRIM(C263&amp;""))&gt;0,UPPER(TRIM(C263&amp;""))&lt;&gt;UPPER(TRIM(INDEX($C$13:$C$512,R263)&amp;""))),AND(LEN(TRIM(E263&amp;""))&gt;0,S263&lt;&gt;INDEX($S$13:$S$512,R263)),AND(F263&lt;&gt;"",NOT(ISNUMBER(F263)))),1,IF(ISNUMBER(F263),IF(ABS(F263-INDEX($F$13:$F$512,R263))&gt;0.00000001,1,0),0)))</f>
        <v>0</v>
      </c>
      <c r="U263" s="0" t="n">
        <f>IF(P263="DIRECTA",IF(AND(ISNUMBER(G263),COUNTA(H263:J263)=0),1,0),IF(P263="DIMENSIONES",IF(AND(COUNT(G263:J263)&gt;0,COUNTA(G263:J263)=COUNT(G263:J263)),1,0),0))</f>
        <v>0</v>
      </c>
      <c r="V263" s="0" t="n">
        <f>IF(O263=0,0,IF(COUNTIFS($O$13:O263,O263)=1,1,0))</f>
        <v>0</v>
      </c>
      <c r="W263" s="0">
        <f>IF(V263=1,COUNTIFS($V$13:V263,1),"")</f>
      </c>
      <c r="X263" s="0">
        <f>IF(COUNTA(B263:L263)=0,"",IF(OR(NOT(IF(ISNUMBER($E$6),AND($E$6&gt;=0,$E$6&lt;=6,$E$6=INT($E$6)),FALSE)),O263=0,R263=0,T263&gt;0,AND(P263&lt;&gt;"DIMENSIONES",P263&lt;&gt;"DIRECTA",P263&lt;&gt;"SIN LÍNEAS",P263&lt;&gt;"CABECERA"),AND(OR(P263="DIRECTA",P263="DIMENSIONES"),U263=0),AND(OR(P263="SIN LÍNEAS",P263="CABECERA"),COUNTA(G263:J263)&gt;0)),2,IF(OR(P263="SIN LÍNEAS",Y263&gt;0,Z263&gt;0,AA263&gt;0,SUMPRODUCT(--('LÉEME'!$B$65:$B$86=AC263))&lt;&gt;1),1,0)))</f>
      </c>
      <c r="Y263" s="0" t="n">
        <f>IF(AND(P263="DIMENSIONES",S263="m²",COUNT(H263:J263)=3),1,0)</f>
        <v>0</v>
      </c>
      <c r="Z263" s="0" t="n">
        <f>IF(IF(ISNUMBER($E$6),AND($E$6&gt;=0,$E$6&lt;=6,$E$6=INT($E$6)),FALSE),IF(SUM(IF(ISNUMBER(F263),IF(ABS(F263-ROUND(F263,$E$6))&gt;0.00000001,1,0),0),IF(ISNUMBER(G263),IF(ABS(G263-ROUND(G263,$E$6))&gt;0.00000001,1,0),0),IF(ISNUMBER(H263),IF(ABS(H263-ROUND(H263,$E$6))&gt;0.00000001,1,0),0),IF(ISNUMBER(I263),IF(ABS(I263-ROUND(I263,$E$6))&gt;0.00000001,1,0),0),IF(ISNUMBER(J263),IF(ABS(J263-ROUND(J263,$E$6))&gt;0.00000001,1,0),0),IF(ISNUMBER(M263),IF(ABS(M263-ROUND(M263,$E$6))&gt;0.00000001,1,0),0))&gt;0,1,0),0)</f>
        <v>0</v>
      </c>
      <c r="AA263" s="0" t="n">
        <f>IF(COUNTA(B263:L263)=0,0,IF(OR(AND(ISNUMBER(F263),F263&lt;0),AND(U263=1,OR(SUM(IF(ISNUMBER(G263),IF(G263=0,1,0),0),IF(ISNUMBER(H263),IF(H263=0,1,0),0),IF(ISNUMBER(I263),IF(I263=0,1,0),0),IF(ISNUMBER(J263),IF(J263=0,1,0),0))&gt;0,COUNTIFS(G263:J263,"&lt;0")&gt;0)),AND(P263="DIMENSIONES",U263=1,OR(AND(S263="m",COUNT(H263:J263)&lt;&gt;1),AND(S263="m²",COUNT(H263:J263)&lt;&gt;2,Y263=0),AND(S263="m³",COUNT(H263:J263)&lt;&gt;3),AND(S263="ud",COUNT(H263:J263)&gt;0))),AND(P263="DIRECTA",OR(S263="m",S263="m²",S263="m³"))),1,0))</f>
        <v>0</v>
      </c>
      <c r="AB263" s="0">
        <f>IF(LEN(TRIM(E263&amp;""))&gt;0,E263,IF(R263&gt;0,INDEX($E$13:$E$512,R263),""))</f>
      </c>
      <c r="AC263" s="0">
        <f>UPPER(SUBSTITUTE(SUBSTITUTE(SUBSTITUTE(SUBSTITUTE(SUBSTITUTE(TRIM(AB263),"²","2"),"³","3"),"^",""),".","")," ",""))</f>
      </c>
    </row>
    <row r="264" ht="35" customHeight="1">
      <c r="B264" s="35"/>
      <c r="C264" s="35"/>
      <c r="D264" s="37"/>
      <c r="E264" s="35"/>
      <c r="F264" s="38"/>
      <c r="G264" s="38"/>
      <c r="H264" s="38"/>
      <c r="I264" s="38"/>
      <c r="J264" s="38"/>
      <c r="K264" s="35"/>
      <c r="L264" s="35"/>
      <c r="M264" s="39">
        <f>IF(U264&lt;&gt;1,"",IF(P264="DIRECTA",G264,IF(ISNUMBER(G264),G264,1)*IF(ISNUMBER(H264),H264,1)*IF(ISNUMBER(I264),I264,1)*IF(ISNUMBER(J264),J264,1)))</f>
      </c>
      <c r="N264" s="30">
        <f>IF(COUNTA(B264:L264)=0,"",IF(X264=0,IF(P264="CABECERA","VERDE · Fila descriptiva; la suma usa las líneas del ID","VERDE · Datos numéricos interpretables"),IF(X264=2,"ROJO · ","ÁMBAR · ")&amp;IF(NOT(IF(ISNUMBER($E$6),AND($E$6&gt;=0,$E$6&lt;=6,$E$6=INT($E$6)),FALSE)),"Indicamos entre 0 y 6 decimales en E6. ","")&amp;IF(O264=0,"Falta un ID numérico. ","")&amp;IF(R264=0,"Faltan capítulo, código, unidad o total numérico del ID. ","")&amp;IF(T264&gt;0,"Los datos o el total del ID se contradicen. ","")&amp;IF(AND(P264&lt;&gt;"DIMENSIONES",P264&lt;&gt;"DIRECTA",P264&lt;&gt;"SIN LÍNEAS",P264&lt;&gt;"CABECERA"),"Tipo de fila no reconocido. ","")&amp;IF(AND(OR(P264="SIN LÍNEAS",P264="CABECERA"),COUNTA(G264:J264)&gt;0),"La fila dice que no mide, pero contiene medidas. ","")&amp;IF(AND(OR(P264="DIRECTA",P264="DIMENSIONES"),U264=0),"Línea incompleta o con medidas no numéricas. ","")&amp;IF(P264="SIN LÍNEAS","No constan medidas de esta fila. ","")&amp;IF(Y264&gt;0,"Parece m³: tres dimensiones bajo m². ","")&amp;IF(AND(AB264&lt;&gt;"",SUMPRODUCT(--('LÉEME'!$B$65:$B$86=AC264))&lt;&gt;1),"Revisamos el significado de la unidad. ","")&amp;IF(Z264&gt;0,"Más precisión que los decimales indicados: cotejamos el original. ","")&amp;IF(AA264&gt;0,"Revisamos dimensiones, cantidad directa, ceros o deducción. ","")))</f>
      </c>
      <c r="O264" s="0" t="n">
        <f>IF(ISNUMBER(K264),IF(AND(K264&gt;0,K264=INT(K264),K264&lt;=999999),K264,0),0)</f>
        <v>0</v>
      </c>
      <c r="P264" s="0">
        <f>IF(COUNTA(B264:L264)=0,"",IF(L264="",IF(COUNTA(G264:J264)&gt;0,"DIMENSIONES","SIN LÍNEAS"),UPPER(TRIM(L264))))</f>
      </c>
      <c r="Q264" s="0">
        <f>IF(AND(O264&gt;0,LEN(TRIM(B264&amp;""))&gt;0,LEN(TRIM(C264&amp;""))&gt;0,LEN(TRIM(E264&amp;""))&gt;0,ISNUMBER(F264)),O264,"")</f>
      </c>
      <c r="R264" s="0" t="n">
        <f>IF(O264=0,0,IF(COUNTIFS($Q$13:$Q$512,O264)&gt;0,MATCH(O264,$Q$13:$Q$512,0),0))</f>
        <v>0</v>
      </c>
      <c r="S264" s="0">
        <f>IF(AB264="","",IF(SUMPRODUCT(--('LÉEME'!$B$65:$B$86=AC264))=1,INDEX('LÉEME'!$C$65:$C$86,MATCH(AC264,'LÉEME'!$B$65:$B$86,0)),UPPER(TRIM(AB264))))</f>
      </c>
      <c r="T264" s="0" t="n">
        <f>IF(R264=0,0,IF(OR(AND(LEN(TRIM(B264&amp;""))&gt;0,UPPER(TRIM(B264&amp;""))&lt;&gt;UPPER(TRIM(INDEX($B$13:$B$512,R264)&amp;""))),AND(LEN(TRIM(C264&amp;""))&gt;0,UPPER(TRIM(C264&amp;""))&lt;&gt;UPPER(TRIM(INDEX($C$13:$C$512,R264)&amp;""))),AND(LEN(TRIM(E264&amp;""))&gt;0,S264&lt;&gt;INDEX($S$13:$S$512,R264)),AND(F264&lt;&gt;"",NOT(ISNUMBER(F264)))),1,IF(ISNUMBER(F264),IF(ABS(F264-INDEX($F$13:$F$512,R264))&gt;0.00000001,1,0),0)))</f>
        <v>0</v>
      </c>
      <c r="U264" s="0" t="n">
        <f>IF(P264="DIRECTA",IF(AND(ISNUMBER(G264),COUNTA(H264:J264)=0),1,0),IF(P264="DIMENSIONES",IF(AND(COUNT(G264:J264)&gt;0,COUNTA(G264:J264)=COUNT(G264:J264)),1,0),0))</f>
        <v>0</v>
      </c>
      <c r="V264" s="0" t="n">
        <f>IF(O264=0,0,IF(COUNTIFS($O$13:O264,O264)=1,1,0))</f>
        <v>0</v>
      </c>
      <c r="W264" s="0">
        <f>IF(V264=1,COUNTIFS($V$13:V264,1),"")</f>
      </c>
      <c r="X264" s="0">
        <f>IF(COUNTA(B264:L264)=0,"",IF(OR(NOT(IF(ISNUMBER($E$6),AND($E$6&gt;=0,$E$6&lt;=6,$E$6=INT($E$6)),FALSE)),O264=0,R264=0,T264&gt;0,AND(P264&lt;&gt;"DIMENSIONES",P264&lt;&gt;"DIRECTA",P264&lt;&gt;"SIN LÍNEAS",P264&lt;&gt;"CABECERA"),AND(OR(P264="DIRECTA",P264="DIMENSIONES"),U264=0),AND(OR(P264="SIN LÍNEAS",P264="CABECERA"),COUNTA(G264:J264)&gt;0)),2,IF(OR(P264="SIN LÍNEAS",Y264&gt;0,Z264&gt;0,AA264&gt;0,SUMPRODUCT(--('LÉEME'!$B$65:$B$86=AC264))&lt;&gt;1),1,0)))</f>
      </c>
      <c r="Y264" s="0" t="n">
        <f>IF(AND(P264="DIMENSIONES",S264="m²",COUNT(H264:J264)=3),1,0)</f>
        <v>0</v>
      </c>
      <c r="Z264" s="0" t="n">
        <f>IF(IF(ISNUMBER($E$6),AND($E$6&gt;=0,$E$6&lt;=6,$E$6=INT($E$6)),FALSE),IF(SUM(IF(ISNUMBER(F264),IF(ABS(F264-ROUND(F264,$E$6))&gt;0.00000001,1,0),0),IF(ISNUMBER(G264),IF(ABS(G264-ROUND(G264,$E$6))&gt;0.00000001,1,0),0),IF(ISNUMBER(H264),IF(ABS(H264-ROUND(H264,$E$6))&gt;0.00000001,1,0),0),IF(ISNUMBER(I264),IF(ABS(I264-ROUND(I264,$E$6))&gt;0.00000001,1,0),0),IF(ISNUMBER(J264),IF(ABS(J264-ROUND(J264,$E$6))&gt;0.00000001,1,0),0),IF(ISNUMBER(M264),IF(ABS(M264-ROUND(M264,$E$6))&gt;0.00000001,1,0),0))&gt;0,1,0),0)</f>
        <v>0</v>
      </c>
      <c r="AA264" s="0" t="n">
        <f>IF(COUNTA(B264:L264)=0,0,IF(OR(AND(ISNUMBER(F264),F264&lt;0),AND(U264=1,OR(SUM(IF(ISNUMBER(G264),IF(G264=0,1,0),0),IF(ISNUMBER(H264),IF(H264=0,1,0),0),IF(ISNUMBER(I264),IF(I264=0,1,0),0),IF(ISNUMBER(J264),IF(J264=0,1,0),0))&gt;0,COUNTIFS(G264:J264,"&lt;0")&gt;0)),AND(P264="DIMENSIONES",U264=1,OR(AND(S264="m",COUNT(H264:J264)&lt;&gt;1),AND(S264="m²",COUNT(H264:J264)&lt;&gt;2,Y264=0),AND(S264="m³",COUNT(H264:J264)&lt;&gt;3),AND(S264="ud",COUNT(H264:J264)&gt;0))),AND(P264="DIRECTA",OR(S264="m",S264="m²",S264="m³"))),1,0))</f>
        <v>0</v>
      </c>
      <c r="AB264" s="0">
        <f>IF(LEN(TRIM(E264&amp;""))&gt;0,E264,IF(R264&gt;0,INDEX($E$13:$E$512,R264),""))</f>
      </c>
      <c r="AC264" s="0">
        <f>UPPER(SUBSTITUTE(SUBSTITUTE(SUBSTITUTE(SUBSTITUTE(SUBSTITUTE(TRIM(AB264),"²","2"),"³","3"),"^",""),".","")," ",""))</f>
      </c>
    </row>
    <row r="265" ht="35" customHeight="1">
      <c r="B265" s="35"/>
      <c r="C265" s="35"/>
      <c r="D265" s="37"/>
      <c r="E265" s="35"/>
      <c r="F265" s="38"/>
      <c r="G265" s="38"/>
      <c r="H265" s="38"/>
      <c r="I265" s="38"/>
      <c r="J265" s="38"/>
      <c r="K265" s="35"/>
      <c r="L265" s="35"/>
      <c r="M265" s="39">
        <f>IF(U265&lt;&gt;1,"",IF(P265="DIRECTA",G265,IF(ISNUMBER(G265),G265,1)*IF(ISNUMBER(H265),H265,1)*IF(ISNUMBER(I265),I265,1)*IF(ISNUMBER(J265),J265,1)))</f>
      </c>
      <c r="N265" s="30">
        <f>IF(COUNTA(B265:L265)=0,"",IF(X265=0,IF(P265="CABECERA","VERDE · Fila descriptiva; la suma usa las líneas del ID","VERDE · Datos numéricos interpretables"),IF(X265=2,"ROJO · ","ÁMBAR · ")&amp;IF(NOT(IF(ISNUMBER($E$6),AND($E$6&gt;=0,$E$6&lt;=6,$E$6=INT($E$6)),FALSE)),"Indicamos entre 0 y 6 decimales en E6. ","")&amp;IF(O265=0,"Falta un ID numérico. ","")&amp;IF(R265=0,"Faltan capítulo, código, unidad o total numérico del ID. ","")&amp;IF(T265&gt;0,"Los datos o el total del ID se contradicen. ","")&amp;IF(AND(P265&lt;&gt;"DIMENSIONES",P265&lt;&gt;"DIRECTA",P265&lt;&gt;"SIN LÍNEAS",P265&lt;&gt;"CABECERA"),"Tipo de fila no reconocido. ","")&amp;IF(AND(OR(P265="SIN LÍNEAS",P265="CABECERA"),COUNTA(G265:J265)&gt;0),"La fila dice que no mide, pero contiene medidas. ","")&amp;IF(AND(OR(P265="DIRECTA",P265="DIMENSIONES"),U265=0),"Línea incompleta o con medidas no numéricas. ","")&amp;IF(P265="SIN LÍNEAS","No constan medidas de esta fila. ","")&amp;IF(Y265&gt;0,"Parece m³: tres dimensiones bajo m². ","")&amp;IF(AND(AB265&lt;&gt;"",SUMPRODUCT(--('LÉEME'!$B$65:$B$86=AC265))&lt;&gt;1),"Revisamos el significado de la unidad. ","")&amp;IF(Z265&gt;0,"Más precisión que los decimales indicados: cotejamos el original. ","")&amp;IF(AA265&gt;0,"Revisamos dimensiones, cantidad directa, ceros o deducción. ","")))</f>
      </c>
      <c r="O265" s="0" t="n">
        <f>IF(ISNUMBER(K265),IF(AND(K265&gt;0,K265=INT(K265),K265&lt;=999999),K265,0),0)</f>
        <v>0</v>
      </c>
      <c r="P265" s="0">
        <f>IF(COUNTA(B265:L265)=0,"",IF(L265="",IF(COUNTA(G265:J265)&gt;0,"DIMENSIONES","SIN LÍNEAS"),UPPER(TRIM(L265))))</f>
      </c>
      <c r="Q265" s="0">
        <f>IF(AND(O265&gt;0,LEN(TRIM(B265&amp;""))&gt;0,LEN(TRIM(C265&amp;""))&gt;0,LEN(TRIM(E265&amp;""))&gt;0,ISNUMBER(F265)),O265,"")</f>
      </c>
      <c r="R265" s="0" t="n">
        <f>IF(O265=0,0,IF(COUNTIFS($Q$13:$Q$512,O265)&gt;0,MATCH(O265,$Q$13:$Q$512,0),0))</f>
        <v>0</v>
      </c>
      <c r="S265" s="0">
        <f>IF(AB265="","",IF(SUMPRODUCT(--('LÉEME'!$B$65:$B$86=AC265))=1,INDEX('LÉEME'!$C$65:$C$86,MATCH(AC265,'LÉEME'!$B$65:$B$86,0)),UPPER(TRIM(AB265))))</f>
      </c>
      <c r="T265" s="0" t="n">
        <f>IF(R265=0,0,IF(OR(AND(LEN(TRIM(B265&amp;""))&gt;0,UPPER(TRIM(B265&amp;""))&lt;&gt;UPPER(TRIM(INDEX($B$13:$B$512,R265)&amp;""))),AND(LEN(TRIM(C265&amp;""))&gt;0,UPPER(TRIM(C265&amp;""))&lt;&gt;UPPER(TRIM(INDEX($C$13:$C$512,R265)&amp;""))),AND(LEN(TRIM(E265&amp;""))&gt;0,S265&lt;&gt;INDEX($S$13:$S$512,R265)),AND(F265&lt;&gt;"",NOT(ISNUMBER(F265)))),1,IF(ISNUMBER(F265),IF(ABS(F265-INDEX($F$13:$F$512,R265))&gt;0.00000001,1,0),0)))</f>
        <v>0</v>
      </c>
      <c r="U265" s="0" t="n">
        <f>IF(P265="DIRECTA",IF(AND(ISNUMBER(G265),COUNTA(H265:J265)=0),1,0),IF(P265="DIMENSIONES",IF(AND(COUNT(G265:J265)&gt;0,COUNTA(G265:J265)=COUNT(G265:J265)),1,0),0))</f>
        <v>0</v>
      </c>
      <c r="V265" s="0" t="n">
        <f>IF(O265=0,0,IF(COUNTIFS($O$13:O265,O265)=1,1,0))</f>
        <v>0</v>
      </c>
      <c r="W265" s="0">
        <f>IF(V265=1,COUNTIFS($V$13:V265,1),"")</f>
      </c>
      <c r="X265" s="0">
        <f>IF(COUNTA(B265:L265)=0,"",IF(OR(NOT(IF(ISNUMBER($E$6),AND($E$6&gt;=0,$E$6&lt;=6,$E$6=INT($E$6)),FALSE)),O265=0,R265=0,T265&gt;0,AND(P265&lt;&gt;"DIMENSIONES",P265&lt;&gt;"DIRECTA",P265&lt;&gt;"SIN LÍNEAS",P265&lt;&gt;"CABECERA"),AND(OR(P265="DIRECTA",P265="DIMENSIONES"),U265=0),AND(OR(P265="SIN LÍNEAS",P265="CABECERA"),COUNTA(G265:J265)&gt;0)),2,IF(OR(P265="SIN LÍNEAS",Y265&gt;0,Z265&gt;0,AA265&gt;0,SUMPRODUCT(--('LÉEME'!$B$65:$B$86=AC265))&lt;&gt;1),1,0)))</f>
      </c>
      <c r="Y265" s="0" t="n">
        <f>IF(AND(P265="DIMENSIONES",S265="m²",COUNT(H265:J265)=3),1,0)</f>
        <v>0</v>
      </c>
      <c r="Z265" s="0" t="n">
        <f>IF(IF(ISNUMBER($E$6),AND($E$6&gt;=0,$E$6&lt;=6,$E$6=INT($E$6)),FALSE),IF(SUM(IF(ISNUMBER(F265),IF(ABS(F265-ROUND(F265,$E$6))&gt;0.00000001,1,0),0),IF(ISNUMBER(G265),IF(ABS(G265-ROUND(G265,$E$6))&gt;0.00000001,1,0),0),IF(ISNUMBER(H265),IF(ABS(H265-ROUND(H265,$E$6))&gt;0.00000001,1,0),0),IF(ISNUMBER(I265),IF(ABS(I265-ROUND(I265,$E$6))&gt;0.00000001,1,0),0),IF(ISNUMBER(J265),IF(ABS(J265-ROUND(J265,$E$6))&gt;0.00000001,1,0),0),IF(ISNUMBER(M265),IF(ABS(M265-ROUND(M265,$E$6))&gt;0.00000001,1,0),0))&gt;0,1,0),0)</f>
        <v>0</v>
      </c>
      <c r="AA265" s="0" t="n">
        <f>IF(COUNTA(B265:L265)=0,0,IF(OR(AND(ISNUMBER(F265),F265&lt;0),AND(U265=1,OR(SUM(IF(ISNUMBER(G265),IF(G265=0,1,0),0),IF(ISNUMBER(H265),IF(H265=0,1,0),0),IF(ISNUMBER(I265),IF(I265=0,1,0),0),IF(ISNUMBER(J265),IF(J265=0,1,0),0))&gt;0,COUNTIFS(G265:J265,"&lt;0")&gt;0)),AND(P265="DIMENSIONES",U265=1,OR(AND(S265="m",COUNT(H265:J265)&lt;&gt;1),AND(S265="m²",COUNT(H265:J265)&lt;&gt;2,Y265=0),AND(S265="m³",COUNT(H265:J265)&lt;&gt;3),AND(S265="ud",COUNT(H265:J265)&gt;0))),AND(P265="DIRECTA",OR(S265="m",S265="m²",S265="m³"))),1,0))</f>
        <v>0</v>
      </c>
      <c r="AB265" s="0">
        <f>IF(LEN(TRIM(E265&amp;""))&gt;0,E265,IF(R265&gt;0,INDEX($E$13:$E$512,R265),""))</f>
      </c>
      <c r="AC265" s="0">
        <f>UPPER(SUBSTITUTE(SUBSTITUTE(SUBSTITUTE(SUBSTITUTE(SUBSTITUTE(TRIM(AB265),"²","2"),"³","3"),"^",""),".","")," ",""))</f>
      </c>
    </row>
    <row r="266" ht="35" customHeight="1">
      <c r="B266" s="35"/>
      <c r="C266" s="35"/>
      <c r="D266" s="37"/>
      <c r="E266" s="35"/>
      <c r="F266" s="38"/>
      <c r="G266" s="38"/>
      <c r="H266" s="38"/>
      <c r="I266" s="38"/>
      <c r="J266" s="38"/>
      <c r="K266" s="35"/>
      <c r="L266" s="35"/>
      <c r="M266" s="39">
        <f>IF(U266&lt;&gt;1,"",IF(P266="DIRECTA",G266,IF(ISNUMBER(G266),G266,1)*IF(ISNUMBER(H266),H266,1)*IF(ISNUMBER(I266),I266,1)*IF(ISNUMBER(J266),J266,1)))</f>
      </c>
      <c r="N266" s="30">
        <f>IF(COUNTA(B266:L266)=0,"",IF(X266=0,IF(P266="CABECERA","VERDE · Fila descriptiva; la suma usa las líneas del ID","VERDE · Datos numéricos interpretables"),IF(X266=2,"ROJO · ","ÁMBAR · ")&amp;IF(NOT(IF(ISNUMBER($E$6),AND($E$6&gt;=0,$E$6&lt;=6,$E$6=INT($E$6)),FALSE)),"Indicamos entre 0 y 6 decimales en E6. ","")&amp;IF(O266=0,"Falta un ID numérico. ","")&amp;IF(R266=0,"Faltan capítulo, código, unidad o total numérico del ID. ","")&amp;IF(T266&gt;0,"Los datos o el total del ID se contradicen. ","")&amp;IF(AND(P266&lt;&gt;"DIMENSIONES",P266&lt;&gt;"DIRECTA",P266&lt;&gt;"SIN LÍNEAS",P266&lt;&gt;"CABECERA"),"Tipo de fila no reconocido. ","")&amp;IF(AND(OR(P266="SIN LÍNEAS",P266="CABECERA"),COUNTA(G266:J266)&gt;0),"La fila dice que no mide, pero contiene medidas. ","")&amp;IF(AND(OR(P266="DIRECTA",P266="DIMENSIONES"),U266=0),"Línea incompleta o con medidas no numéricas. ","")&amp;IF(P266="SIN LÍNEAS","No constan medidas de esta fila. ","")&amp;IF(Y266&gt;0,"Parece m³: tres dimensiones bajo m². ","")&amp;IF(AND(AB266&lt;&gt;"",SUMPRODUCT(--('LÉEME'!$B$65:$B$86=AC266))&lt;&gt;1),"Revisamos el significado de la unidad. ","")&amp;IF(Z266&gt;0,"Más precisión que los decimales indicados: cotejamos el original. ","")&amp;IF(AA266&gt;0,"Revisamos dimensiones, cantidad directa, ceros o deducción. ","")))</f>
      </c>
      <c r="O266" s="0" t="n">
        <f>IF(ISNUMBER(K266),IF(AND(K266&gt;0,K266=INT(K266),K266&lt;=999999),K266,0),0)</f>
        <v>0</v>
      </c>
      <c r="P266" s="0">
        <f>IF(COUNTA(B266:L266)=0,"",IF(L266="",IF(COUNTA(G266:J266)&gt;0,"DIMENSIONES","SIN LÍNEAS"),UPPER(TRIM(L266))))</f>
      </c>
      <c r="Q266" s="0">
        <f>IF(AND(O266&gt;0,LEN(TRIM(B266&amp;""))&gt;0,LEN(TRIM(C266&amp;""))&gt;0,LEN(TRIM(E266&amp;""))&gt;0,ISNUMBER(F266)),O266,"")</f>
      </c>
      <c r="R266" s="0" t="n">
        <f>IF(O266=0,0,IF(COUNTIFS($Q$13:$Q$512,O266)&gt;0,MATCH(O266,$Q$13:$Q$512,0),0))</f>
        <v>0</v>
      </c>
      <c r="S266" s="0">
        <f>IF(AB266="","",IF(SUMPRODUCT(--('LÉEME'!$B$65:$B$86=AC266))=1,INDEX('LÉEME'!$C$65:$C$86,MATCH(AC266,'LÉEME'!$B$65:$B$86,0)),UPPER(TRIM(AB266))))</f>
      </c>
      <c r="T266" s="0" t="n">
        <f>IF(R266=0,0,IF(OR(AND(LEN(TRIM(B266&amp;""))&gt;0,UPPER(TRIM(B266&amp;""))&lt;&gt;UPPER(TRIM(INDEX($B$13:$B$512,R266)&amp;""))),AND(LEN(TRIM(C266&amp;""))&gt;0,UPPER(TRIM(C266&amp;""))&lt;&gt;UPPER(TRIM(INDEX($C$13:$C$512,R266)&amp;""))),AND(LEN(TRIM(E266&amp;""))&gt;0,S266&lt;&gt;INDEX($S$13:$S$512,R266)),AND(F266&lt;&gt;"",NOT(ISNUMBER(F266)))),1,IF(ISNUMBER(F266),IF(ABS(F266-INDEX($F$13:$F$512,R266))&gt;0.00000001,1,0),0)))</f>
        <v>0</v>
      </c>
      <c r="U266" s="0" t="n">
        <f>IF(P266="DIRECTA",IF(AND(ISNUMBER(G266),COUNTA(H266:J266)=0),1,0),IF(P266="DIMENSIONES",IF(AND(COUNT(G266:J266)&gt;0,COUNTA(G266:J266)=COUNT(G266:J266)),1,0),0))</f>
        <v>0</v>
      </c>
      <c r="V266" s="0" t="n">
        <f>IF(O266=0,0,IF(COUNTIFS($O$13:O266,O266)=1,1,0))</f>
        <v>0</v>
      </c>
      <c r="W266" s="0">
        <f>IF(V266=1,COUNTIFS($V$13:V266,1),"")</f>
      </c>
      <c r="X266" s="0">
        <f>IF(COUNTA(B266:L266)=0,"",IF(OR(NOT(IF(ISNUMBER($E$6),AND($E$6&gt;=0,$E$6&lt;=6,$E$6=INT($E$6)),FALSE)),O266=0,R266=0,T266&gt;0,AND(P266&lt;&gt;"DIMENSIONES",P266&lt;&gt;"DIRECTA",P266&lt;&gt;"SIN LÍNEAS",P266&lt;&gt;"CABECERA"),AND(OR(P266="DIRECTA",P266="DIMENSIONES"),U266=0),AND(OR(P266="SIN LÍNEAS",P266="CABECERA"),COUNTA(G266:J266)&gt;0)),2,IF(OR(P266="SIN LÍNEAS",Y266&gt;0,Z266&gt;0,AA266&gt;0,SUMPRODUCT(--('LÉEME'!$B$65:$B$86=AC266))&lt;&gt;1),1,0)))</f>
      </c>
      <c r="Y266" s="0" t="n">
        <f>IF(AND(P266="DIMENSIONES",S266="m²",COUNT(H266:J266)=3),1,0)</f>
        <v>0</v>
      </c>
      <c r="Z266" s="0" t="n">
        <f>IF(IF(ISNUMBER($E$6),AND($E$6&gt;=0,$E$6&lt;=6,$E$6=INT($E$6)),FALSE),IF(SUM(IF(ISNUMBER(F266),IF(ABS(F266-ROUND(F266,$E$6))&gt;0.00000001,1,0),0),IF(ISNUMBER(G266),IF(ABS(G266-ROUND(G266,$E$6))&gt;0.00000001,1,0),0),IF(ISNUMBER(H266),IF(ABS(H266-ROUND(H266,$E$6))&gt;0.00000001,1,0),0),IF(ISNUMBER(I266),IF(ABS(I266-ROUND(I266,$E$6))&gt;0.00000001,1,0),0),IF(ISNUMBER(J266),IF(ABS(J266-ROUND(J266,$E$6))&gt;0.00000001,1,0),0),IF(ISNUMBER(M266),IF(ABS(M266-ROUND(M266,$E$6))&gt;0.00000001,1,0),0))&gt;0,1,0),0)</f>
        <v>0</v>
      </c>
      <c r="AA266" s="0" t="n">
        <f>IF(COUNTA(B266:L266)=0,0,IF(OR(AND(ISNUMBER(F266),F266&lt;0),AND(U266=1,OR(SUM(IF(ISNUMBER(G266),IF(G266=0,1,0),0),IF(ISNUMBER(H266),IF(H266=0,1,0),0),IF(ISNUMBER(I266),IF(I266=0,1,0),0),IF(ISNUMBER(J266),IF(J266=0,1,0),0))&gt;0,COUNTIFS(G266:J266,"&lt;0")&gt;0)),AND(P266="DIMENSIONES",U266=1,OR(AND(S266="m",COUNT(H266:J266)&lt;&gt;1),AND(S266="m²",COUNT(H266:J266)&lt;&gt;2,Y266=0),AND(S266="m³",COUNT(H266:J266)&lt;&gt;3),AND(S266="ud",COUNT(H266:J266)&gt;0))),AND(P266="DIRECTA",OR(S266="m",S266="m²",S266="m³"))),1,0))</f>
        <v>0</v>
      </c>
      <c r="AB266" s="0">
        <f>IF(LEN(TRIM(E266&amp;""))&gt;0,E266,IF(R266&gt;0,INDEX($E$13:$E$512,R266),""))</f>
      </c>
      <c r="AC266" s="0">
        <f>UPPER(SUBSTITUTE(SUBSTITUTE(SUBSTITUTE(SUBSTITUTE(SUBSTITUTE(TRIM(AB266),"²","2"),"³","3"),"^",""),".","")," ",""))</f>
      </c>
    </row>
    <row r="267" ht="35" customHeight="1">
      <c r="B267" s="35"/>
      <c r="C267" s="35"/>
      <c r="D267" s="37"/>
      <c r="E267" s="35"/>
      <c r="F267" s="38"/>
      <c r="G267" s="38"/>
      <c r="H267" s="38"/>
      <c r="I267" s="38"/>
      <c r="J267" s="38"/>
      <c r="K267" s="35"/>
      <c r="L267" s="35"/>
      <c r="M267" s="39">
        <f>IF(U267&lt;&gt;1,"",IF(P267="DIRECTA",G267,IF(ISNUMBER(G267),G267,1)*IF(ISNUMBER(H267),H267,1)*IF(ISNUMBER(I267),I267,1)*IF(ISNUMBER(J267),J267,1)))</f>
      </c>
      <c r="N267" s="30">
        <f>IF(COUNTA(B267:L267)=0,"",IF(X267=0,IF(P267="CABECERA","VERDE · Fila descriptiva; la suma usa las líneas del ID","VERDE · Datos numéricos interpretables"),IF(X267=2,"ROJO · ","ÁMBAR · ")&amp;IF(NOT(IF(ISNUMBER($E$6),AND($E$6&gt;=0,$E$6&lt;=6,$E$6=INT($E$6)),FALSE)),"Indicamos entre 0 y 6 decimales en E6. ","")&amp;IF(O267=0,"Falta un ID numérico. ","")&amp;IF(R267=0,"Faltan capítulo, código, unidad o total numérico del ID. ","")&amp;IF(T267&gt;0,"Los datos o el total del ID se contradicen. ","")&amp;IF(AND(P267&lt;&gt;"DIMENSIONES",P267&lt;&gt;"DIRECTA",P267&lt;&gt;"SIN LÍNEAS",P267&lt;&gt;"CABECERA"),"Tipo de fila no reconocido. ","")&amp;IF(AND(OR(P267="SIN LÍNEAS",P267="CABECERA"),COUNTA(G267:J267)&gt;0),"La fila dice que no mide, pero contiene medidas. ","")&amp;IF(AND(OR(P267="DIRECTA",P267="DIMENSIONES"),U267=0),"Línea incompleta o con medidas no numéricas. ","")&amp;IF(P267="SIN LÍNEAS","No constan medidas de esta fila. ","")&amp;IF(Y267&gt;0,"Parece m³: tres dimensiones bajo m². ","")&amp;IF(AND(AB267&lt;&gt;"",SUMPRODUCT(--('LÉEME'!$B$65:$B$86=AC267))&lt;&gt;1),"Revisamos el significado de la unidad. ","")&amp;IF(Z267&gt;0,"Más precisión que los decimales indicados: cotejamos el original. ","")&amp;IF(AA267&gt;0,"Revisamos dimensiones, cantidad directa, ceros o deducción. ","")))</f>
      </c>
      <c r="O267" s="0" t="n">
        <f>IF(ISNUMBER(K267),IF(AND(K267&gt;0,K267=INT(K267),K267&lt;=999999),K267,0),0)</f>
        <v>0</v>
      </c>
      <c r="P267" s="0">
        <f>IF(COUNTA(B267:L267)=0,"",IF(L267="",IF(COUNTA(G267:J267)&gt;0,"DIMENSIONES","SIN LÍNEAS"),UPPER(TRIM(L267))))</f>
      </c>
      <c r="Q267" s="0">
        <f>IF(AND(O267&gt;0,LEN(TRIM(B267&amp;""))&gt;0,LEN(TRIM(C267&amp;""))&gt;0,LEN(TRIM(E267&amp;""))&gt;0,ISNUMBER(F267)),O267,"")</f>
      </c>
      <c r="R267" s="0" t="n">
        <f>IF(O267=0,0,IF(COUNTIFS($Q$13:$Q$512,O267)&gt;0,MATCH(O267,$Q$13:$Q$512,0),0))</f>
        <v>0</v>
      </c>
      <c r="S267" s="0">
        <f>IF(AB267="","",IF(SUMPRODUCT(--('LÉEME'!$B$65:$B$86=AC267))=1,INDEX('LÉEME'!$C$65:$C$86,MATCH(AC267,'LÉEME'!$B$65:$B$86,0)),UPPER(TRIM(AB267))))</f>
      </c>
      <c r="T267" s="0" t="n">
        <f>IF(R267=0,0,IF(OR(AND(LEN(TRIM(B267&amp;""))&gt;0,UPPER(TRIM(B267&amp;""))&lt;&gt;UPPER(TRIM(INDEX($B$13:$B$512,R267)&amp;""))),AND(LEN(TRIM(C267&amp;""))&gt;0,UPPER(TRIM(C267&amp;""))&lt;&gt;UPPER(TRIM(INDEX($C$13:$C$512,R267)&amp;""))),AND(LEN(TRIM(E267&amp;""))&gt;0,S267&lt;&gt;INDEX($S$13:$S$512,R267)),AND(F267&lt;&gt;"",NOT(ISNUMBER(F267)))),1,IF(ISNUMBER(F267),IF(ABS(F267-INDEX($F$13:$F$512,R267))&gt;0.00000001,1,0),0)))</f>
        <v>0</v>
      </c>
      <c r="U267" s="0" t="n">
        <f>IF(P267="DIRECTA",IF(AND(ISNUMBER(G267),COUNTA(H267:J267)=0),1,0),IF(P267="DIMENSIONES",IF(AND(COUNT(G267:J267)&gt;0,COUNTA(G267:J267)=COUNT(G267:J267)),1,0),0))</f>
        <v>0</v>
      </c>
      <c r="V267" s="0" t="n">
        <f>IF(O267=0,0,IF(COUNTIFS($O$13:O267,O267)=1,1,0))</f>
        <v>0</v>
      </c>
      <c r="W267" s="0">
        <f>IF(V267=1,COUNTIFS($V$13:V267,1),"")</f>
      </c>
      <c r="X267" s="0">
        <f>IF(COUNTA(B267:L267)=0,"",IF(OR(NOT(IF(ISNUMBER($E$6),AND($E$6&gt;=0,$E$6&lt;=6,$E$6=INT($E$6)),FALSE)),O267=0,R267=0,T267&gt;0,AND(P267&lt;&gt;"DIMENSIONES",P267&lt;&gt;"DIRECTA",P267&lt;&gt;"SIN LÍNEAS",P267&lt;&gt;"CABECERA"),AND(OR(P267="DIRECTA",P267="DIMENSIONES"),U267=0),AND(OR(P267="SIN LÍNEAS",P267="CABECERA"),COUNTA(G267:J267)&gt;0)),2,IF(OR(P267="SIN LÍNEAS",Y267&gt;0,Z267&gt;0,AA267&gt;0,SUMPRODUCT(--('LÉEME'!$B$65:$B$86=AC267))&lt;&gt;1),1,0)))</f>
      </c>
      <c r="Y267" s="0" t="n">
        <f>IF(AND(P267="DIMENSIONES",S267="m²",COUNT(H267:J267)=3),1,0)</f>
        <v>0</v>
      </c>
      <c r="Z267" s="0" t="n">
        <f>IF(IF(ISNUMBER($E$6),AND($E$6&gt;=0,$E$6&lt;=6,$E$6=INT($E$6)),FALSE),IF(SUM(IF(ISNUMBER(F267),IF(ABS(F267-ROUND(F267,$E$6))&gt;0.00000001,1,0),0),IF(ISNUMBER(G267),IF(ABS(G267-ROUND(G267,$E$6))&gt;0.00000001,1,0),0),IF(ISNUMBER(H267),IF(ABS(H267-ROUND(H267,$E$6))&gt;0.00000001,1,0),0),IF(ISNUMBER(I267),IF(ABS(I267-ROUND(I267,$E$6))&gt;0.00000001,1,0),0),IF(ISNUMBER(J267),IF(ABS(J267-ROUND(J267,$E$6))&gt;0.00000001,1,0),0),IF(ISNUMBER(M267),IF(ABS(M267-ROUND(M267,$E$6))&gt;0.00000001,1,0),0))&gt;0,1,0),0)</f>
        <v>0</v>
      </c>
      <c r="AA267" s="0" t="n">
        <f>IF(COUNTA(B267:L267)=0,0,IF(OR(AND(ISNUMBER(F267),F267&lt;0),AND(U267=1,OR(SUM(IF(ISNUMBER(G267),IF(G267=0,1,0),0),IF(ISNUMBER(H267),IF(H267=0,1,0),0),IF(ISNUMBER(I267),IF(I267=0,1,0),0),IF(ISNUMBER(J267),IF(J267=0,1,0),0))&gt;0,COUNTIFS(G267:J267,"&lt;0")&gt;0)),AND(P267="DIMENSIONES",U267=1,OR(AND(S267="m",COUNT(H267:J267)&lt;&gt;1),AND(S267="m²",COUNT(H267:J267)&lt;&gt;2,Y267=0),AND(S267="m³",COUNT(H267:J267)&lt;&gt;3),AND(S267="ud",COUNT(H267:J267)&gt;0))),AND(P267="DIRECTA",OR(S267="m",S267="m²",S267="m³"))),1,0))</f>
        <v>0</v>
      </c>
      <c r="AB267" s="0">
        <f>IF(LEN(TRIM(E267&amp;""))&gt;0,E267,IF(R267&gt;0,INDEX($E$13:$E$512,R267),""))</f>
      </c>
      <c r="AC267" s="0">
        <f>UPPER(SUBSTITUTE(SUBSTITUTE(SUBSTITUTE(SUBSTITUTE(SUBSTITUTE(TRIM(AB267),"²","2"),"³","3"),"^",""),".","")," ",""))</f>
      </c>
    </row>
    <row r="268" ht="35" customHeight="1">
      <c r="B268" s="35"/>
      <c r="C268" s="35"/>
      <c r="D268" s="37"/>
      <c r="E268" s="35"/>
      <c r="F268" s="38"/>
      <c r="G268" s="38"/>
      <c r="H268" s="38"/>
      <c r="I268" s="38"/>
      <c r="J268" s="38"/>
      <c r="K268" s="35"/>
      <c r="L268" s="35"/>
      <c r="M268" s="39">
        <f>IF(U268&lt;&gt;1,"",IF(P268="DIRECTA",G268,IF(ISNUMBER(G268),G268,1)*IF(ISNUMBER(H268),H268,1)*IF(ISNUMBER(I268),I268,1)*IF(ISNUMBER(J268),J268,1)))</f>
      </c>
      <c r="N268" s="30">
        <f>IF(COUNTA(B268:L268)=0,"",IF(X268=0,IF(P268="CABECERA","VERDE · Fila descriptiva; la suma usa las líneas del ID","VERDE · Datos numéricos interpretables"),IF(X268=2,"ROJO · ","ÁMBAR · ")&amp;IF(NOT(IF(ISNUMBER($E$6),AND($E$6&gt;=0,$E$6&lt;=6,$E$6=INT($E$6)),FALSE)),"Indicamos entre 0 y 6 decimales en E6. ","")&amp;IF(O268=0,"Falta un ID numérico. ","")&amp;IF(R268=0,"Faltan capítulo, código, unidad o total numérico del ID. ","")&amp;IF(T268&gt;0,"Los datos o el total del ID se contradicen. ","")&amp;IF(AND(P268&lt;&gt;"DIMENSIONES",P268&lt;&gt;"DIRECTA",P268&lt;&gt;"SIN LÍNEAS",P268&lt;&gt;"CABECERA"),"Tipo de fila no reconocido. ","")&amp;IF(AND(OR(P268="SIN LÍNEAS",P268="CABECERA"),COUNTA(G268:J268)&gt;0),"La fila dice que no mide, pero contiene medidas. ","")&amp;IF(AND(OR(P268="DIRECTA",P268="DIMENSIONES"),U268=0),"Línea incompleta o con medidas no numéricas. ","")&amp;IF(P268="SIN LÍNEAS","No constan medidas de esta fila. ","")&amp;IF(Y268&gt;0,"Parece m³: tres dimensiones bajo m². ","")&amp;IF(AND(AB268&lt;&gt;"",SUMPRODUCT(--('LÉEME'!$B$65:$B$86=AC268))&lt;&gt;1),"Revisamos el significado de la unidad. ","")&amp;IF(Z268&gt;0,"Más precisión que los decimales indicados: cotejamos el original. ","")&amp;IF(AA268&gt;0,"Revisamos dimensiones, cantidad directa, ceros o deducción. ","")))</f>
      </c>
      <c r="O268" s="0" t="n">
        <f>IF(ISNUMBER(K268),IF(AND(K268&gt;0,K268=INT(K268),K268&lt;=999999),K268,0),0)</f>
        <v>0</v>
      </c>
      <c r="P268" s="0">
        <f>IF(COUNTA(B268:L268)=0,"",IF(L268="",IF(COUNTA(G268:J268)&gt;0,"DIMENSIONES","SIN LÍNEAS"),UPPER(TRIM(L268))))</f>
      </c>
      <c r="Q268" s="0">
        <f>IF(AND(O268&gt;0,LEN(TRIM(B268&amp;""))&gt;0,LEN(TRIM(C268&amp;""))&gt;0,LEN(TRIM(E268&amp;""))&gt;0,ISNUMBER(F268)),O268,"")</f>
      </c>
      <c r="R268" s="0" t="n">
        <f>IF(O268=0,0,IF(COUNTIFS($Q$13:$Q$512,O268)&gt;0,MATCH(O268,$Q$13:$Q$512,0),0))</f>
        <v>0</v>
      </c>
      <c r="S268" s="0">
        <f>IF(AB268="","",IF(SUMPRODUCT(--('LÉEME'!$B$65:$B$86=AC268))=1,INDEX('LÉEME'!$C$65:$C$86,MATCH(AC268,'LÉEME'!$B$65:$B$86,0)),UPPER(TRIM(AB268))))</f>
      </c>
      <c r="T268" s="0" t="n">
        <f>IF(R268=0,0,IF(OR(AND(LEN(TRIM(B268&amp;""))&gt;0,UPPER(TRIM(B268&amp;""))&lt;&gt;UPPER(TRIM(INDEX($B$13:$B$512,R268)&amp;""))),AND(LEN(TRIM(C268&amp;""))&gt;0,UPPER(TRIM(C268&amp;""))&lt;&gt;UPPER(TRIM(INDEX($C$13:$C$512,R268)&amp;""))),AND(LEN(TRIM(E268&amp;""))&gt;0,S268&lt;&gt;INDEX($S$13:$S$512,R268)),AND(F268&lt;&gt;"",NOT(ISNUMBER(F268)))),1,IF(ISNUMBER(F268),IF(ABS(F268-INDEX($F$13:$F$512,R268))&gt;0.00000001,1,0),0)))</f>
        <v>0</v>
      </c>
      <c r="U268" s="0" t="n">
        <f>IF(P268="DIRECTA",IF(AND(ISNUMBER(G268),COUNTA(H268:J268)=0),1,0),IF(P268="DIMENSIONES",IF(AND(COUNT(G268:J268)&gt;0,COUNTA(G268:J268)=COUNT(G268:J268)),1,0),0))</f>
        <v>0</v>
      </c>
      <c r="V268" s="0" t="n">
        <f>IF(O268=0,0,IF(COUNTIFS($O$13:O268,O268)=1,1,0))</f>
        <v>0</v>
      </c>
      <c r="W268" s="0">
        <f>IF(V268=1,COUNTIFS($V$13:V268,1),"")</f>
      </c>
      <c r="X268" s="0">
        <f>IF(COUNTA(B268:L268)=0,"",IF(OR(NOT(IF(ISNUMBER($E$6),AND($E$6&gt;=0,$E$6&lt;=6,$E$6=INT($E$6)),FALSE)),O268=0,R268=0,T268&gt;0,AND(P268&lt;&gt;"DIMENSIONES",P268&lt;&gt;"DIRECTA",P268&lt;&gt;"SIN LÍNEAS",P268&lt;&gt;"CABECERA"),AND(OR(P268="DIRECTA",P268="DIMENSIONES"),U268=0),AND(OR(P268="SIN LÍNEAS",P268="CABECERA"),COUNTA(G268:J268)&gt;0)),2,IF(OR(P268="SIN LÍNEAS",Y268&gt;0,Z268&gt;0,AA268&gt;0,SUMPRODUCT(--('LÉEME'!$B$65:$B$86=AC268))&lt;&gt;1),1,0)))</f>
      </c>
      <c r="Y268" s="0" t="n">
        <f>IF(AND(P268="DIMENSIONES",S268="m²",COUNT(H268:J268)=3),1,0)</f>
        <v>0</v>
      </c>
      <c r="Z268" s="0" t="n">
        <f>IF(IF(ISNUMBER($E$6),AND($E$6&gt;=0,$E$6&lt;=6,$E$6=INT($E$6)),FALSE),IF(SUM(IF(ISNUMBER(F268),IF(ABS(F268-ROUND(F268,$E$6))&gt;0.00000001,1,0),0),IF(ISNUMBER(G268),IF(ABS(G268-ROUND(G268,$E$6))&gt;0.00000001,1,0),0),IF(ISNUMBER(H268),IF(ABS(H268-ROUND(H268,$E$6))&gt;0.00000001,1,0),0),IF(ISNUMBER(I268),IF(ABS(I268-ROUND(I268,$E$6))&gt;0.00000001,1,0),0),IF(ISNUMBER(J268),IF(ABS(J268-ROUND(J268,$E$6))&gt;0.00000001,1,0),0),IF(ISNUMBER(M268),IF(ABS(M268-ROUND(M268,$E$6))&gt;0.00000001,1,0),0))&gt;0,1,0),0)</f>
        <v>0</v>
      </c>
      <c r="AA268" s="0" t="n">
        <f>IF(COUNTA(B268:L268)=0,0,IF(OR(AND(ISNUMBER(F268),F268&lt;0),AND(U268=1,OR(SUM(IF(ISNUMBER(G268),IF(G268=0,1,0),0),IF(ISNUMBER(H268),IF(H268=0,1,0),0),IF(ISNUMBER(I268),IF(I268=0,1,0),0),IF(ISNUMBER(J268),IF(J268=0,1,0),0))&gt;0,COUNTIFS(G268:J268,"&lt;0")&gt;0)),AND(P268="DIMENSIONES",U268=1,OR(AND(S268="m",COUNT(H268:J268)&lt;&gt;1),AND(S268="m²",COUNT(H268:J268)&lt;&gt;2,Y268=0),AND(S268="m³",COUNT(H268:J268)&lt;&gt;3),AND(S268="ud",COUNT(H268:J268)&gt;0))),AND(P268="DIRECTA",OR(S268="m",S268="m²",S268="m³"))),1,0))</f>
        <v>0</v>
      </c>
      <c r="AB268" s="0">
        <f>IF(LEN(TRIM(E268&amp;""))&gt;0,E268,IF(R268&gt;0,INDEX($E$13:$E$512,R268),""))</f>
      </c>
      <c r="AC268" s="0">
        <f>UPPER(SUBSTITUTE(SUBSTITUTE(SUBSTITUTE(SUBSTITUTE(SUBSTITUTE(TRIM(AB268),"²","2"),"³","3"),"^",""),".","")," ",""))</f>
      </c>
    </row>
    <row r="269" ht="35" customHeight="1">
      <c r="B269" s="35"/>
      <c r="C269" s="35"/>
      <c r="D269" s="37"/>
      <c r="E269" s="35"/>
      <c r="F269" s="38"/>
      <c r="G269" s="38"/>
      <c r="H269" s="38"/>
      <c r="I269" s="38"/>
      <c r="J269" s="38"/>
      <c r="K269" s="35"/>
      <c r="L269" s="35"/>
      <c r="M269" s="39">
        <f>IF(U269&lt;&gt;1,"",IF(P269="DIRECTA",G269,IF(ISNUMBER(G269),G269,1)*IF(ISNUMBER(H269),H269,1)*IF(ISNUMBER(I269),I269,1)*IF(ISNUMBER(J269),J269,1)))</f>
      </c>
      <c r="N269" s="30">
        <f>IF(COUNTA(B269:L269)=0,"",IF(X269=0,IF(P269="CABECERA","VERDE · Fila descriptiva; la suma usa las líneas del ID","VERDE · Datos numéricos interpretables"),IF(X269=2,"ROJO · ","ÁMBAR · ")&amp;IF(NOT(IF(ISNUMBER($E$6),AND($E$6&gt;=0,$E$6&lt;=6,$E$6=INT($E$6)),FALSE)),"Indicamos entre 0 y 6 decimales en E6. ","")&amp;IF(O269=0,"Falta un ID numérico. ","")&amp;IF(R269=0,"Faltan capítulo, código, unidad o total numérico del ID. ","")&amp;IF(T269&gt;0,"Los datos o el total del ID se contradicen. ","")&amp;IF(AND(P269&lt;&gt;"DIMENSIONES",P269&lt;&gt;"DIRECTA",P269&lt;&gt;"SIN LÍNEAS",P269&lt;&gt;"CABECERA"),"Tipo de fila no reconocido. ","")&amp;IF(AND(OR(P269="SIN LÍNEAS",P269="CABECERA"),COUNTA(G269:J269)&gt;0),"La fila dice que no mide, pero contiene medidas. ","")&amp;IF(AND(OR(P269="DIRECTA",P269="DIMENSIONES"),U269=0),"Línea incompleta o con medidas no numéricas. ","")&amp;IF(P269="SIN LÍNEAS","No constan medidas de esta fila. ","")&amp;IF(Y269&gt;0,"Parece m³: tres dimensiones bajo m². ","")&amp;IF(AND(AB269&lt;&gt;"",SUMPRODUCT(--('LÉEME'!$B$65:$B$86=AC269))&lt;&gt;1),"Revisamos el significado de la unidad. ","")&amp;IF(Z269&gt;0,"Más precisión que los decimales indicados: cotejamos el original. ","")&amp;IF(AA269&gt;0,"Revisamos dimensiones, cantidad directa, ceros o deducción. ","")))</f>
      </c>
      <c r="O269" s="0" t="n">
        <f>IF(ISNUMBER(K269),IF(AND(K269&gt;0,K269=INT(K269),K269&lt;=999999),K269,0),0)</f>
        <v>0</v>
      </c>
      <c r="P269" s="0">
        <f>IF(COUNTA(B269:L269)=0,"",IF(L269="",IF(COUNTA(G269:J269)&gt;0,"DIMENSIONES","SIN LÍNEAS"),UPPER(TRIM(L269))))</f>
      </c>
      <c r="Q269" s="0">
        <f>IF(AND(O269&gt;0,LEN(TRIM(B269&amp;""))&gt;0,LEN(TRIM(C269&amp;""))&gt;0,LEN(TRIM(E269&amp;""))&gt;0,ISNUMBER(F269)),O269,"")</f>
      </c>
      <c r="R269" s="0" t="n">
        <f>IF(O269=0,0,IF(COUNTIFS($Q$13:$Q$512,O269)&gt;0,MATCH(O269,$Q$13:$Q$512,0),0))</f>
        <v>0</v>
      </c>
      <c r="S269" s="0">
        <f>IF(AB269="","",IF(SUMPRODUCT(--('LÉEME'!$B$65:$B$86=AC269))=1,INDEX('LÉEME'!$C$65:$C$86,MATCH(AC269,'LÉEME'!$B$65:$B$86,0)),UPPER(TRIM(AB269))))</f>
      </c>
      <c r="T269" s="0" t="n">
        <f>IF(R269=0,0,IF(OR(AND(LEN(TRIM(B269&amp;""))&gt;0,UPPER(TRIM(B269&amp;""))&lt;&gt;UPPER(TRIM(INDEX($B$13:$B$512,R269)&amp;""))),AND(LEN(TRIM(C269&amp;""))&gt;0,UPPER(TRIM(C269&amp;""))&lt;&gt;UPPER(TRIM(INDEX($C$13:$C$512,R269)&amp;""))),AND(LEN(TRIM(E269&amp;""))&gt;0,S269&lt;&gt;INDEX($S$13:$S$512,R269)),AND(F269&lt;&gt;"",NOT(ISNUMBER(F269)))),1,IF(ISNUMBER(F269),IF(ABS(F269-INDEX($F$13:$F$512,R269))&gt;0.00000001,1,0),0)))</f>
        <v>0</v>
      </c>
      <c r="U269" s="0" t="n">
        <f>IF(P269="DIRECTA",IF(AND(ISNUMBER(G269),COUNTA(H269:J269)=0),1,0),IF(P269="DIMENSIONES",IF(AND(COUNT(G269:J269)&gt;0,COUNTA(G269:J269)=COUNT(G269:J269)),1,0),0))</f>
        <v>0</v>
      </c>
      <c r="V269" s="0" t="n">
        <f>IF(O269=0,0,IF(COUNTIFS($O$13:O269,O269)=1,1,0))</f>
        <v>0</v>
      </c>
      <c r="W269" s="0">
        <f>IF(V269=1,COUNTIFS($V$13:V269,1),"")</f>
      </c>
      <c r="X269" s="0">
        <f>IF(COUNTA(B269:L269)=0,"",IF(OR(NOT(IF(ISNUMBER($E$6),AND($E$6&gt;=0,$E$6&lt;=6,$E$6=INT($E$6)),FALSE)),O269=0,R269=0,T269&gt;0,AND(P269&lt;&gt;"DIMENSIONES",P269&lt;&gt;"DIRECTA",P269&lt;&gt;"SIN LÍNEAS",P269&lt;&gt;"CABECERA"),AND(OR(P269="DIRECTA",P269="DIMENSIONES"),U269=0),AND(OR(P269="SIN LÍNEAS",P269="CABECERA"),COUNTA(G269:J269)&gt;0)),2,IF(OR(P269="SIN LÍNEAS",Y269&gt;0,Z269&gt;0,AA269&gt;0,SUMPRODUCT(--('LÉEME'!$B$65:$B$86=AC269))&lt;&gt;1),1,0)))</f>
      </c>
      <c r="Y269" s="0" t="n">
        <f>IF(AND(P269="DIMENSIONES",S269="m²",COUNT(H269:J269)=3),1,0)</f>
        <v>0</v>
      </c>
      <c r="Z269" s="0" t="n">
        <f>IF(IF(ISNUMBER($E$6),AND($E$6&gt;=0,$E$6&lt;=6,$E$6=INT($E$6)),FALSE),IF(SUM(IF(ISNUMBER(F269),IF(ABS(F269-ROUND(F269,$E$6))&gt;0.00000001,1,0),0),IF(ISNUMBER(G269),IF(ABS(G269-ROUND(G269,$E$6))&gt;0.00000001,1,0),0),IF(ISNUMBER(H269),IF(ABS(H269-ROUND(H269,$E$6))&gt;0.00000001,1,0),0),IF(ISNUMBER(I269),IF(ABS(I269-ROUND(I269,$E$6))&gt;0.00000001,1,0),0),IF(ISNUMBER(J269),IF(ABS(J269-ROUND(J269,$E$6))&gt;0.00000001,1,0),0),IF(ISNUMBER(M269),IF(ABS(M269-ROUND(M269,$E$6))&gt;0.00000001,1,0),0))&gt;0,1,0),0)</f>
        <v>0</v>
      </c>
      <c r="AA269" s="0" t="n">
        <f>IF(COUNTA(B269:L269)=0,0,IF(OR(AND(ISNUMBER(F269),F269&lt;0),AND(U269=1,OR(SUM(IF(ISNUMBER(G269),IF(G269=0,1,0),0),IF(ISNUMBER(H269),IF(H269=0,1,0),0),IF(ISNUMBER(I269),IF(I269=0,1,0),0),IF(ISNUMBER(J269),IF(J269=0,1,0),0))&gt;0,COUNTIFS(G269:J269,"&lt;0")&gt;0)),AND(P269="DIMENSIONES",U269=1,OR(AND(S269="m",COUNT(H269:J269)&lt;&gt;1),AND(S269="m²",COUNT(H269:J269)&lt;&gt;2,Y269=0),AND(S269="m³",COUNT(H269:J269)&lt;&gt;3),AND(S269="ud",COUNT(H269:J269)&gt;0))),AND(P269="DIRECTA",OR(S269="m",S269="m²",S269="m³"))),1,0))</f>
        <v>0</v>
      </c>
      <c r="AB269" s="0">
        <f>IF(LEN(TRIM(E269&amp;""))&gt;0,E269,IF(R269&gt;0,INDEX($E$13:$E$512,R269),""))</f>
      </c>
      <c r="AC269" s="0">
        <f>UPPER(SUBSTITUTE(SUBSTITUTE(SUBSTITUTE(SUBSTITUTE(SUBSTITUTE(TRIM(AB269),"²","2"),"³","3"),"^",""),".","")," ",""))</f>
      </c>
    </row>
    <row r="270" ht="35" customHeight="1">
      <c r="B270" s="35"/>
      <c r="C270" s="35"/>
      <c r="D270" s="37"/>
      <c r="E270" s="35"/>
      <c r="F270" s="38"/>
      <c r="G270" s="38"/>
      <c r="H270" s="38"/>
      <c r="I270" s="38"/>
      <c r="J270" s="38"/>
      <c r="K270" s="35"/>
      <c r="L270" s="35"/>
      <c r="M270" s="39">
        <f>IF(U270&lt;&gt;1,"",IF(P270="DIRECTA",G270,IF(ISNUMBER(G270),G270,1)*IF(ISNUMBER(H270),H270,1)*IF(ISNUMBER(I270),I270,1)*IF(ISNUMBER(J270),J270,1)))</f>
      </c>
      <c r="N270" s="30">
        <f>IF(COUNTA(B270:L270)=0,"",IF(X270=0,IF(P270="CABECERA","VERDE · Fila descriptiva; la suma usa las líneas del ID","VERDE · Datos numéricos interpretables"),IF(X270=2,"ROJO · ","ÁMBAR · ")&amp;IF(NOT(IF(ISNUMBER($E$6),AND($E$6&gt;=0,$E$6&lt;=6,$E$6=INT($E$6)),FALSE)),"Indicamos entre 0 y 6 decimales en E6. ","")&amp;IF(O270=0,"Falta un ID numérico. ","")&amp;IF(R270=0,"Faltan capítulo, código, unidad o total numérico del ID. ","")&amp;IF(T270&gt;0,"Los datos o el total del ID se contradicen. ","")&amp;IF(AND(P270&lt;&gt;"DIMENSIONES",P270&lt;&gt;"DIRECTA",P270&lt;&gt;"SIN LÍNEAS",P270&lt;&gt;"CABECERA"),"Tipo de fila no reconocido. ","")&amp;IF(AND(OR(P270="SIN LÍNEAS",P270="CABECERA"),COUNTA(G270:J270)&gt;0),"La fila dice que no mide, pero contiene medidas. ","")&amp;IF(AND(OR(P270="DIRECTA",P270="DIMENSIONES"),U270=0),"Línea incompleta o con medidas no numéricas. ","")&amp;IF(P270="SIN LÍNEAS","No constan medidas de esta fila. ","")&amp;IF(Y270&gt;0,"Parece m³: tres dimensiones bajo m². ","")&amp;IF(AND(AB270&lt;&gt;"",SUMPRODUCT(--('LÉEME'!$B$65:$B$86=AC270))&lt;&gt;1),"Revisamos el significado de la unidad. ","")&amp;IF(Z270&gt;0,"Más precisión que los decimales indicados: cotejamos el original. ","")&amp;IF(AA270&gt;0,"Revisamos dimensiones, cantidad directa, ceros o deducción. ","")))</f>
      </c>
      <c r="O270" s="0" t="n">
        <f>IF(ISNUMBER(K270),IF(AND(K270&gt;0,K270=INT(K270),K270&lt;=999999),K270,0),0)</f>
        <v>0</v>
      </c>
      <c r="P270" s="0">
        <f>IF(COUNTA(B270:L270)=0,"",IF(L270="",IF(COUNTA(G270:J270)&gt;0,"DIMENSIONES","SIN LÍNEAS"),UPPER(TRIM(L270))))</f>
      </c>
      <c r="Q270" s="0">
        <f>IF(AND(O270&gt;0,LEN(TRIM(B270&amp;""))&gt;0,LEN(TRIM(C270&amp;""))&gt;0,LEN(TRIM(E270&amp;""))&gt;0,ISNUMBER(F270)),O270,"")</f>
      </c>
      <c r="R270" s="0" t="n">
        <f>IF(O270=0,0,IF(COUNTIFS($Q$13:$Q$512,O270)&gt;0,MATCH(O270,$Q$13:$Q$512,0),0))</f>
        <v>0</v>
      </c>
      <c r="S270" s="0">
        <f>IF(AB270="","",IF(SUMPRODUCT(--('LÉEME'!$B$65:$B$86=AC270))=1,INDEX('LÉEME'!$C$65:$C$86,MATCH(AC270,'LÉEME'!$B$65:$B$86,0)),UPPER(TRIM(AB270))))</f>
      </c>
      <c r="T270" s="0" t="n">
        <f>IF(R270=0,0,IF(OR(AND(LEN(TRIM(B270&amp;""))&gt;0,UPPER(TRIM(B270&amp;""))&lt;&gt;UPPER(TRIM(INDEX($B$13:$B$512,R270)&amp;""))),AND(LEN(TRIM(C270&amp;""))&gt;0,UPPER(TRIM(C270&amp;""))&lt;&gt;UPPER(TRIM(INDEX($C$13:$C$512,R270)&amp;""))),AND(LEN(TRIM(E270&amp;""))&gt;0,S270&lt;&gt;INDEX($S$13:$S$512,R270)),AND(F270&lt;&gt;"",NOT(ISNUMBER(F270)))),1,IF(ISNUMBER(F270),IF(ABS(F270-INDEX($F$13:$F$512,R270))&gt;0.00000001,1,0),0)))</f>
        <v>0</v>
      </c>
      <c r="U270" s="0" t="n">
        <f>IF(P270="DIRECTA",IF(AND(ISNUMBER(G270),COUNTA(H270:J270)=0),1,0),IF(P270="DIMENSIONES",IF(AND(COUNT(G270:J270)&gt;0,COUNTA(G270:J270)=COUNT(G270:J270)),1,0),0))</f>
        <v>0</v>
      </c>
      <c r="V270" s="0" t="n">
        <f>IF(O270=0,0,IF(COUNTIFS($O$13:O270,O270)=1,1,0))</f>
        <v>0</v>
      </c>
      <c r="W270" s="0">
        <f>IF(V270=1,COUNTIFS($V$13:V270,1),"")</f>
      </c>
      <c r="X270" s="0">
        <f>IF(COUNTA(B270:L270)=0,"",IF(OR(NOT(IF(ISNUMBER($E$6),AND($E$6&gt;=0,$E$6&lt;=6,$E$6=INT($E$6)),FALSE)),O270=0,R270=0,T270&gt;0,AND(P270&lt;&gt;"DIMENSIONES",P270&lt;&gt;"DIRECTA",P270&lt;&gt;"SIN LÍNEAS",P270&lt;&gt;"CABECERA"),AND(OR(P270="DIRECTA",P270="DIMENSIONES"),U270=0),AND(OR(P270="SIN LÍNEAS",P270="CABECERA"),COUNTA(G270:J270)&gt;0)),2,IF(OR(P270="SIN LÍNEAS",Y270&gt;0,Z270&gt;0,AA270&gt;0,SUMPRODUCT(--('LÉEME'!$B$65:$B$86=AC270))&lt;&gt;1),1,0)))</f>
      </c>
      <c r="Y270" s="0" t="n">
        <f>IF(AND(P270="DIMENSIONES",S270="m²",COUNT(H270:J270)=3),1,0)</f>
        <v>0</v>
      </c>
      <c r="Z270" s="0" t="n">
        <f>IF(IF(ISNUMBER($E$6),AND($E$6&gt;=0,$E$6&lt;=6,$E$6=INT($E$6)),FALSE),IF(SUM(IF(ISNUMBER(F270),IF(ABS(F270-ROUND(F270,$E$6))&gt;0.00000001,1,0),0),IF(ISNUMBER(G270),IF(ABS(G270-ROUND(G270,$E$6))&gt;0.00000001,1,0),0),IF(ISNUMBER(H270),IF(ABS(H270-ROUND(H270,$E$6))&gt;0.00000001,1,0),0),IF(ISNUMBER(I270),IF(ABS(I270-ROUND(I270,$E$6))&gt;0.00000001,1,0),0),IF(ISNUMBER(J270),IF(ABS(J270-ROUND(J270,$E$6))&gt;0.00000001,1,0),0),IF(ISNUMBER(M270),IF(ABS(M270-ROUND(M270,$E$6))&gt;0.00000001,1,0),0))&gt;0,1,0),0)</f>
        <v>0</v>
      </c>
      <c r="AA270" s="0" t="n">
        <f>IF(COUNTA(B270:L270)=0,0,IF(OR(AND(ISNUMBER(F270),F270&lt;0),AND(U270=1,OR(SUM(IF(ISNUMBER(G270),IF(G270=0,1,0),0),IF(ISNUMBER(H270),IF(H270=0,1,0),0),IF(ISNUMBER(I270),IF(I270=0,1,0),0),IF(ISNUMBER(J270),IF(J270=0,1,0),0))&gt;0,COUNTIFS(G270:J270,"&lt;0")&gt;0)),AND(P270="DIMENSIONES",U270=1,OR(AND(S270="m",COUNT(H270:J270)&lt;&gt;1),AND(S270="m²",COUNT(H270:J270)&lt;&gt;2,Y270=0),AND(S270="m³",COUNT(H270:J270)&lt;&gt;3),AND(S270="ud",COUNT(H270:J270)&gt;0))),AND(P270="DIRECTA",OR(S270="m",S270="m²",S270="m³"))),1,0))</f>
        <v>0</v>
      </c>
      <c r="AB270" s="0">
        <f>IF(LEN(TRIM(E270&amp;""))&gt;0,E270,IF(R270&gt;0,INDEX($E$13:$E$512,R270),""))</f>
      </c>
      <c r="AC270" s="0">
        <f>UPPER(SUBSTITUTE(SUBSTITUTE(SUBSTITUTE(SUBSTITUTE(SUBSTITUTE(TRIM(AB270),"²","2"),"³","3"),"^",""),".","")," ",""))</f>
      </c>
    </row>
    <row r="271" ht="35" customHeight="1">
      <c r="B271" s="35"/>
      <c r="C271" s="35"/>
      <c r="D271" s="37"/>
      <c r="E271" s="35"/>
      <c r="F271" s="38"/>
      <c r="G271" s="38"/>
      <c r="H271" s="38"/>
      <c r="I271" s="38"/>
      <c r="J271" s="38"/>
      <c r="K271" s="35"/>
      <c r="L271" s="35"/>
      <c r="M271" s="39">
        <f>IF(U271&lt;&gt;1,"",IF(P271="DIRECTA",G271,IF(ISNUMBER(G271),G271,1)*IF(ISNUMBER(H271),H271,1)*IF(ISNUMBER(I271),I271,1)*IF(ISNUMBER(J271),J271,1)))</f>
      </c>
      <c r="N271" s="30">
        <f>IF(COUNTA(B271:L271)=0,"",IF(X271=0,IF(P271="CABECERA","VERDE · Fila descriptiva; la suma usa las líneas del ID","VERDE · Datos numéricos interpretables"),IF(X271=2,"ROJO · ","ÁMBAR · ")&amp;IF(NOT(IF(ISNUMBER($E$6),AND($E$6&gt;=0,$E$6&lt;=6,$E$6=INT($E$6)),FALSE)),"Indicamos entre 0 y 6 decimales en E6. ","")&amp;IF(O271=0,"Falta un ID numérico. ","")&amp;IF(R271=0,"Faltan capítulo, código, unidad o total numérico del ID. ","")&amp;IF(T271&gt;0,"Los datos o el total del ID se contradicen. ","")&amp;IF(AND(P271&lt;&gt;"DIMENSIONES",P271&lt;&gt;"DIRECTA",P271&lt;&gt;"SIN LÍNEAS",P271&lt;&gt;"CABECERA"),"Tipo de fila no reconocido. ","")&amp;IF(AND(OR(P271="SIN LÍNEAS",P271="CABECERA"),COUNTA(G271:J271)&gt;0),"La fila dice que no mide, pero contiene medidas. ","")&amp;IF(AND(OR(P271="DIRECTA",P271="DIMENSIONES"),U271=0),"Línea incompleta o con medidas no numéricas. ","")&amp;IF(P271="SIN LÍNEAS","No constan medidas de esta fila. ","")&amp;IF(Y271&gt;0,"Parece m³: tres dimensiones bajo m². ","")&amp;IF(AND(AB271&lt;&gt;"",SUMPRODUCT(--('LÉEME'!$B$65:$B$86=AC271))&lt;&gt;1),"Revisamos el significado de la unidad. ","")&amp;IF(Z271&gt;0,"Más precisión que los decimales indicados: cotejamos el original. ","")&amp;IF(AA271&gt;0,"Revisamos dimensiones, cantidad directa, ceros o deducción. ","")))</f>
      </c>
      <c r="O271" s="0" t="n">
        <f>IF(ISNUMBER(K271),IF(AND(K271&gt;0,K271=INT(K271),K271&lt;=999999),K271,0),0)</f>
        <v>0</v>
      </c>
      <c r="P271" s="0">
        <f>IF(COUNTA(B271:L271)=0,"",IF(L271="",IF(COUNTA(G271:J271)&gt;0,"DIMENSIONES","SIN LÍNEAS"),UPPER(TRIM(L271))))</f>
      </c>
      <c r="Q271" s="0">
        <f>IF(AND(O271&gt;0,LEN(TRIM(B271&amp;""))&gt;0,LEN(TRIM(C271&amp;""))&gt;0,LEN(TRIM(E271&amp;""))&gt;0,ISNUMBER(F271)),O271,"")</f>
      </c>
      <c r="R271" s="0" t="n">
        <f>IF(O271=0,0,IF(COUNTIFS($Q$13:$Q$512,O271)&gt;0,MATCH(O271,$Q$13:$Q$512,0),0))</f>
        <v>0</v>
      </c>
      <c r="S271" s="0">
        <f>IF(AB271="","",IF(SUMPRODUCT(--('LÉEME'!$B$65:$B$86=AC271))=1,INDEX('LÉEME'!$C$65:$C$86,MATCH(AC271,'LÉEME'!$B$65:$B$86,0)),UPPER(TRIM(AB271))))</f>
      </c>
      <c r="T271" s="0" t="n">
        <f>IF(R271=0,0,IF(OR(AND(LEN(TRIM(B271&amp;""))&gt;0,UPPER(TRIM(B271&amp;""))&lt;&gt;UPPER(TRIM(INDEX($B$13:$B$512,R271)&amp;""))),AND(LEN(TRIM(C271&amp;""))&gt;0,UPPER(TRIM(C271&amp;""))&lt;&gt;UPPER(TRIM(INDEX($C$13:$C$512,R271)&amp;""))),AND(LEN(TRIM(E271&amp;""))&gt;0,S271&lt;&gt;INDEX($S$13:$S$512,R271)),AND(F271&lt;&gt;"",NOT(ISNUMBER(F271)))),1,IF(ISNUMBER(F271),IF(ABS(F271-INDEX($F$13:$F$512,R271))&gt;0.00000001,1,0),0)))</f>
        <v>0</v>
      </c>
      <c r="U271" s="0" t="n">
        <f>IF(P271="DIRECTA",IF(AND(ISNUMBER(G271),COUNTA(H271:J271)=0),1,0),IF(P271="DIMENSIONES",IF(AND(COUNT(G271:J271)&gt;0,COUNTA(G271:J271)=COUNT(G271:J271)),1,0),0))</f>
        <v>0</v>
      </c>
      <c r="V271" s="0" t="n">
        <f>IF(O271=0,0,IF(COUNTIFS($O$13:O271,O271)=1,1,0))</f>
        <v>0</v>
      </c>
      <c r="W271" s="0">
        <f>IF(V271=1,COUNTIFS($V$13:V271,1),"")</f>
      </c>
      <c r="X271" s="0">
        <f>IF(COUNTA(B271:L271)=0,"",IF(OR(NOT(IF(ISNUMBER($E$6),AND($E$6&gt;=0,$E$6&lt;=6,$E$6=INT($E$6)),FALSE)),O271=0,R271=0,T271&gt;0,AND(P271&lt;&gt;"DIMENSIONES",P271&lt;&gt;"DIRECTA",P271&lt;&gt;"SIN LÍNEAS",P271&lt;&gt;"CABECERA"),AND(OR(P271="DIRECTA",P271="DIMENSIONES"),U271=0),AND(OR(P271="SIN LÍNEAS",P271="CABECERA"),COUNTA(G271:J271)&gt;0)),2,IF(OR(P271="SIN LÍNEAS",Y271&gt;0,Z271&gt;0,AA271&gt;0,SUMPRODUCT(--('LÉEME'!$B$65:$B$86=AC271))&lt;&gt;1),1,0)))</f>
      </c>
      <c r="Y271" s="0" t="n">
        <f>IF(AND(P271="DIMENSIONES",S271="m²",COUNT(H271:J271)=3),1,0)</f>
        <v>0</v>
      </c>
      <c r="Z271" s="0" t="n">
        <f>IF(IF(ISNUMBER($E$6),AND($E$6&gt;=0,$E$6&lt;=6,$E$6=INT($E$6)),FALSE),IF(SUM(IF(ISNUMBER(F271),IF(ABS(F271-ROUND(F271,$E$6))&gt;0.00000001,1,0),0),IF(ISNUMBER(G271),IF(ABS(G271-ROUND(G271,$E$6))&gt;0.00000001,1,0),0),IF(ISNUMBER(H271),IF(ABS(H271-ROUND(H271,$E$6))&gt;0.00000001,1,0),0),IF(ISNUMBER(I271),IF(ABS(I271-ROUND(I271,$E$6))&gt;0.00000001,1,0),0),IF(ISNUMBER(J271),IF(ABS(J271-ROUND(J271,$E$6))&gt;0.00000001,1,0),0),IF(ISNUMBER(M271),IF(ABS(M271-ROUND(M271,$E$6))&gt;0.00000001,1,0),0))&gt;0,1,0),0)</f>
        <v>0</v>
      </c>
      <c r="AA271" s="0" t="n">
        <f>IF(COUNTA(B271:L271)=0,0,IF(OR(AND(ISNUMBER(F271),F271&lt;0),AND(U271=1,OR(SUM(IF(ISNUMBER(G271),IF(G271=0,1,0),0),IF(ISNUMBER(H271),IF(H271=0,1,0),0),IF(ISNUMBER(I271),IF(I271=0,1,0),0),IF(ISNUMBER(J271),IF(J271=0,1,0),0))&gt;0,COUNTIFS(G271:J271,"&lt;0")&gt;0)),AND(P271="DIMENSIONES",U271=1,OR(AND(S271="m",COUNT(H271:J271)&lt;&gt;1),AND(S271="m²",COUNT(H271:J271)&lt;&gt;2,Y271=0),AND(S271="m³",COUNT(H271:J271)&lt;&gt;3),AND(S271="ud",COUNT(H271:J271)&gt;0))),AND(P271="DIRECTA",OR(S271="m",S271="m²",S271="m³"))),1,0))</f>
        <v>0</v>
      </c>
      <c r="AB271" s="0">
        <f>IF(LEN(TRIM(E271&amp;""))&gt;0,E271,IF(R271&gt;0,INDEX($E$13:$E$512,R271),""))</f>
      </c>
      <c r="AC271" s="0">
        <f>UPPER(SUBSTITUTE(SUBSTITUTE(SUBSTITUTE(SUBSTITUTE(SUBSTITUTE(TRIM(AB271),"²","2"),"³","3"),"^",""),".","")," ",""))</f>
      </c>
    </row>
    <row r="272" ht="35" customHeight="1">
      <c r="B272" s="35"/>
      <c r="C272" s="35"/>
      <c r="D272" s="37"/>
      <c r="E272" s="35"/>
      <c r="F272" s="38"/>
      <c r="G272" s="38"/>
      <c r="H272" s="38"/>
      <c r="I272" s="38"/>
      <c r="J272" s="38"/>
      <c r="K272" s="35"/>
      <c r="L272" s="35"/>
      <c r="M272" s="39">
        <f>IF(U272&lt;&gt;1,"",IF(P272="DIRECTA",G272,IF(ISNUMBER(G272),G272,1)*IF(ISNUMBER(H272),H272,1)*IF(ISNUMBER(I272),I272,1)*IF(ISNUMBER(J272),J272,1)))</f>
      </c>
      <c r="N272" s="30">
        <f>IF(COUNTA(B272:L272)=0,"",IF(X272=0,IF(P272="CABECERA","VERDE · Fila descriptiva; la suma usa las líneas del ID","VERDE · Datos numéricos interpretables"),IF(X272=2,"ROJO · ","ÁMBAR · ")&amp;IF(NOT(IF(ISNUMBER($E$6),AND($E$6&gt;=0,$E$6&lt;=6,$E$6=INT($E$6)),FALSE)),"Indicamos entre 0 y 6 decimales en E6. ","")&amp;IF(O272=0,"Falta un ID numérico. ","")&amp;IF(R272=0,"Faltan capítulo, código, unidad o total numérico del ID. ","")&amp;IF(T272&gt;0,"Los datos o el total del ID se contradicen. ","")&amp;IF(AND(P272&lt;&gt;"DIMENSIONES",P272&lt;&gt;"DIRECTA",P272&lt;&gt;"SIN LÍNEAS",P272&lt;&gt;"CABECERA"),"Tipo de fila no reconocido. ","")&amp;IF(AND(OR(P272="SIN LÍNEAS",P272="CABECERA"),COUNTA(G272:J272)&gt;0),"La fila dice que no mide, pero contiene medidas. ","")&amp;IF(AND(OR(P272="DIRECTA",P272="DIMENSIONES"),U272=0),"Línea incompleta o con medidas no numéricas. ","")&amp;IF(P272="SIN LÍNEAS","No constan medidas de esta fila. ","")&amp;IF(Y272&gt;0,"Parece m³: tres dimensiones bajo m². ","")&amp;IF(AND(AB272&lt;&gt;"",SUMPRODUCT(--('LÉEME'!$B$65:$B$86=AC272))&lt;&gt;1),"Revisamos el significado de la unidad. ","")&amp;IF(Z272&gt;0,"Más precisión que los decimales indicados: cotejamos el original. ","")&amp;IF(AA272&gt;0,"Revisamos dimensiones, cantidad directa, ceros o deducción. ","")))</f>
      </c>
      <c r="O272" s="0" t="n">
        <f>IF(ISNUMBER(K272),IF(AND(K272&gt;0,K272=INT(K272),K272&lt;=999999),K272,0),0)</f>
        <v>0</v>
      </c>
      <c r="P272" s="0">
        <f>IF(COUNTA(B272:L272)=0,"",IF(L272="",IF(COUNTA(G272:J272)&gt;0,"DIMENSIONES","SIN LÍNEAS"),UPPER(TRIM(L272))))</f>
      </c>
      <c r="Q272" s="0">
        <f>IF(AND(O272&gt;0,LEN(TRIM(B272&amp;""))&gt;0,LEN(TRIM(C272&amp;""))&gt;0,LEN(TRIM(E272&amp;""))&gt;0,ISNUMBER(F272)),O272,"")</f>
      </c>
      <c r="R272" s="0" t="n">
        <f>IF(O272=0,0,IF(COUNTIFS($Q$13:$Q$512,O272)&gt;0,MATCH(O272,$Q$13:$Q$512,0),0))</f>
        <v>0</v>
      </c>
      <c r="S272" s="0">
        <f>IF(AB272="","",IF(SUMPRODUCT(--('LÉEME'!$B$65:$B$86=AC272))=1,INDEX('LÉEME'!$C$65:$C$86,MATCH(AC272,'LÉEME'!$B$65:$B$86,0)),UPPER(TRIM(AB272))))</f>
      </c>
      <c r="T272" s="0" t="n">
        <f>IF(R272=0,0,IF(OR(AND(LEN(TRIM(B272&amp;""))&gt;0,UPPER(TRIM(B272&amp;""))&lt;&gt;UPPER(TRIM(INDEX($B$13:$B$512,R272)&amp;""))),AND(LEN(TRIM(C272&amp;""))&gt;0,UPPER(TRIM(C272&amp;""))&lt;&gt;UPPER(TRIM(INDEX($C$13:$C$512,R272)&amp;""))),AND(LEN(TRIM(E272&amp;""))&gt;0,S272&lt;&gt;INDEX($S$13:$S$512,R272)),AND(F272&lt;&gt;"",NOT(ISNUMBER(F272)))),1,IF(ISNUMBER(F272),IF(ABS(F272-INDEX($F$13:$F$512,R272))&gt;0.00000001,1,0),0)))</f>
        <v>0</v>
      </c>
      <c r="U272" s="0" t="n">
        <f>IF(P272="DIRECTA",IF(AND(ISNUMBER(G272),COUNTA(H272:J272)=0),1,0),IF(P272="DIMENSIONES",IF(AND(COUNT(G272:J272)&gt;0,COUNTA(G272:J272)=COUNT(G272:J272)),1,0),0))</f>
        <v>0</v>
      </c>
      <c r="V272" s="0" t="n">
        <f>IF(O272=0,0,IF(COUNTIFS($O$13:O272,O272)=1,1,0))</f>
        <v>0</v>
      </c>
      <c r="W272" s="0">
        <f>IF(V272=1,COUNTIFS($V$13:V272,1),"")</f>
      </c>
      <c r="X272" s="0">
        <f>IF(COUNTA(B272:L272)=0,"",IF(OR(NOT(IF(ISNUMBER($E$6),AND($E$6&gt;=0,$E$6&lt;=6,$E$6=INT($E$6)),FALSE)),O272=0,R272=0,T272&gt;0,AND(P272&lt;&gt;"DIMENSIONES",P272&lt;&gt;"DIRECTA",P272&lt;&gt;"SIN LÍNEAS",P272&lt;&gt;"CABECERA"),AND(OR(P272="DIRECTA",P272="DIMENSIONES"),U272=0),AND(OR(P272="SIN LÍNEAS",P272="CABECERA"),COUNTA(G272:J272)&gt;0)),2,IF(OR(P272="SIN LÍNEAS",Y272&gt;0,Z272&gt;0,AA272&gt;0,SUMPRODUCT(--('LÉEME'!$B$65:$B$86=AC272))&lt;&gt;1),1,0)))</f>
      </c>
      <c r="Y272" s="0" t="n">
        <f>IF(AND(P272="DIMENSIONES",S272="m²",COUNT(H272:J272)=3),1,0)</f>
        <v>0</v>
      </c>
      <c r="Z272" s="0" t="n">
        <f>IF(IF(ISNUMBER($E$6),AND($E$6&gt;=0,$E$6&lt;=6,$E$6=INT($E$6)),FALSE),IF(SUM(IF(ISNUMBER(F272),IF(ABS(F272-ROUND(F272,$E$6))&gt;0.00000001,1,0),0),IF(ISNUMBER(G272),IF(ABS(G272-ROUND(G272,$E$6))&gt;0.00000001,1,0),0),IF(ISNUMBER(H272),IF(ABS(H272-ROUND(H272,$E$6))&gt;0.00000001,1,0),0),IF(ISNUMBER(I272),IF(ABS(I272-ROUND(I272,$E$6))&gt;0.00000001,1,0),0),IF(ISNUMBER(J272),IF(ABS(J272-ROUND(J272,$E$6))&gt;0.00000001,1,0),0),IF(ISNUMBER(M272),IF(ABS(M272-ROUND(M272,$E$6))&gt;0.00000001,1,0),0))&gt;0,1,0),0)</f>
        <v>0</v>
      </c>
      <c r="AA272" s="0" t="n">
        <f>IF(COUNTA(B272:L272)=0,0,IF(OR(AND(ISNUMBER(F272),F272&lt;0),AND(U272=1,OR(SUM(IF(ISNUMBER(G272),IF(G272=0,1,0),0),IF(ISNUMBER(H272),IF(H272=0,1,0),0),IF(ISNUMBER(I272),IF(I272=0,1,0),0),IF(ISNUMBER(J272),IF(J272=0,1,0),0))&gt;0,COUNTIFS(G272:J272,"&lt;0")&gt;0)),AND(P272="DIMENSIONES",U272=1,OR(AND(S272="m",COUNT(H272:J272)&lt;&gt;1),AND(S272="m²",COUNT(H272:J272)&lt;&gt;2,Y272=0),AND(S272="m³",COUNT(H272:J272)&lt;&gt;3),AND(S272="ud",COUNT(H272:J272)&gt;0))),AND(P272="DIRECTA",OR(S272="m",S272="m²",S272="m³"))),1,0))</f>
        <v>0</v>
      </c>
      <c r="AB272" s="0">
        <f>IF(LEN(TRIM(E272&amp;""))&gt;0,E272,IF(R272&gt;0,INDEX($E$13:$E$512,R272),""))</f>
      </c>
      <c r="AC272" s="0">
        <f>UPPER(SUBSTITUTE(SUBSTITUTE(SUBSTITUTE(SUBSTITUTE(SUBSTITUTE(TRIM(AB272),"²","2"),"³","3"),"^",""),".","")," ",""))</f>
      </c>
    </row>
    <row r="273" ht="35" customHeight="1">
      <c r="B273" s="35"/>
      <c r="C273" s="35"/>
      <c r="D273" s="37"/>
      <c r="E273" s="35"/>
      <c r="F273" s="38"/>
      <c r="G273" s="38"/>
      <c r="H273" s="38"/>
      <c r="I273" s="38"/>
      <c r="J273" s="38"/>
      <c r="K273" s="35"/>
      <c r="L273" s="35"/>
      <c r="M273" s="39">
        <f>IF(U273&lt;&gt;1,"",IF(P273="DIRECTA",G273,IF(ISNUMBER(G273),G273,1)*IF(ISNUMBER(H273),H273,1)*IF(ISNUMBER(I273),I273,1)*IF(ISNUMBER(J273),J273,1)))</f>
      </c>
      <c r="N273" s="30">
        <f>IF(COUNTA(B273:L273)=0,"",IF(X273=0,IF(P273="CABECERA","VERDE · Fila descriptiva; la suma usa las líneas del ID","VERDE · Datos numéricos interpretables"),IF(X273=2,"ROJO · ","ÁMBAR · ")&amp;IF(NOT(IF(ISNUMBER($E$6),AND($E$6&gt;=0,$E$6&lt;=6,$E$6=INT($E$6)),FALSE)),"Indicamos entre 0 y 6 decimales en E6. ","")&amp;IF(O273=0,"Falta un ID numérico. ","")&amp;IF(R273=0,"Faltan capítulo, código, unidad o total numérico del ID. ","")&amp;IF(T273&gt;0,"Los datos o el total del ID se contradicen. ","")&amp;IF(AND(P273&lt;&gt;"DIMENSIONES",P273&lt;&gt;"DIRECTA",P273&lt;&gt;"SIN LÍNEAS",P273&lt;&gt;"CABECERA"),"Tipo de fila no reconocido. ","")&amp;IF(AND(OR(P273="SIN LÍNEAS",P273="CABECERA"),COUNTA(G273:J273)&gt;0),"La fila dice que no mide, pero contiene medidas. ","")&amp;IF(AND(OR(P273="DIRECTA",P273="DIMENSIONES"),U273=0),"Línea incompleta o con medidas no numéricas. ","")&amp;IF(P273="SIN LÍNEAS","No constan medidas de esta fila. ","")&amp;IF(Y273&gt;0,"Parece m³: tres dimensiones bajo m². ","")&amp;IF(AND(AB273&lt;&gt;"",SUMPRODUCT(--('LÉEME'!$B$65:$B$86=AC273))&lt;&gt;1),"Revisamos el significado de la unidad. ","")&amp;IF(Z273&gt;0,"Más precisión que los decimales indicados: cotejamos el original. ","")&amp;IF(AA273&gt;0,"Revisamos dimensiones, cantidad directa, ceros o deducción. ","")))</f>
      </c>
      <c r="O273" s="0" t="n">
        <f>IF(ISNUMBER(K273),IF(AND(K273&gt;0,K273=INT(K273),K273&lt;=999999),K273,0),0)</f>
        <v>0</v>
      </c>
      <c r="P273" s="0">
        <f>IF(COUNTA(B273:L273)=0,"",IF(L273="",IF(COUNTA(G273:J273)&gt;0,"DIMENSIONES","SIN LÍNEAS"),UPPER(TRIM(L273))))</f>
      </c>
      <c r="Q273" s="0">
        <f>IF(AND(O273&gt;0,LEN(TRIM(B273&amp;""))&gt;0,LEN(TRIM(C273&amp;""))&gt;0,LEN(TRIM(E273&amp;""))&gt;0,ISNUMBER(F273)),O273,"")</f>
      </c>
      <c r="R273" s="0" t="n">
        <f>IF(O273=0,0,IF(COUNTIFS($Q$13:$Q$512,O273)&gt;0,MATCH(O273,$Q$13:$Q$512,0),0))</f>
        <v>0</v>
      </c>
      <c r="S273" s="0">
        <f>IF(AB273="","",IF(SUMPRODUCT(--('LÉEME'!$B$65:$B$86=AC273))=1,INDEX('LÉEME'!$C$65:$C$86,MATCH(AC273,'LÉEME'!$B$65:$B$86,0)),UPPER(TRIM(AB273))))</f>
      </c>
      <c r="T273" s="0" t="n">
        <f>IF(R273=0,0,IF(OR(AND(LEN(TRIM(B273&amp;""))&gt;0,UPPER(TRIM(B273&amp;""))&lt;&gt;UPPER(TRIM(INDEX($B$13:$B$512,R273)&amp;""))),AND(LEN(TRIM(C273&amp;""))&gt;0,UPPER(TRIM(C273&amp;""))&lt;&gt;UPPER(TRIM(INDEX($C$13:$C$512,R273)&amp;""))),AND(LEN(TRIM(E273&amp;""))&gt;0,S273&lt;&gt;INDEX($S$13:$S$512,R273)),AND(F273&lt;&gt;"",NOT(ISNUMBER(F273)))),1,IF(ISNUMBER(F273),IF(ABS(F273-INDEX($F$13:$F$512,R273))&gt;0.00000001,1,0),0)))</f>
        <v>0</v>
      </c>
      <c r="U273" s="0" t="n">
        <f>IF(P273="DIRECTA",IF(AND(ISNUMBER(G273),COUNTA(H273:J273)=0),1,0),IF(P273="DIMENSIONES",IF(AND(COUNT(G273:J273)&gt;0,COUNTA(G273:J273)=COUNT(G273:J273)),1,0),0))</f>
        <v>0</v>
      </c>
      <c r="V273" s="0" t="n">
        <f>IF(O273=0,0,IF(COUNTIFS($O$13:O273,O273)=1,1,0))</f>
        <v>0</v>
      </c>
      <c r="W273" s="0">
        <f>IF(V273=1,COUNTIFS($V$13:V273,1),"")</f>
      </c>
      <c r="X273" s="0">
        <f>IF(COUNTA(B273:L273)=0,"",IF(OR(NOT(IF(ISNUMBER($E$6),AND($E$6&gt;=0,$E$6&lt;=6,$E$6=INT($E$6)),FALSE)),O273=0,R273=0,T273&gt;0,AND(P273&lt;&gt;"DIMENSIONES",P273&lt;&gt;"DIRECTA",P273&lt;&gt;"SIN LÍNEAS",P273&lt;&gt;"CABECERA"),AND(OR(P273="DIRECTA",P273="DIMENSIONES"),U273=0),AND(OR(P273="SIN LÍNEAS",P273="CABECERA"),COUNTA(G273:J273)&gt;0)),2,IF(OR(P273="SIN LÍNEAS",Y273&gt;0,Z273&gt;0,AA273&gt;0,SUMPRODUCT(--('LÉEME'!$B$65:$B$86=AC273))&lt;&gt;1),1,0)))</f>
      </c>
      <c r="Y273" s="0" t="n">
        <f>IF(AND(P273="DIMENSIONES",S273="m²",COUNT(H273:J273)=3),1,0)</f>
        <v>0</v>
      </c>
      <c r="Z273" s="0" t="n">
        <f>IF(IF(ISNUMBER($E$6),AND($E$6&gt;=0,$E$6&lt;=6,$E$6=INT($E$6)),FALSE),IF(SUM(IF(ISNUMBER(F273),IF(ABS(F273-ROUND(F273,$E$6))&gt;0.00000001,1,0),0),IF(ISNUMBER(G273),IF(ABS(G273-ROUND(G273,$E$6))&gt;0.00000001,1,0),0),IF(ISNUMBER(H273),IF(ABS(H273-ROUND(H273,$E$6))&gt;0.00000001,1,0),0),IF(ISNUMBER(I273),IF(ABS(I273-ROUND(I273,$E$6))&gt;0.00000001,1,0),0),IF(ISNUMBER(J273),IF(ABS(J273-ROUND(J273,$E$6))&gt;0.00000001,1,0),0),IF(ISNUMBER(M273),IF(ABS(M273-ROUND(M273,$E$6))&gt;0.00000001,1,0),0))&gt;0,1,0),0)</f>
        <v>0</v>
      </c>
      <c r="AA273" s="0" t="n">
        <f>IF(COUNTA(B273:L273)=0,0,IF(OR(AND(ISNUMBER(F273),F273&lt;0),AND(U273=1,OR(SUM(IF(ISNUMBER(G273),IF(G273=0,1,0),0),IF(ISNUMBER(H273),IF(H273=0,1,0),0),IF(ISNUMBER(I273),IF(I273=0,1,0),0),IF(ISNUMBER(J273),IF(J273=0,1,0),0))&gt;0,COUNTIFS(G273:J273,"&lt;0")&gt;0)),AND(P273="DIMENSIONES",U273=1,OR(AND(S273="m",COUNT(H273:J273)&lt;&gt;1),AND(S273="m²",COUNT(H273:J273)&lt;&gt;2,Y273=0),AND(S273="m³",COUNT(H273:J273)&lt;&gt;3),AND(S273="ud",COUNT(H273:J273)&gt;0))),AND(P273="DIRECTA",OR(S273="m",S273="m²",S273="m³"))),1,0))</f>
        <v>0</v>
      </c>
      <c r="AB273" s="0">
        <f>IF(LEN(TRIM(E273&amp;""))&gt;0,E273,IF(R273&gt;0,INDEX($E$13:$E$512,R273),""))</f>
      </c>
      <c r="AC273" s="0">
        <f>UPPER(SUBSTITUTE(SUBSTITUTE(SUBSTITUTE(SUBSTITUTE(SUBSTITUTE(TRIM(AB273),"²","2"),"³","3"),"^",""),".","")," ",""))</f>
      </c>
    </row>
    <row r="274" ht="35" customHeight="1">
      <c r="B274" s="35"/>
      <c r="C274" s="35"/>
      <c r="D274" s="37"/>
      <c r="E274" s="35"/>
      <c r="F274" s="38"/>
      <c r="G274" s="38"/>
      <c r="H274" s="38"/>
      <c r="I274" s="38"/>
      <c r="J274" s="38"/>
      <c r="K274" s="35"/>
      <c r="L274" s="35"/>
      <c r="M274" s="39">
        <f>IF(U274&lt;&gt;1,"",IF(P274="DIRECTA",G274,IF(ISNUMBER(G274),G274,1)*IF(ISNUMBER(H274),H274,1)*IF(ISNUMBER(I274),I274,1)*IF(ISNUMBER(J274),J274,1)))</f>
      </c>
      <c r="N274" s="30">
        <f>IF(COUNTA(B274:L274)=0,"",IF(X274=0,IF(P274="CABECERA","VERDE · Fila descriptiva; la suma usa las líneas del ID","VERDE · Datos numéricos interpretables"),IF(X274=2,"ROJO · ","ÁMBAR · ")&amp;IF(NOT(IF(ISNUMBER($E$6),AND($E$6&gt;=0,$E$6&lt;=6,$E$6=INT($E$6)),FALSE)),"Indicamos entre 0 y 6 decimales en E6. ","")&amp;IF(O274=0,"Falta un ID numérico. ","")&amp;IF(R274=0,"Faltan capítulo, código, unidad o total numérico del ID. ","")&amp;IF(T274&gt;0,"Los datos o el total del ID se contradicen. ","")&amp;IF(AND(P274&lt;&gt;"DIMENSIONES",P274&lt;&gt;"DIRECTA",P274&lt;&gt;"SIN LÍNEAS",P274&lt;&gt;"CABECERA"),"Tipo de fila no reconocido. ","")&amp;IF(AND(OR(P274="SIN LÍNEAS",P274="CABECERA"),COUNTA(G274:J274)&gt;0),"La fila dice que no mide, pero contiene medidas. ","")&amp;IF(AND(OR(P274="DIRECTA",P274="DIMENSIONES"),U274=0),"Línea incompleta o con medidas no numéricas. ","")&amp;IF(P274="SIN LÍNEAS","No constan medidas de esta fila. ","")&amp;IF(Y274&gt;0,"Parece m³: tres dimensiones bajo m². ","")&amp;IF(AND(AB274&lt;&gt;"",SUMPRODUCT(--('LÉEME'!$B$65:$B$86=AC274))&lt;&gt;1),"Revisamos el significado de la unidad. ","")&amp;IF(Z274&gt;0,"Más precisión que los decimales indicados: cotejamos el original. ","")&amp;IF(AA274&gt;0,"Revisamos dimensiones, cantidad directa, ceros o deducción. ","")))</f>
      </c>
      <c r="O274" s="0" t="n">
        <f>IF(ISNUMBER(K274),IF(AND(K274&gt;0,K274=INT(K274),K274&lt;=999999),K274,0),0)</f>
        <v>0</v>
      </c>
      <c r="P274" s="0">
        <f>IF(COUNTA(B274:L274)=0,"",IF(L274="",IF(COUNTA(G274:J274)&gt;0,"DIMENSIONES","SIN LÍNEAS"),UPPER(TRIM(L274))))</f>
      </c>
      <c r="Q274" s="0">
        <f>IF(AND(O274&gt;0,LEN(TRIM(B274&amp;""))&gt;0,LEN(TRIM(C274&amp;""))&gt;0,LEN(TRIM(E274&amp;""))&gt;0,ISNUMBER(F274)),O274,"")</f>
      </c>
      <c r="R274" s="0" t="n">
        <f>IF(O274=0,0,IF(COUNTIFS($Q$13:$Q$512,O274)&gt;0,MATCH(O274,$Q$13:$Q$512,0),0))</f>
        <v>0</v>
      </c>
      <c r="S274" s="0">
        <f>IF(AB274="","",IF(SUMPRODUCT(--('LÉEME'!$B$65:$B$86=AC274))=1,INDEX('LÉEME'!$C$65:$C$86,MATCH(AC274,'LÉEME'!$B$65:$B$86,0)),UPPER(TRIM(AB274))))</f>
      </c>
      <c r="T274" s="0" t="n">
        <f>IF(R274=0,0,IF(OR(AND(LEN(TRIM(B274&amp;""))&gt;0,UPPER(TRIM(B274&amp;""))&lt;&gt;UPPER(TRIM(INDEX($B$13:$B$512,R274)&amp;""))),AND(LEN(TRIM(C274&amp;""))&gt;0,UPPER(TRIM(C274&amp;""))&lt;&gt;UPPER(TRIM(INDEX($C$13:$C$512,R274)&amp;""))),AND(LEN(TRIM(E274&amp;""))&gt;0,S274&lt;&gt;INDEX($S$13:$S$512,R274)),AND(F274&lt;&gt;"",NOT(ISNUMBER(F274)))),1,IF(ISNUMBER(F274),IF(ABS(F274-INDEX($F$13:$F$512,R274))&gt;0.00000001,1,0),0)))</f>
        <v>0</v>
      </c>
      <c r="U274" s="0" t="n">
        <f>IF(P274="DIRECTA",IF(AND(ISNUMBER(G274),COUNTA(H274:J274)=0),1,0),IF(P274="DIMENSIONES",IF(AND(COUNT(G274:J274)&gt;0,COUNTA(G274:J274)=COUNT(G274:J274)),1,0),0))</f>
        <v>0</v>
      </c>
      <c r="V274" s="0" t="n">
        <f>IF(O274=0,0,IF(COUNTIFS($O$13:O274,O274)=1,1,0))</f>
        <v>0</v>
      </c>
      <c r="W274" s="0">
        <f>IF(V274=1,COUNTIFS($V$13:V274,1),"")</f>
      </c>
      <c r="X274" s="0">
        <f>IF(COUNTA(B274:L274)=0,"",IF(OR(NOT(IF(ISNUMBER($E$6),AND($E$6&gt;=0,$E$6&lt;=6,$E$6=INT($E$6)),FALSE)),O274=0,R274=0,T274&gt;0,AND(P274&lt;&gt;"DIMENSIONES",P274&lt;&gt;"DIRECTA",P274&lt;&gt;"SIN LÍNEAS",P274&lt;&gt;"CABECERA"),AND(OR(P274="DIRECTA",P274="DIMENSIONES"),U274=0),AND(OR(P274="SIN LÍNEAS",P274="CABECERA"),COUNTA(G274:J274)&gt;0)),2,IF(OR(P274="SIN LÍNEAS",Y274&gt;0,Z274&gt;0,AA274&gt;0,SUMPRODUCT(--('LÉEME'!$B$65:$B$86=AC274))&lt;&gt;1),1,0)))</f>
      </c>
      <c r="Y274" s="0" t="n">
        <f>IF(AND(P274="DIMENSIONES",S274="m²",COUNT(H274:J274)=3),1,0)</f>
        <v>0</v>
      </c>
      <c r="Z274" s="0" t="n">
        <f>IF(IF(ISNUMBER($E$6),AND($E$6&gt;=0,$E$6&lt;=6,$E$6=INT($E$6)),FALSE),IF(SUM(IF(ISNUMBER(F274),IF(ABS(F274-ROUND(F274,$E$6))&gt;0.00000001,1,0),0),IF(ISNUMBER(G274),IF(ABS(G274-ROUND(G274,$E$6))&gt;0.00000001,1,0),0),IF(ISNUMBER(H274),IF(ABS(H274-ROUND(H274,$E$6))&gt;0.00000001,1,0),0),IF(ISNUMBER(I274),IF(ABS(I274-ROUND(I274,$E$6))&gt;0.00000001,1,0),0),IF(ISNUMBER(J274),IF(ABS(J274-ROUND(J274,$E$6))&gt;0.00000001,1,0),0),IF(ISNUMBER(M274),IF(ABS(M274-ROUND(M274,$E$6))&gt;0.00000001,1,0),0))&gt;0,1,0),0)</f>
        <v>0</v>
      </c>
      <c r="AA274" s="0" t="n">
        <f>IF(COUNTA(B274:L274)=0,0,IF(OR(AND(ISNUMBER(F274),F274&lt;0),AND(U274=1,OR(SUM(IF(ISNUMBER(G274),IF(G274=0,1,0),0),IF(ISNUMBER(H274),IF(H274=0,1,0),0),IF(ISNUMBER(I274),IF(I274=0,1,0),0),IF(ISNUMBER(J274),IF(J274=0,1,0),0))&gt;0,COUNTIFS(G274:J274,"&lt;0")&gt;0)),AND(P274="DIMENSIONES",U274=1,OR(AND(S274="m",COUNT(H274:J274)&lt;&gt;1),AND(S274="m²",COUNT(H274:J274)&lt;&gt;2,Y274=0),AND(S274="m³",COUNT(H274:J274)&lt;&gt;3),AND(S274="ud",COUNT(H274:J274)&gt;0))),AND(P274="DIRECTA",OR(S274="m",S274="m²",S274="m³"))),1,0))</f>
        <v>0</v>
      </c>
      <c r="AB274" s="0">
        <f>IF(LEN(TRIM(E274&amp;""))&gt;0,E274,IF(R274&gt;0,INDEX($E$13:$E$512,R274),""))</f>
      </c>
      <c r="AC274" s="0">
        <f>UPPER(SUBSTITUTE(SUBSTITUTE(SUBSTITUTE(SUBSTITUTE(SUBSTITUTE(TRIM(AB274),"²","2"),"³","3"),"^",""),".","")," ",""))</f>
      </c>
    </row>
    <row r="275" ht="35" customHeight="1">
      <c r="B275" s="35"/>
      <c r="C275" s="35"/>
      <c r="D275" s="37"/>
      <c r="E275" s="35"/>
      <c r="F275" s="38"/>
      <c r="G275" s="38"/>
      <c r="H275" s="38"/>
      <c r="I275" s="38"/>
      <c r="J275" s="38"/>
      <c r="K275" s="35"/>
      <c r="L275" s="35"/>
      <c r="M275" s="39">
        <f>IF(U275&lt;&gt;1,"",IF(P275="DIRECTA",G275,IF(ISNUMBER(G275),G275,1)*IF(ISNUMBER(H275),H275,1)*IF(ISNUMBER(I275),I275,1)*IF(ISNUMBER(J275),J275,1)))</f>
      </c>
      <c r="N275" s="30">
        <f>IF(COUNTA(B275:L275)=0,"",IF(X275=0,IF(P275="CABECERA","VERDE · Fila descriptiva; la suma usa las líneas del ID","VERDE · Datos numéricos interpretables"),IF(X275=2,"ROJO · ","ÁMBAR · ")&amp;IF(NOT(IF(ISNUMBER($E$6),AND($E$6&gt;=0,$E$6&lt;=6,$E$6=INT($E$6)),FALSE)),"Indicamos entre 0 y 6 decimales en E6. ","")&amp;IF(O275=0,"Falta un ID numérico. ","")&amp;IF(R275=0,"Faltan capítulo, código, unidad o total numérico del ID. ","")&amp;IF(T275&gt;0,"Los datos o el total del ID se contradicen. ","")&amp;IF(AND(P275&lt;&gt;"DIMENSIONES",P275&lt;&gt;"DIRECTA",P275&lt;&gt;"SIN LÍNEAS",P275&lt;&gt;"CABECERA"),"Tipo de fila no reconocido. ","")&amp;IF(AND(OR(P275="SIN LÍNEAS",P275="CABECERA"),COUNTA(G275:J275)&gt;0),"La fila dice que no mide, pero contiene medidas. ","")&amp;IF(AND(OR(P275="DIRECTA",P275="DIMENSIONES"),U275=0),"Línea incompleta o con medidas no numéricas. ","")&amp;IF(P275="SIN LÍNEAS","No constan medidas de esta fila. ","")&amp;IF(Y275&gt;0,"Parece m³: tres dimensiones bajo m². ","")&amp;IF(AND(AB275&lt;&gt;"",SUMPRODUCT(--('LÉEME'!$B$65:$B$86=AC275))&lt;&gt;1),"Revisamos el significado de la unidad. ","")&amp;IF(Z275&gt;0,"Más precisión que los decimales indicados: cotejamos el original. ","")&amp;IF(AA275&gt;0,"Revisamos dimensiones, cantidad directa, ceros o deducción. ","")))</f>
      </c>
      <c r="O275" s="0" t="n">
        <f>IF(ISNUMBER(K275),IF(AND(K275&gt;0,K275=INT(K275),K275&lt;=999999),K275,0),0)</f>
        <v>0</v>
      </c>
      <c r="P275" s="0">
        <f>IF(COUNTA(B275:L275)=0,"",IF(L275="",IF(COUNTA(G275:J275)&gt;0,"DIMENSIONES","SIN LÍNEAS"),UPPER(TRIM(L275))))</f>
      </c>
      <c r="Q275" s="0">
        <f>IF(AND(O275&gt;0,LEN(TRIM(B275&amp;""))&gt;0,LEN(TRIM(C275&amp;""))&gt;0,LEN(TRIM(E275&amp;""))&gt;0,ISNUMBER(F275)),O275,"")</f>
      </c>
      <c r="R275" s="0" t="n">
        <f>IF(O275=0,0,IF(COUNTIFS($Q$13:$Q$512,O275)&gt;0,MATCH(O275,$Q$13:$Q$512,0),0))</f>
        <v>0</v>
      </c>
      <c r="S275" s="0">
        <f>IF(AB275="","",IF(SUMPRODUCT(--('LÉEME'!$B$65:$B$86=AC275))=1,INDEX('LÉEME'!$C$65:$C$86,MATCH(AC275,'LÉEME'!$B$65:$B$86,0)),UPPER(TRIM(AB275))))</f>
      </c>
      <c r="T275" s="0" t="n">
        <f>IF(R275=0,0,IF(OR(AND(LEN(TRIM(B275&amp;""))&gt;0,UPPER(TRIM(B275&amp;""))&lt;&gt;UPPER(TRIM(INDEX($B$13:$B$512,R275)&amp;""))),AND(LEN(TRIM(C275&amp;""))&gt;0,UPPER(TRIM(C275&amp;""))&lt;&gt;UPPER(TRIM(INDEX($C$13:$C$512,R275)&amp;""))),AND(LEN(TRIM(E275&amp;""))&gt;0,S275&lt;&gt;INDEX($S$13:$S$512,R275)),AND(F275&lt;&gt;"",NOT(ISNUMBER(F275)))),1,IF(ISNUMBER(F275),IF(ABS(F275-INDEX($F$13:$F$512,R275))&gt;0.00000001,1,0),0)))</f>
        <v>0</v>
      </c>
      <c r="U275" s="0" t="n">
        <f>IF(P275="DIRECTA",IF(AND(ISNUMBER(G275),COUNTA(H275:J275)=0),1,0),IF(P275="DIMENSIONES",IF(AND(COUNT(G275:J275)&gt;0,COUNTA(G275:J275)=COUNT(G275:J275)),1,0),0))</f>
        <v>0</v>
      </c>
      <c r="V275" s="0" t="n">
        <f>IF(O275=0,0,IF(COUNTIFS($O$13:O275,O275)=1,1,0))</f>
        <v>0</v>
      </c>
      <c r="W275" s="0">
        <f>IF(V275=1,COUNTIFS($V$13:V275,1),"")</f>
      </c>
      <c r="X275" s="0">
        <f>IF(COUNTA(B275:L275)=0,"",IF(OR(NOT(IF(ISNUMBER($E$6),AND($E$6&gt;=0,$E$6&lt;=6,$E$6=INT($E$6)),FALSE)),O275=0,R275=0,T275&gt;0,AND(P275&lt;&gt;"DIMENSIONES",P275&lt;&gt;"DIRECTA",P275&lt;&gt;"SIN LÍNEAS",P275&lt;&gt;"CABECERA"),AND(OR(P275="DIRECTA",P275="DIMENSIONES"),U275=0),AND(OR(P275="SIN LÍNEAS",P275="CABECERA"),COUNTA(G275:J275)&gt;0)),2,IF(OR(P275="SIN LÍNEAS",Y275&gt;0,Z275&gt;0,AA275&gt;0,SUMPRODUCT(--('LÉEME'!$B$65:$B$86=AC275))&lt;&gt;1),1,0)))</f>
      </c>
      <c r="Y275" s="0" t="n">
        <f>IF(AND(P275="DIMENSIONES",S275="m²",COUNT(H275:J275)=3),1,0)</f>
        <v>0</v>
      </c>
      <c r="Z275" s="0" t="n">
        <f>IF(IF(ISNUMBER($E$6),AND($E$6&gt;=0,$E$6&lt;=6,$E$6=INT($E$6)),FALSE),IF(SUM(IF(ISNUMBER(F275),IF(ABS(F275-ROUND(F275,$E$6))&gt;0.00000001,1,0),0),IF(ISNUMBER(G275),IF(ABS(G275-ROUND(G275,$E$6))&gt;0.00000001,1,0),0),IF(ISNUMBER(H275),IF(ABS(H275-ROUND(H275,$E$6))&gt;0.00000001,1,0),0),IF(ISNUMBER(I275),IF(ABS(I275-ROUND(I275,$E$6))&gt;0.00000001,1,0),0),IF(ISNUMBER(J275),IF(ABS(J275-ROUND(J275,$E$6))&gt;0.00000001,1,0),0),IF(ISNUMBER(M275),IF(ABS(M275-ROUND(M275,$E$6))&gt;0.00000001,1,0),0))&gt;0,1,0),0)</f>
        <v>0</v>
      </c>
      <c r="AA275" s="0" t="n">
        <f>IF(COUNTA(B275:L275)=0,0,IF(OR(AND(ISNUMBER(F275),F275&lt;0),AND(U275=1,OR(SUM(IF(ISNUMBER(G275),IF(G275=0,1,0),0),IF(ISNUMBER(H275),IF(H275=0,1,0),0),IF(ISNUMBER(I275),IF(I275=0,1,0),0),IF(ISNUMBER(J275),IF(J275=0,1,0),0))&gt;0,COUNTIFS(G275:J275,"&lt;0")&gt;0)),AND(P275="DIMENSIONES",U275=1,OR(AND(S275="m",COUNT(H275:J275)&lt;&gt;1),AND(S275="m²",COUNT(H275:J275)&lt;&gt;2,Y275=0),AND(S275="m³",COUNT(H275:J275)&lt;&gt;3),AND(S275="ud",COUNT(H275:J275)&gt;0))),AND(P275="DIRECTA",OR(S275="m",S275="m²",S275="m³"))),1,0))</f>
        <v>0</v>
      </c>
      <c r="AB275" s="0">
        <f>IF(LEN(TRIM(E275&amp;""))&gt;0,E275,IF(R275&gt;0,INDEX($E$13:$E$512,R275),""))</f>
      </c>
      <c r="AC275" s="0">
        <f>UPPER(SUBSTITUTE(SUBSTITUTE(SUBSTITUTE(SUBSTITUTE(SUBSTITUTE(TRIM(AB275),"²","2"),"³","3"),"^",""),".","")," ",""))</f>
      </c>
    </row>
    <row r="276" ht="35" customHeight="1">
      <c r="B276" s="35"/>
      <c r="C276" s="35"/>
      <c r="D276" s="37"/>
      <c r="E276" s="35"/>
      <c r="F276" s="38"/>
      <c r="G276" s="38"/>
      <c r="H276" s="38"/>
      <c r="I276" s="38"/>
      <c r="J276" s="38"/>
      <c r="K276" s="35"/>
      <c r="L276" s="35"/>
      <c r="M276" s="39">
        <f>IF(U276&lt;&gt;1,"",IF(P276="DIRECTA",G276,IF(ISNUMBER(G276),G276,1)*IF(ISNUMBER(H276),H276,1)*IF(ISNUMBER(I276),I276,1)*IF(ISNUMBER(J276),J276,1)))</f>
      </c>
      <c r="N276" s="30">
        <f>IF(COUNTA(B276:L276)=0,"",IF(X276=0,IF(P276="CABECERA","VERDE · Fila descriptiva; la suma usa las líneas del ID","VERDE · Datos numéricos interpretables"),IF(X276=2,"ROJO · ","ÁMBAR · ")&amp;IF(NOT(IF(ISNUMBER($E$6),AND($E$6&gt;=0,$E$6&lt;=6,$E$6=INT($E$6)),FALSE)),"Indicamos entre 0 y 6 decimales en E6. ","")&amp;IF(O276=0,"Falta un ID numérico. ","")&amp;IF(R276=0,"Faltan capítulo, código, unidad o total numérico del ID. ","")&amp;IF(T276&gt;0,"Los datos o el total del ID se contradicen. ","")&amp;IF(AND(P276&lt;&gt;"DIMENSIONES",P276&lt;&gt;"DIRECTA",P276&lt;&gt;"SIN LÍNEAS",P276&lt;&gt;"CABECERA"),"Tipo de fila no reconocido. ","")&amp;IF(AND(OR(P276="SIN LÍNEAS",P276="CABECERA"),COUNTA(G276:J276)&gt;0),"La fila dice que no mide, pero contiene medidas. ","")&amp;IF(AND(OR(P276="DIRECTA",P276="DIMENSIONES"),U276=0),"Línea incompleta o con medidas no numéricas. ","")&amp;IF(P276="SIN LÍNEAS","No constan medidas de esta fila. ","")&amp;IF(Y276&gt;0,"Parece m³: tres dimensiones bajo m². ","")&amp;IF(AND(AB276&lt;&gt;"",SUMPRODUCT(--('LÉEME'!$B$65:$B$86=AC276))&lt;&gt;1),"Revisamos el significado de la unidad. ","")&amp;IF(Z276&gt;0,"Más precisión que los decimales indicados: cotejamos el original. ","")&amp;IF(AA276&gt;0,"Revisamos dimensiones, cantidad directa, ceros o deducción. ","")))</f>
      </c>
      <c r="O276" s="0" t="n">
        <f>IF(ISNUMBER(K276),IF(AND(K276&gt;0,K276=INT(K276),K276&lt;=999999),K276,0),0)</f>
        <v>0</v>
      </c>
      <c r="P276" s="0">
        <f>IF(COUNTA(B276:L276)=0,"",IF(L276="",IF(COUNTA(G276:J276)&gt;0,"DIMENSIONES","SIN LÍNEAS"),UPPER(TRIM(L276))))</f>
      </c>
      <c r="Q276" s="0">
        <f>IF(AND(O276&gt;0,LEN(TRIM(B276&amp;""))&gt;0,LEN(TRIM(C276&amp;""))&gt;0,LEN(TRIM(E276&amp;""))&gt;0,ISNUMBER(F276)),O276,"")</f>
      </c>
      <c r="R276" s="0" t="n">
        <f>IF(O276=0,0,IF(COUNTIFS($Q$13:$Q$512,O276)&gt;0,MATCH(O276,$Q$13:$Q$512,0),0))</f>
        <v>0</v>
      </c>
      <c r="S276" s="0">
        <f>IF(AB276="","",IF(SUMPRODUCT(--('LÉEME'!$B$65:$B$86=AC276))=1,INDEX('LÉEME'!$C$65:$C$86,MATCH(AC276,'LÉEME'!$B$65:$B$86,0)),UPPER(TRIM(AB276))))</f>
      </c>
      <c r="T276" s="0" t="n">
        <f>IF(R276=0,0,IF(OR(AND(LEN(TRIM(B276&amp;""))&gt;0,UPPER(TRIM(B276&amp;""))&lt;&gt;UPPER(TRIM(INDEX($B$13:$B$512,R276)&amp;""))),AND(LEN(TRIM(C276&amp;""))&gt;0,UPPER(TRIM(C276&amp;""))&lt;&gt;UPPER(TRIM(INDEX($C$13:$C$512,R276)&amp;""))),AND(LEN(TRIM(E276&amp;""))&gt;0,S276&lt;&gt;INDEX($S$13:$S$512,R276)),AND(F276&lt;&gt;"",NOT(ISNUMBER(F276)))),1,IF(ISNUMBER(F276),IF(ABS(F276-INDEX($F$13:$F$512,R276))&gt;0.00000001,1,0),0)))</f>
        <v>0</v>
      </c>
      <c r="U276" s="0" t="n">
        <f>IF(P276="DIRECTA",IF(AND(ISNUMBER(G276),COUNTA(H276:J276)=0),1,0),IF(P276="DIMENSIONES",IF(AND(COUNT(G276:J276)&gt;0,COUNTA(G276:J276)=COUNT(G276:J276)),1,0),0))</f>
        <v>0</v>
      </c>
      <c r="V276" s="0" t="n">
        <f>IF(O276=0,0,IF(COUNTIFS($O$13:O276,O276)=1,1,0))</f>
        <v>0</v>
      </c>
      <c r="W276" s="0">
        <f>IF(V276=1,COUNTIFS($V$13:V276,1),"")</f>
      </c>
      <c r="X276" s="0">
        <f>IF(COUNTA(B276:L276)=0,"",IF(OR(NOT(IF(ISNUMBER($E$6),AND($E$6&gt;=0,$E$6&lt;=6,$E$6=INT($E$6)),FALSE)),O276=0,R276=0,T276&gt;0,AND(P276&lt;&gt;"DIMENSIONES",P276&lt;&gt;"DIRECTA",P276&lt;&gt;"SIN LÍNEAS",P276&lt;&gt;"CABECERA"),AND(OR(P276="DIRECTA",P276="DIMENSIONES"),U276=0),AND(OR(P276="SIN LÍNEAS",P276="CABECERA"),COUNTA(G276:J276)&gt;0)),2,IF(OR(P276="SIN LÍNEAS",Y276&gt;0,Z276&gt;0,AA276&gt;0,SUMPRODUCT(--('LÉEME'!$B$65:$B$86=AC276))&lt;&gt;1),1,0)))</f>
      </c>
      <c r="Y276" s="0" t="n">
        <f>IF(AND(P276="DIMENSIONES",S276="m²",COUNT(H276:J276)=3),1,0)</f>
        <v>0</v>
      </c>
      <c r="Z276" s="0" t="n">
        <f>IF(IF(ISNUMBER($E$6),AND($E$6&gt;=0,$E$6&lt;=6,$E$6=INT($E$6)),FALSE),IF(SUM(IF(ISNUMBER(F276),IF(ABS(F276-ROUND(F276,$E$6))&gt;0.00000001,1,0),0),IF(ISNUMBER(G276),IF(ABS(G276-ROUND(G276,$E$6))&gt;0.00000001,1,0),0),IF(ISNUMBER(H276),IF(ABS(H276-ROUND(H276,$E$6))&gt;0.00000001,1,0),0),IF(ISNUMBER(I276),IF(ABS(I276-ROUND(I276,$E$6))&gt;0.00000001,1,0),0),IF(ISNUMBER(J276),IF(ABS(J276-ROUND(J276,$E$6))&gt;0.00000001,1,0),0),IF(ISNUMBER(M276),IF(ABS(M276-ROUND(M276,$E$6))&gt;0.00000001,1,0),0))&gt;0,1,0),0)</f>
        <v>0</v>
      </c>
      <c r="AA276" s="0" t="n">
        <f>IF(COUNTA(B276:L276)=0,0,IF(OR(AND(ISNUMBER(F276),F276&lt;0),AND(U276=1,OR(SUM(IF(ISNUMBER(G276),IF(G276=0,1,0),0),IF(ISNUMBER(H276),IF(H276=0,1,0),0),IF(ISNUMBER(I276),IF(I276=0,1,0),0),IF(ISNUMBER(J276),IF(J276=0,1,0),0))&gt;0,COUNTIFS(G276:J276,"&lt;0")&gt;0)),AND(P276="DIMENSIONES",U276=1,OR(AND(S276="m",COUNT(H276:J276)&lt;&gt;1),AND(S276="m²",COUNT(H276:J276)&lt;&gt;2,Y276=0),AND(S276="m³",COUNT(H276:J276)&lt;&gt;3),AND(S276="ud",COUNT(H276:J276)&gt;0))),AND(P276="DIRECTA",OR(S276="m",S276="m²",S276="m³"))),1,0))</f>
        <v>0</v>
      </c>
      <c r="AB276" s="0">
        <f>IF(LEN(TRIM(E276&amp;""))&gt;0,E276,IF(R276&gt;0,INDEX($E$13:$E$512,R276),""))</f>
      </c>
      <c r="AC276" s="0">
        <f>UPPER(SUBSTITUTE(SUBSTITUTE(SUBSTITUTE(SUBSTITUTE(SUBSTITUTE(TRIM(AB276),"²","2"),"³","3"),"^",""),".","")," ",""))</f>
      </c>
    </row>
    <row r="277" ht="35" customHeight="1">
      <c r="B277" s="35"/>
      <c r="C277" s="35"/>
      <c r="D277" s="37"/>
      <c r="E277" s="35"/>
      <c r="F277" s="38"/>
      <c r="G277" s="38"/>
      <c r="H277" s="38"/>
      <c r="I277" s="38"/>
      <c r="J277" s="38"/>
      <c r="K277" s="35"/>
      <c r="L277" s="35"/>
      <c r="M277" s="39">
        <f>IF(U277&lt;&gt;1,"",IF(P277="DIRECTA",G277,IF(ISNUMBER(G277),G277,1)*IF(ISNUMBER(H277),H277,1)*IF(ISNUMBER(I277),I277,1)*IF(ISNUMBER(J277),J277,1)))</f>
      </c>
      <c r="N277" s="30">
        <f>IF(COUNTA(B277:L277)=0,"",IF(X277=0,IF(P277="CABECERA","VERDE · Fila descriptiva; la suma usa las líneas del ID","VERDE · Datos numéricos interpretables"),IF(X277=2,"ROJO · ","ÁMBAR · ")&amp;IF(NOT(IF(ISNUMBER($E$6),AND($E$6&gt;=0,$E$6&lt;=6,$E$6=INT($E$6)),FALSE)),"Indicamos entre 0 y 6 decimales en E6. ","")&amp;IF(O277=0,"Falta un ID numérico. ","")&amp;IF(R277=0,"Faltan capítulo, código, unidad o total numérico del ID. ","")&amp;IF(T277&gt;0,"Los datos o el total del ID se contradicen. ","")&amp;IF(AND(P277&lt;&gt;"DIMENSIONES",P277&lt;&gt;"DIRECTA",P277&lt;&gt;"SIN LÍNEAS",P277&lt;&gt;"CABECERA"),"Tipo de fila no reconocido. ","")&amp;IF(AND(OR(P277="SIN LÍNEAS",P277="CABECERA"),COUNTA(G277:J277)&gt;0),"La fila dice que no mide, pero contiene medidas. ","")&amp;IF(AND(OR(P277="DIRECTA",P277="DIMENSIONES"),U277=0),"Línea incompleta o con medidas no numéricas. ","")&amp;IF(P277="SIN LÍNEAS","No constan medidas de esta fila. ","")&amp;IF(Y277&gt;0,"Parece m³: tres dimensiones bajo m². ","")&amp;IF(AND(AB277&lt;&gt;"",SUMPRODUCT(--('LÉEME'!$B$65:$B$86=AC277))&lt;&gt;1),"Revisamos el significado de la unidad. ","")&amp;IF(Z277&gt;0,"Más precisión que los decimales indicados: cotejamos el original. ","")&amp;IF(AA277&gt;0,"Revisamos dimensiones, cantidad directa, ceros o deducción. ","")))</f>
      </c>
      <c r="O277" s="0" t="n">
        <f>IF(ISNUMBER(K277),IF(AND(K277&gt;0,K277=INT(K277),K277&lt;=999999),K277,0),0)</f>
        <v>0</v>
      </c>
      <c r="P277" s="0">
        <f>IF(COUNTA(B277:L277)=0,"",IF(L277="",IF(COUNTA(G277:J277)&gt;0,"DIMENSIONES","SIN LÍNEAS"),UPPER(TRIM(L277))))</f>
      </c>
      <c r="Q277" s="0">
        <f>IF(AND(O277&gt;0,LEN(TRIM(B277&amp;""))&gt;0,LEN(TRIM(C277&amp;""))&gt;0,LEN(TRIM(E277&amp;""))&gt;0,ISNUMBER(F277)),O277,"")</f>
      </c>
      <c r="R277" s="0" t="n">
        <f>IF(O277=0,0,IF(COUNTIFS($Q$13:$Q$512,O277)&gt;0,MATCH(O277,$Q$13:$Q$512,0),0))</f>
        <v>0</v>
      </c>
      <c r="S277" s="0">
        <f>IF(AB277="","",IF(SUMPRODUCT(--('LÉEME'!$B$65:$B$86=AC277))=1,INDEX('LÉEME'!$C$65:$C$86,MATCH(AC277,'LÉEME'!$B$65:$B$86,0)),UPPER(TRIM(AB277))))</f>
      </c>
      <c r="T277" s="0" t="n">
        <f>IF(R277=0,0,IF(OR(AND(LEN(TRIM(B277&amp;""))&gt;0,UPPER(TRIM(B277&amp;""))&lt;&gt;UPPER(TRIM(INDEX($B$13:$B$512,R277)&amp;""))),AND(LEN(TRIM(C277&amp;""))&gt;0,UPPER(TRIM(C277&amp;""))&lt;&gt;UPPER(TRIM(INDEX($C$13:$C$512,R277)&amp;""))),AND(LEN(TRIM(E277&amp;""))&gt;0,S277&lt;&gt;INDEX($S$13:$S$512,R277)),AND(F277&lt;&gt;"",NOT(ISNUMBER(F277)))),1,IF(ISNUMBER(F277),IF(ABS(F277-INDEX($F$13:$F$512,R277))&gt;0.00000001,1,0),0)))</f>
        <v>0</v>
      </c>
      <c r="U277" s="0" t="n">
        <f>IF(P277="DIRECTA",IF(AND(ISNUMBER(G277),COUNTA(H277:J277)=0),1,0),IF(P277="DIMENSIONES",IF(AND(COUNT(G277:J277)&gt;0,COUNTA(G277:J277)=COUNT(G277:J277)),1,0),0))</f>
        <v>0</v>
      </c>
      <c r="V277" s="0" t="n">
        <f>IF(O277=0,0,IF(COUNTIFS($O$13:O277,O277)=1,1,0))</f>
        <v>0</v>
      </c>
      <c r="W277" s="0">
        <f>IF(V277=1,COUNTIFS($V$13:V277,1),"")</f>
      </c>
      <c r="X277" s="0">
        <f>IF(COUNTA(B277:L277)=0,"",IF(OR(NOT(IF(ISNUMBER($E$6),AND($E$6&gt;=0,$E$6&lt;=6,$E$6=INT($E$6)),FALSE)),O277=0,R277=0,T277&gt;0,AND(P277&lt;&gt;"DIMENSIONES",P277&lt;&gt;"DIRECTA",P277&lt;&gt;"SIN LÍNEAS",P277&lt;&gt;"CABECERA"),AND(OR(P277="DIRECTA",P277="DIMENSIONES"),U277=0),AND(OR(P277="SIN LÍNEAS",P277="CABECERA"),COUNTA(G277:J277)&gt;0)),2,IF(OR(P277="SIN LÍNEAS",Y277&gt;0,Z277&gt;0,AA277&gt;0,SUMPRODUCT(--('LÉEME'!$B$65:$B$86=AC277))&lt;&gt;1),1,0)))</f>
      </c>
      <c r="Y277" s="0" t="n">
        <f>IF(AND(P277="DIMENSIONES",S277="m²",COUNT(H277:J277)=3),1,0)</f>
        <v>0</v>
      </c>
      <c r="Z277" s="0" t="n">
        <f>IF(IF(ISNUMBER($E$6),AND($E$6&gt;=0,$E$6&lt;=6,$E$6=INT($E$6)),FALSE),IF(SUM(IF(ISNUMBER(F277),IF(ABS(F277-ROUND(F277,$E$6))&gt;0.00000001,1,0),0),IF(ISNUMBER(G277),IF(ABS(G277-ROUND(G277,$E$6))&gt;0.00000001,1,0),0),IF(ISNUMBER(H277),IF(ABS(H277-ROUND(H277,$E$6))&gt;0.00000001,1,0),0),IF(ISNUMBER(I277),IF(ABS(I277-ROUND(I277,$E$6))&gt;0.00000001,1,0),0),IF(ISNUMBER(J277),IF(ABS(J277-ROUND(J277,$E$6))&gt;0.00000001,1,0),0),IF(ISNUMBER(M277),IF(ABS(M277-ROUND(M277,$E$6))&gt;0.00000001,1,0),0))&gt;0,1,0),0)</f>
        <v>0</v>
      </c>
      <c r="AA277" s="0" t="n">
        <f>IF(COUNTA(B277:L277)=0,0,IF(OR(AND(ISNUMBER(F277),F277&lt;0),AND(U277=1,OR(SUM(IF(ISNUMBER(G277),IF(G277=0,1,0),0),IF(ISNUMBER(H277),IF(H277=0,1,0),0),IF(ISNUMBER(I277),IF(I277=0,1,0),0),IF(ISNUMBER(J277),IF(J277=0,1,0),0))&gt;0,COUNTIFS(G277:J277,"&lt;0")&gt;0)),AND(P277="DIMENSIONES",U277=1,OR(AND(S277="m",COUNT(H277:J277)&lt;&gt;1),AND(S277="m²",COUNT(H277:J277)&lt;&gt;2,Y277=0),AND(S277="m³",COUNT(H277:J277)&lt;&gt;3),AND(S277="ud",COUNT(H277:J277)&gt;0))),AND(P277="DIRECTA",OR(S277="m",S277="m²",S277="m³"))),1,0))</f>
        <v>0</v>
      </c>
      <c r="AB277" s="0">
        <f>IF(LEN(TRIM(E277&amp;""))&gt;0,E277,IF(R277&gt;0,INDEX($E$13:$E$512,R277),""))</f>
      </c>
      <c r="AC277" s="0">
        <f>UPPER(SUBSTITUTE(SUBSTITUTE(SUBSTITUTE(SUBSTITUTE(SUBSTITUTE(TRIM(AB277),"²","2"),"³","3"),"^",""),".","")," ",""))</f>
      </c>
    </row>
    <row r="278" ht="35" customHeight="1">
      <c r="B278" s="35"/>
      <c r="C278" s="35"/>
      <c r="D278" s="37"/>
      <c r="E278" s="35"/>
      <c r="F278" s="38"/>
      <c r="G278" s="38"/>
      <c r="H278" s="38"/>
      <c r="I278" s="38"/>
      <c r="J278" s="38"/>
      <c r="K278" s="35"/>
      <c r="L278" s="35"/>
      <c r="M278" s="39">
        <f>IF(U278&lt;&gt;1,"",IF(P278="DIRECTA",G278,IF(ISNUMBER(G278),G278,1)*IF(ISNUMBER(H278),H278,1)*IF(ISNUMBER(I278),I278,1)*IF(ISNUMBER(J278),J278,1)))</f>
      </c>
      <c r="N278" s="30">
        <f>IF(COUNTA(B278:L278)=0,"",IF(X278=0,IF(P278="CABECERA","VERDE · Fila descriptiva; la suma usa las líneas del ID","VERDE · Datos numéricos interpretables"),IF(X278=2,"ROJO · ","ÁMBAR · ")&amp;IF(NOT(IF(ISNUMBER($E$6),AND($E$6&gt;=0,$E$6&lt;=6,$E$6=INT($E$6)),FALSE)),"Indicamos entre 0 y 6 decimales en E6. ","")&amp;IF(O278=0,"Falta un ID numérico. ","")&amp;IF(R278=0,"Faltan capítulo, código, unidad o total numérico del ID. ","")&amp;IF(T278&gt;0,"Los datos o el total del ID se contradicen. ","")&amp;IF(AND(P278&lt;&gt;"DIMENSIONES",P278&lt;&gt;"DIRECTA",P278&lt;&gt;"SIN LÍNEAS",P278&lt;&gt;"CABECERA"),"Tipo de fila no reconocido. ","")&amp;IF(AND(OR(P278="SIN LÍNEAS",P278="CABECERA"),COUNTA(G278:J278)&gt;0),"La fila dice que no mide, pero contiene medidas. ","")&amp;IF(AND(OR(P278="DIRECTA",P278="DIMENSIONES"),U278=0),"Línea incompleta o con medidas no numéricas. ","")&amp;IF(P278="SIN LÍNEAS","No constan medidas de esta fila. ","")&amp;IF(Y278&gt;0,"Parece m³: tres dimensiones bajo m². ","")&amp;IF(AND(AB278&lt;&gt;"",SUMPRODUCT(--('LÉEME'!$B$65:$B$86=AC278))&lt;&gt;1),"Revisamos el significado de la unidad. ","")&amp;IF(Z278&gt;0,"Más precisión que los decimales indicados: cotejamos el original. ","")&amp;IF(AA278&gt;0,"Revisamos dimensiones, cantidad directa, ceros o deducción. ","")))</f>
      </c>
      <c r="O278" s="0" t="n">
        <f>IF(ISNUMBER(K278),IF(AND(K278&gt;0,K278=INT(K278),K278&lt;=999999),K278,0),0)</f>
        <v>0</v>
      </c>
      <c r="P278" s="0">
        <f>IF(COUNTA(B278:L278)=0,"",IF(L278="",IF(COUNTA(G278:J278)&gt;0,"DIMENSIONES","SIN LÍNEAS"),UPPER(TRIM(L278))))</f>
      </c>
      <c r="Q278" s="0">
        <f>IF(AND(O278&gt;0,LEN(TRIM(B278&amp;""))&gt;0,LEN(TRIM(C278&amp;""))&gt;0,LEN(TRIM(E278&amp;""))&gt;0,ISNUMBER(F278)),O278,"")</f>
      </c>
      <c r="R278" s="0" t="n">
        <f>IF(O278=0,0,IF(COUNTIFS($Q$13:$Q$512,O278)&gt;0,MATCH(O278,$Q$13:$Q$512,0),0))</f>
        <v>0</v>
      </c>
      <c r="S278" s="0">
        <f>IF(AB278="","",IF(SUMPRODUCT(--('LÉEME'!$B$65:$B$86=AC278))=1,INDEX('LÉEME'!$C$65:$C$86,MATCH(AC278,'LÉEME'!$B$65:$B$86,0)),UPPER(TRIM(AB278))))</f>
      </c>
      <c r="T278" s="0" t="n">
        <f>IF(R278=0,0,IF(OR(AND(LEN(TRIM(B278&amp;""))&gt;0,UPPER(TRIM(B278&amp;""))&lt;&gt;UPPER(TRIM(INDEX($B$13:$B$512,R278)&amp;""))),AND(LEN(TRIM(C278&amp;""))&gt;0,UPPER(TRIM(C278&amp;""))&lt;&gt;UPPER(TRIM(INDEX($C$13:$C$512,R278)&amp;""))),AND(LEN(TRIM(E278&amp;""))&gt;0,S278&lt;&gt;INDEX($S$13:$S$512,R278)),AND(F278&lt;&gt;"",NOT(ISNUMBER(F278)))),1,IF(ISNUMBER(F278),IF(ABS(F278-INDEX($F$13:$F$512,R278))&gt;0.00000001,1,0),0)))</f>
        <v>0</v>
      </c>
      <c r="U278" s="0" t="n">
        <f>IF(P278="DIRECTA",IF(AND(ISNUMBER(G278),COUNTA(H278:J278)=0),1,0),IF(P278="DIMENSIONES",IF(AND(COUNT(G278:J278)&gt;0,COUNTA(G278:J278)=COUNT(G278:J278)),1,0),0))</f>
        <v>0</v>
      </c>
      <c r="V278" s="0" t="n">
        <f>IF(O278=0,0,IF(COUNTIFS($O$13:O278,O278)=1,1,0))</f>
        <v>0</v>
      </c>
      <c r="W278" s="0">
        <f>IF(V278=1,COUNTIFS($V$13:V278,1),"")</f>
      </c>
      <c r="X278" s="0">
        <f>IF(COUNTA(B278:L278)=0,"",IF(OR(NOT(IF(ISNUMBER($E$6),AND($E$6&gt;=0,$E$6&lt;=6,$E$6=INT($E$6)),FALSE)),O278=0,R278=0,T278&gt;0,AND(P278&lt;&gt;"DIMENSIONES",P278&lt;&gt;"DIRECTA",P278&lt;&gt;"SIN LÍNEAS",P278&lt;&gt;"CABECERA"),AND(OR(P278="DIRECTA",P278="DIMENSIONES"),U278=0),AND(OR(P278="SIN LÍNEAS",P278="CABECERA"),COUNTA(G278:J278)&gt;0)),2,IF(OR(P278="SIN LÍNEAS",Y278&gt;0,Z278&gt;0,AA278&gt;0,SUMPRODUCT(--('LÉEME'!$B$65:$B$86=AC278))&lt;&gt;1),1,0)))</f>
      </c>
      <c r="Y278" s="0" t="n">
        <f>IF(AND(P278="DIMENSIONES",S278="m²",COUNT(H278:J278)=3),1,0)</f>
        <v>0</v>
      </c>
      <c r="Z278" s="0" t="n">
        <f>IF(IF(ISNUMBER($E$6),AND($E$6&gt;=0,$E$6&lt;=6,$E$6=INT($E$6)),FALSE),IF(SUM(IF(ISNUMBER(F278),IF(ABS(F278-ROUND(F278,$E$6))&gt;0.00000001,1,0),0),IF(ISNUMBER(G278),IF(ABS(G278-ROUND(G278,$E$6))&gt;0.00000001,1,0),0),IF(ISNUMBER(H278),IF(ABS(H278-ROUND(H278,$E$6))&gt;0.00000001,1,0),0),IF(ISNUMBER(I278),IF(ABS(I278-ROUND(I278,$E$6))&gt;0.00000001,1,0),0),IF(ISNUMBER(J278),IF(ABS(J278-ROUND(J278,$E$6))&gt;0.00000001,1,0),0),IF(ISNUMBER(M278),IF(ABS(M278-ROUND(M278,$E$6))&gt;0.00000001,1,0),0))&gt;0,1,0),0)</f>
        <v>0</v>
      </c>
      <c r="AA278" s="0" t="n">
        <f>IF(COUNTA(B278:L278)=0,0,IF(OR(AND(ISNUMBER(F278),F278&lt;0),AND(U278=1,OR(SUM(IF(ISNUMBER(G278),IF(G278=0,1,0),0),IF(ISNUMBER(H278),IF(H278=0,1,0),0),IF(ISNUMBER(I278),IF(I278=0,1,0),0),IF(ISNUMBER(J278),IF(J278=0,1,0),0))&gt;0,COUNTIFS(G278:J278,"&lt;0")&gt;0)),AND(P278="DIMENSIONES",U278=1,OR(AND(S278="m",COUNT(H278:J278)&lt;&gt;1),AND(S278="m²",COUNT(H278:J278)&lt;&gt;2,Y278=0),AND(S278="m³",COUNT(H278:J278)&lt;&gt;3),AND(S278="ud",COUNT(H278:J278)&gt;0))),AND(P278="DIRECTA",OR(S278="m",S278="m²",S278="m³"))),1,0))</f>
        <v>0</v>
      </c>
      <c r="AB278" s="0">
        <f>IF(LEN(TRIM(E278&amp;""))&gt;0,E278,IF(R278&gt;0,INDEX($E$13:$E$512,R278),""))</f>
      </c>
      <c r="AC278" s="0">
        <f>UPPER(SUBSTITUTE(SUBSTITUTE(SUBSTITUTE(SUBSTITUTE(SUBSTITUTE(TRIM(AB278),"²","2"),"³","3"),"^",""),".","")," ",""))</f>
      </c>
    </row>
    <row r="279" ht="35" customHeight="1">
      <c r="B279" s="35"/>
      <c r="C279" s="35"/>
      <c r="D279" s="37"/>
      <c r="E279" s="35"/>
      <c r="F279" s="38"/>
      <c r="G279" s="38"/>
      <c r="H279" s="38"/>
      <c r="I279" s="38"/>
      <c r="J279" s="38"/>
      <c r="K279" s="35"/>
      <c r="L279" s="35"/>
      <c r="M279" s="39">
        <f>IF(U279&lt;&gt;1,"",IF(P279="DIRECTA",G279,IF(ISNUMBER(G279),G279,1)*IF(ISNUMBER(H279),H279,1)*IF(ISNUMBER(I279),I279,1)*IF(ISNUMBER(J279),J279,1)))</f>
      </c>
      <c r="N279" s="30">
        <f>IF(COUNTA(B279:L279)=0,"",IF(X279=0,IF(P279="CABECERA","VERDE · Fila descriptiva; la suma usa las líneas del ID","VERDE · Datos numéricos interpretables"),IF(X279=2,"ROJO · ","ÁMBAR · ")&amp;IF(NOT(IF(ISNUMBER($E$6),AND($E$6&gt;=0,$E$6&lt;=6,$E$6=INT($E$6)),FALSE)),"Indicamos entre 0 y 6 decimales en E6. ","")&amp;IF(O279=0,"Falta un ID numérico. ","")&amp;IF(R279=0,"Faltan capítulo, código, unidad o total numérico del ID. ","")&amp;IF(T279&gt;0,"Los datos o el total del ID se contradicen. ","")&amp;IF(AND(P279&lt;&gt;"DIMENSIONES",P279&lt;&gt;"DIRECTA",P279&lt;&gt;"SIN LÍNEAS",P279&lt;&gt;"CABECERA"),"Tipo de fila no reconocido. ","")&amp;IF(AND(OR(P279="SIN LÍNEAS",P279="CABECERA"),COUNTA(G279:J279)&gt;0),"La fila dice que no mide, pero contiene medidas. ","")&amp;IF(AND(OR(P279="DIRECTA",P279="DIMENSIONES"),U279=0),"Línea incompleta o con medidas no numéricas. ","")&amp;IF(P279="SIN LÍNEAS","No constan medidas de esta fila. ","")&amp;IF(Y279&gt;0,"Parece m³: tres dimensiones bajo m². ","")&amp;IF(AND(AB279&lt;&gt;"",SUMPRODUCT(--('LÉEME'!$B$65:$B$86=AC279))&lt;&gt;1),"Revisamos el significado de la unidad. ","")&amp;IF(Z279&gt;0,"Más precisión que los decimales indicados: cotejamos el original. ","")&amp;IF(AA279&gt;0,"Revisamos dimensiones, cantidad directa, ceros o deducción. ","")))</f>
      </c>
      <c r="O279" s="0" t="n">
        <f>IF(ISNUMBER(K279),IF(AND(K279&gt;0,K279=INT(K279),K279&lt;=999999),K279,0),0)</f>
        <v>0</v>
      </c>
      <c r="P279" s="0">
        <f>IF(COUNTA(B279:L279)=0,"",IF(L279="",IF(COUNTA(G279:J279)&gt;0,"DIMENSIONES","SIN LÍNEAS"),UPPER(TRIM(L279))))</f>
      </c>
      <c r="Q279" s="0">
        <f>IF(AND(O279&gt;0,LEN(TRIM(B279&amp;""))&gt;0,LEN(TRIM(C279&amp;""))&gt;0,LEN(TRIM(E279&amp;""))&gt;0,ISNUMBER(F279)),O279,"")</f>
      </c>
      <c r="R279" s="0" t="n">
        <f>IF(O279=0,0,IF(COUNTIFS($Q$13:$Q$512,O279)&gt;0,MATCH(O279,$Q$13:$Q$512,0),0))</f>
        <v>0</v>
      </c>
      <c r="S279" s="0">
        <f>IF(AB279="","",IF(SUMPRODUCT(--('LÉEME'!$B$65:$B$86=AC279))=1,INDEX('LÉEME'!$C$65:$C$86,MATCH(AC279,'LÉEME'!$B$65:$B$86,0)),UPPER(TRIM(AB279))))</f>
      </c>
      <c r="T279" s="0" t="n">
        <f>IF(R279=0,0,IF(OR(AND(LEN(TRIM(B279&amp;""))&gt;0,UPPER(TRIM(B279&amp;""))&lt;&gt;UPPER(TRIM(INDEX($B$13:$B$512,R279)&amp;""))),AND(LEN(TRIM(C279&amp;""))&gt;0,UPPER(TRIM(C279&amp;""))&lt;&gt;UPPER(TRIM(INDEX($C$13:$C$512,R279)&amp;""))),AND(LEN(TRIM(E279&amp;""))&gt;0,S279&lt;&gt;INDEX($S$13:$S$512,R279)),AND(F279&lt;&gt;"",NOT(ISNUMBER(F279)))),1,IF(ISNUMBER(F279),IF(ABS(F279-INDEX($F$13:$F$512,R279))&gt;0.00000001,1,0),0)))</f>
        <v>0</v>
      </c>
      <c r="U279" s="0" t="n">
        <f>IF(P279="DIRECTA",IF(AND(ISNUMBER(G279),COUNTA(H279:J279)=0),1,0),IF(P279="DIMENSIONES",IF(AND(COUNT(G279:J279)&gt;0,COUNTA(G279:J279)=COUNT(G279:J279)),1,0),0))</f>
        <v>0</v>
      </c>
      <c r="V279" s="0" t="n">
        <f>IF(O279=0,0,IF(COUNTIFS($O$13:O279,O279)=1,1,0))</f>
        <v>0</v>
      </c>
      <c r="W279" s="0">
        <f>IF(V279=1,COUNTIFS($V$13:V279,1),"")</f>
      </c>
      <c r="X279" s="0">
        <f>IF(COUNTA(B279:L279)=0,"",IF(OR(NOT(IF(ISNUMBER($E$6),AND($E$6&gt;=0,$E$6&lt;=6,$E$6=INT($E$6)),FALSE)),O279=0,R279=0,T279&gt;0,AND(P279&lt;&gt;"DIMENSIONES",P279&lt;&gt;"DIRECTA",P279&lt;&gt;"SIN LÍNEAS",P279&lt;&gt;"CABECERA"),AND(OR(P279="DIRECTA",P279="DIMENSIONES"),U279=0),AND(OR(P279="SIN LÍNEAS",P279="CABECERA"),COUNTA(G279:J279)&gt;0)),2,IF(OR(P279="SIN LÍNEAS",Y279&gt;0,Z279&gt;0,AA279&gt;0,SUMPRODUCT(--('LÉEME'!$B$65:$B$86=AC279))&lt;&gt;1),1,0)))</f>
      </c>
      <c r="Y279" s="0" t="n">
        <f>IF(AND(P279="DIMENSIONES",S279="m²",COUNT(H279:J279)=3),1,0)</f>
        <v>0</v>
      </c>
      <c r="Z279" s="0" t="n">
        <f>IF(IF(ISNUMBER($E$6),AND($E$6&gt;=0,$E$6&lt;=6,$E$6=INT($E$6)),FALSE),IF(SUM(IF(ISNUMBER(F279),IF(ABS(F279-ROUND(F279,$E$6))&gt;0.00000001,1,0),0),IF(ISNUMBER(G279),IF(ABS(G279-ROUND(G279,$E$6))&gt;0.00000001,1,0),0),IF(ISNUMBER(H279),IF(ABS(H279-ROUND(H279,$E$6))&gt;0.00000001,1,0),0),IF(ISNUMBER(I279),IF(ABS(I279-ROUND(I279,$E$6))&gt;0.00000001,1,0),0),IF(ISNUMBER(J279),IF(ABS(J279-ROUND(J279,$E$6))&gt;0.00000001,1,0),0),IF(ISNUMBER(M279),IF(ABS(M279-ROUND(M279,$E$6))&gt;0.00000001,1,0),0))&gt;0,1,0),0)</f>
        <v>0</v>
      </c>
      <c r="AA279" s="0" t="n">
        <f>IF(COUNTA(B279:L279)=0,0,IF(OR(AND(ISNUMBER(F279),F279&lt;0),AND(U279=1,OR(SUM(IF(ISNUMBER(G279),IF(G279=0,1,0),0),IF(ISNUMBER(H279),IF(H279=0,1,0),0),IF(ISNUMBER(I279),IF(I279=0,1,0),0),IF(ISNUMBER(J279),IF(J279=0,1,0),0))&gt;0,COUNTIFS(G279:J279,"&lt;0")&gt;0)),AND(P279="DIMENSIONES",U279=1,OR(AND(S279="m",COUNT(H279:J279)&lt;&gt;1),AND(S279="m²",COUNT(H279:J279)&lt;&gt;2,Y279=0),AND(S279="m³",COUNT(H279:J279)&lt;&gt;3),AND(S279="ud",COUNT(H279:J279)&gt;0))),AND(P279="DIRECTA",OR(S279="m",S279="m²",S279="m³"))),1,0))</f>
        <v>0</v>
      </c>
      <c r="AB279" s="0">
        <f>IF(LEN(TRIM(E279&amp;""))&gt;0,E279,IF(R279&gt;0,INDEX($E$13:$E$512,R279),""))</f>
      </c>
      <c r="AC279" s="0">
        <f>UPPER(SUBSTITUTE(SUBSTITUTE(SUBSTITUTE(SUBSTITUTE(SUBSTITUTE(TRIM(AB279),"²","2"),"³","3"),"^",""),".","")," ",""))</f>
      </c>
    </row>
    <row r="280" ht="35" customHeight="1">
      <c r="B280" s="35"/>
      <c r="C280" s="35"/>
      <c r="D280" s="37"/>
      <c r="E280" s="35"/>
      <c r="F280" s="38"/>
      <c r="G280" s="38"/>
      <c r="H280" s="38"/>
      <c r="I280" s="38"/>
      <c r="J280" s="38"/>
      <c r="K280" s="35"/>
      <c r="L280" s="35"/>
      <c r="M280" s="39">
        <f>IF(U280&lt;&gt;1,"",IF(P280="DIRECTA",G280,IF(ISNUMBER(G280),G280,1)*IF(ISNUMBER(H280),H280,1)*IF(ISNUMBER(I280),I280,1)*IF(ISNUMBER(J280),J280,1)))</f>
      </c>
      <c r="N280" s="30">
        <f>IF(COUNTA(B280:L280)=0,"",IF(X280=0,IF(P280="CABECERA","VERDE · Fila descriptiva; la suma usa las líneas del ID","VERDE · Datos numéricos interpretables"),IF(X280=2,"ROJO · ","ÁMBAR · ")&amp;IF(NOT(IF(ISNUMBER($E$6),AND($E$6&gt;=0,$E$6&lt;=6,$E$6=INT($E$6)),FALSE)),"Indicamos entre 0 y 6 decimales en E6. ","")&amp;IF(O280=0,"Falta un ID numérico. ","")&amp;IF(R280=0,"Faltan capítulo, código, unidad o total numérico del ID. ","")&amp;IF(T280&gt;0,"Los datos o el total del ID se contradicen. ","")&amp;IF(AND(P280&lt;&gt;"DIMENSIONES",P280&lt;&gt;"DIRECTA",P280&lt;&gt;"SIN LÍNEAS",P280&lt;&gt;"CABECERA"),"Tipo de fila no reconocido. ","")&amp;IF(AND(OR(P280="SIN LÍNEAS",P280="CABECERA"),COUNTA(G280:J280)&gt;0),"La fila dice que no mide, pero contiene medidas. ","")&amp;IF(AND(OR(P280="DIRECTA",P280="DIMENSIONES"),U280=0),"Línea incompleta o con medidas no numéricas. ","")&amp;IF(P280="SIN LÍNEAS","No constan medidas de esta fila. ","")&amp;IF(Y280&gt;0,"Parece m³: tres dimensiones bajo m². ","")&amp;IF(AND(AB280&lt;&gt;"",SUMPRODUCT(--('LÉEME'!$B$65:$B$86=AC280))&lt;&gt;1),"Revisamos el significado de la unidad. ","")&amp;IF(Z280&gt;0,"Más precisión que los decimales indicados: cotejamos el original. ","")&amp;IF(AA280&gt;0,"Revisamos dimensiones, cantidad directa, ceros o deducción. ","")))</f>
      </c>
      <c r="O280" s="0" t="n">
        <f>IF(ISNUMBER(K280),IF(AND(K280&gt;0,K280=INT(K280),K280&lt;=999999),K280,0),0)</f>
        <v>0</v>
      </c>
      <c r="P280" s="0">
        <f>IF(COUNTA(B280:L280)=0,"",IF(L280="",IF(COUNTA(G280:J280)&gt;0,"DIMENSIONES","SIN LÍNEAS"),UPPER(TRIM(L280))))</f>
      </c>
      <c r="Q280" s="0">
        <f>IF(AND(O280&gt;0,LEN(TRIM(B280&amp;""))&gt;0,LEN(TRIM(C280&amp;""))&gt;0,LEN(TRIM(E280&amp;""))&gt;0,ISNUMBER(F280)),O280,"")</f>
      </c>
      <c r="R280" s="0" t="n">
        <f>IF(O280=0,0,IF(COUNTIFS($Q$13:$Q$512,O280)&gt;0,MATCH(O280,$Q$13:$Q$512,0),0))</f>
        <v>0</v>
      </c>
      <c r="S280" s="0">
        <f>IF(AB280="","",IF(SUMPRODUCT(--('LÉEME'!$B$65:$B$86=AC280))=1,INDEX('LÉEME'!$C$65:$C$86,MATCH(AC280,'LÉEME'!$B$65:$B$86,0)),UPPER(TRIM(AB280))))</f>
      </c>
      <c r="T280" s="0" t="n">
        <f>IF(R280=0,0,IF(OR(AND(LEN(TRIM(B280&amp;""))&gt;0,UPPER(TRIM(B280&amp;""))&lt;&gt;UPPER(TRIM(INDEX($B$13:$B$512,R280)&amp;""))),AND(LEN(TRIM(C280&amp;""))&gt;0,UPPER(TRIM(C280&amp;""))&lt;&gt;UPPER(TRIM(INDEX($C$13:$C$512,R280)&amp;""))),AND(LEN(TRIM(E280&amp;""))&gt;0,S280&lt;&gt;INDEX($S$13:$S$512,R280)),AND(F280&lt;&gt;"",NOT(ISNUMBER(F280)))),1,IF(ISNUMBER(F280),IF(ABS(F280-INDEX($F$13:$F$512,R280))&gt;0.00000001,1,0),0)))</f>
        <v>0</v>
      </c>
      <c r="U280" s="0" t="n">
        <f>IF(P280="DIRECTA",IF(AND(ISNUMBER(G280),COUNTA(H280:J280)=0),1,0),IF(P280="DIMENSIONES",IF(AND(COUNT(G280:J280)&gt;0,COUNTA(G280:J280)=COUNT(G280:J280)),1,0),0))</f>
        <v>0</v>
      </c>
      <c r="V280" s="0" t="n">
        <f>IF(O280=0,0,IF(COUNTIFS($O$13:O280,O280)=1,1,0))</f>
        <v>0</v>
      </c>
      <c r="W280" s="0">
        <f>IF(V280=1,COUNTIFS($V$13:V280,1),"")</f>
      </c>
      <c r="X280" s="0">
        <f>IF(COUNTA(B280:L280)=0,"",IF(OR(NOT(IF(ISNUMBER($E$6),AND($E$6&gt;=0,$E$6&lt;=6,$E$6=INT($E$6)),FALSE)),O280=0,R280=0,T280&gt;0,AND(P280&lt;&gt;"DIMENSIONES",P280&lt;&gt;"DIRECTA",P280&lt;&gt;"SIN LÍNEAS",P280&lt;&gt;"CABECERA"),AND(OR(P280="DIRECTA",P280="DIMENSIONES"),U280=0),AND(OR(P280="SIN LÍNEAS",P280="CABECERA"),COUNTA(G280:J280)&gt;0)),2,IF(OR(P280="SIN LÍNEAS",Y280&gt;0,Z280&gt;0,AA280&gt;0,SUMPRODUCT(--('LÉEME'!$B$65:$B$86=AC280))&lt;&gt;1),1,0)))</f>
      </c>
      <c r="Y280" s="0" t="n">
        <f>IF(AND(P280="DIMENSIONES",S280="m²",COUNT(H280:J280)=3),1,0)</f>
        <v>0</v>
      </c>
      <c r="Z280" s="0" t="n">
        <f>IF(IF(ISNUMBER($E$6),AND($E$6&gt;=0,$E$6&lt;=6,$E$6=INT($E$6)),FALSE),IF(SUM(IF(ISNUMBER(F280),IF(ABS(F280-ROUND(F280,$E$6))&gt;0.00000001,1,0),0),IF(ISNUMBER(G280),IF(ABS(G280-ROUND(G280,$E$6))&gt;0.00000001,1,0),0),IF(ISNUMBER(H280),IF(ABS(H280-ROUND(H280,$E$6))&gt;0.00000001,1,0),0),IF(ISNUMBER(I280),IF(ABS(I280-ROUND(I280,$E$6))&gt;0.00000001,1,0),0),IF(ISNUMBER(J280),IF(ABS(J280-ROUND(J280,$E$6))&gt;0.00000001,1,0),0),IF(ISNUMBER(M280),IF(ABS(M280-ROUND(M280,$E$6))&gt;0.00000001,1,0),0))&gt;0,1,0),0)</f>
        <v>0</v>
      </c>
      <c r="AA280" s="0" t="n">
        <f>IF(COUNTA(B280:L280)=0,0,IF(OR(AND(ISNUMBER(F280),F280&lt;0),AND(U280=1,OR(SUM(IF(ISNUMBER(G280),IF(G280=0,1,0),0),IF(ISNUMBER(H280),IF(H280=0,1,0),0),IF(ISNUMBER(I280),IF(I280=0,1,0),0),IF(ISNUMBER(J280),IF(J280=0,1,0),0))&gt;0,COUNTIFS(G280:J280,"&lt;0")&gt;0)),AND(P280="DIMENSIONES",U280=1,OR(AND(S280="m",COUNT(H280:J280)&lt;&gt;1),AND(S280="m²",COUNT(H280:J280)&lt;&gt;2,Y280=0),AND(S280="m³",COUNT(H280:J280)&lt;&gt;3),AND(S280="ud",COUNT(H280:J280)&gt;0))),AND(P280="DIRECTA",OR(S280="m",S280="m²",S280="m³"))),1,0))</f>
        <v>0</v>
      </c>
      <c r="AB280" s="0">
        <f>IF(LEN(TRIM(E280&amp;""))&gt;0,E280,IF(R280&gt;0,INDEX($E$13:$E$512,R280),""))</f>
      </c>
      <c r="AC280" s="0">
        <f>UPPER(SUBSTITUTE(SUBSTITUTE(SUBSTITUTE(SUBSTITUTE(SUBSTITUTE(TRIM(AB280),"²","2"),"³","3"),"^",""),".","")," ",""))</f>
      </c>
    </row>
    <row r="281" ht="35" customHeight="1">
      <c r="B281" s="35"/>
      <c r="C281" s="35"/>
      <c r="D281" s="37"/>
      <c r="E281" s="35"/>
      <c r="F281" s="38"/>
      <c r="G281" s="38"/>
      <c r="H281" s="38"/>
      <c r="I281" s="38"/>
      <c r="J281" s="38"/>
      <c r="K281" s="35"/>
      <c r="L281" s="35"/>
      <c r="M281" s="39">
        <f>IF(U281&lt;&gt;1,"",IF(P281="DIRECTA",G281,IF(ISNUMBER(G281),G281,1)*IF(ISNUMBER(H281),H281,1)*IF(ISNUMBER(I281),I281,1)*IF(ISNUMBER(J281),J281,1)))</f>
      </c>
      <c r="N281" s="30">
        <f>IF(COUNTA(B281:L281)=0,"",IF(X281=0,IF(P281="CABECERA","VERDE · Fila descriptiva; la suma usa las líneas del ID","VERDE · Datos numéricos interpretables"),IF(X281=2,"ROJO · ","ÁMBAR · ")&amp;IF(NOT(IF(ISNUMBER($E$6),AND($E$6&gt;=0,$E$6&lt;=6,$E$6=INT($E$6)),FALSE)),"Indicamos entre 0 y 6 decimales en E6. ","")&amp;IF(O281=0,"Falta un ID numérico. ","")&amp;IF(R281=0,"Faltan capítulo, código, unidad o total numérico del ID. ","")&amp;IF(T281&gt;0,"Los datos o el total del ID se contradicen. ","")&amp;IF(AND(P281&lt;&gt;"DIMENSIONES",P281&lt;&gt;"DIRECTA",P281&lt;&gt;"SIN LÍNEAS",P281&lt;&gt;"CABECERA"),"Tipo de fila no reconocido. ","")&amp;IF(AND(OR(P281="SIN LÍNEAS",P281="CABECERA"),COUNTA(G281:J281)&gt;0),"La fila dice que no mide, pero contiene medidas. ","")&amp;IF(AND(OR(P281="DIRECTA",P281="DIMENSIONES"),U281=0),"Línea incompleta o con medidas no numéricas. ","")&amp;IF(P281="SIN LÍNEAS","No constan medidas de esta fila. ","")&amp;IF(Y281&gt;0,"Parece m³: tres dimensiones bajo m². ","")&amp;IF(AND(AB281&lt;&gt;"",SUMPRODUCT(--('LÉEME'!$B$65:$B$86=AC281))&lt;&gt;1),"Revisamos el significado de la unidad. ","")&amp;IF(Z281&gt;0,"Más precisión que los decimales indicados: cotejamos el original. ","")&amp;IF(AA281&gt;0,"Revisamos dimensiones, cantidad directa, ceros o deducción. ","")))</f>
      </c>
      <c r="O281" s="0" t="n">
        <f>IF(ISNUMBER(K281),IF(AND(K281&gt;0,K281=INT(K281),K281&lt;=999999),K281,0),0)</f>
        <v>0</v>
      </c>
      <c r="P281" s="0">
        <f>IF(COUNTA(B281:L281)=0,"",IF(L281="",IF(COUNTA(G281:J281)&gt;0,"DIMENSIONES","SIN LÍNEAS"),UPPER(TRIM(L281))))</f>
      </c>
      <c r="Q281" s="0">
        <f>IF(AND(O281&gt;0,LEN(TRIM(B281&amp;""))&gt;0,LEN(TRIM(C281&amp;""))&gt;0,LEN(TRIM(E281&amp;""))&gt;0,ISNUMBER(F281)),O281,"")</f>
      </c>
      <c r="R281" s="0" t="n">
        <f>IF(O281=0,0,IF(COUNTIFS($Q$13:$Q$512,O281)&gt;0,MATCH(O281,$Q$13:$Q$512,0),0))</f>
        <v>0</v>
      </c>
      <c r="S281" s="0">
        <f>IF(AB281="","",IF(SUMPRODUCT(--('LÉEME'!$B$65:$B$86=AC281))=1,INDEX('LÉEME'!$C$65:$C$86,MATCH(AC281,'LÉEME'!$B$65:$B$86,0)),UPPER(TRIM(AB281))))</f>
      </c>
      <c r="T281" s="0" t="n">
        <f>IF(R281=0,0,IF(OR(AND(LEN(TRIM(B281&amp;""))&gt;0,UPPER(TRIM(B281&amp;""))&lt;&gt;UPPER(TRIM(INDEX($B$13:$B$512,R281)&amp;""))),AND(LEN(TRIM(C281&amp;""))&gt;0,UPPER(TRIM(C281&amp;""))&lt;&gt;UPPER(TRIM(INDEX($C$13:$C$512,R281)&amp;""))),AND(LEN(TRIM(E281&amp;""))&gt;0,S281&lt;&gt;INDEX($S$13:$S$512,R281)),AND(F281&lt;&gt;"",NOT(ISNUMBER(F281)))),1,IF(ISNUMBER(F281),IF(ABS(F281-INDEX($F$13:$F$512,R281))&gt;0.00000001,1,0),0)))</f>
        <v>0</v>
      </c>
      <c r="U281" s="0" t="n">
        <f>IF(P281="DIRECTA",IF(AND(ISNUMBER(G281),COUNTA(H281:J281)=0),1,0),IF(P281="DIMENSIONES",IF(AND(COUNT(G281:J281)&gt;0,COUNTA(G281:J281)=COUNT(G281:J281)),1,0),0))</f>
        <v>0</v>
      </c>
      <c r="V281" s="0" t="n">
        <f>IF(O281=0,0,IF(COUNTIFS($O$13:O281,O281)=1,1,0))</f>
        <v>0</v>
      </c>
      <c r="W281" s="0">
        <f>IF(V281=1,COUNTIFS($V$13:V281,1),"")</f>
      </c>
      <c r="X281" s="0">
        <f>IF(COUNTA(B281:L281)=0,"",IF(OR(NOT(IF(ISNUMBER($E$6),AND($E$6&gt;=0,$E$6&lt;=6,$E$6=INT($E$6)),FALSE)),O281=0,R281=0,T281&gt;0,AND(P281&lt;&gt;"DIMENSIONES",P281&lt;&gt;"DIRECTA",P281&lt;&gt;"SIN LÍNEAS",P281&lt;&gt;"CABECERA"),AND(OR(P281="DIRECTA",P281="DIMENSIONES"),U281=0),AND(OR(P281="SIN LÍNEAS",P281="CABECERA"),COUNTA(G281:J281)&gt;0)),2,IF(OR(P281="SIN LÍNEAS",Y281&gt;0,Z281&gt;0,AA281&gt;0,SUMPRODUCT(--('LÉEME'!$B$65:$B$86=AC281))&lt;&gt;1),1,0)))</f>
      </c>
      <c r="Y281" s="0" t="n">
        <f>IF(AND(P281="DIMENSIONES",S281="m²",COUNT(H281:J281)=3),1,0)</f>
        <v>0</v>
      </c>
      <c r="Z281" s="0" t="n">
        <f>IF(IF(ISNUMBER($E$6),AND($E$6&gt;=0,$E$6&lt;=6,$E$6=INT($E$6)),FALSE),IF(SUM(IF(ISNUMBER(F281),IF(ABS(F281-ROUND(F281,$E$6))&gt;0.00000001,1,0),0),IF(ISNUMBER(G281),IF(ABS(G281-ROUND(G281,$E$6))&gt;0.00000001,1,0),0),IF(ISNUMBER(H281),IF(ABS(H281-ROUND(H281,$E$6))&gt;0.00000001,1,0),0),IF(ISNUMBER(I281),IF(ABS(I281-ROUND(I281,$E$6))&gt;0.00000001,1,0),0),IF(ISNUMBER(J281),IF(ABS(J281-ROUND(J281,$E$6))&gt;0.00000001,1,0),0),IF(ISNUMBER(M281),IF(ABS(M281-ROUND(M281,$E$6))&gt;0.00000001,1,0),0))&gt;0,1,0),0)</f>
        <v>0</v>
      </c>
      <c r="AA281" s="0" t="n">
        <f>IF(COUNTA(B281:L281)=0,0,IF(OR(AND(ISNUMBER(F281),F281&lt;0),AND(U281=1,OR(SUM(IF(ISNUMBER(G281),IF(G281=0,1,0),0),IF(ISNUMBER(H281),IF(H281=0,1,0),0),IF(ISNUMBER(I281),IF(I281=0,1,0),0),IF(ISNUMBER(J281),IF(J281=0,1,0),0))&gt;0,COUNTIFS(G281:J281,"&lt;0")&gt;0)),AND(P281="DIMENSIONES",U281=1,OR(AND(S281="m",COUNT(H281:J281)&lt;&gt;1),AND(S281="m²",COUNT(H281:J281)&lt;&gt;2,Y281=0),AND(S281="m³",COUNT(H281:J281)&lt;&gt;3),AND(S281="ud",COUNT(H281:J281)&gt;0))),AND(P281="DIRECTA",OR(S281="m",S281="m²",S281="m³"))),1,0))</f>
        <v>0</v>
      </c>
      <c r="AB281" s="0">
        <f>IF(LEN(TRIM(E281&amp;""))&gt;0,E281,IF(R281&gt;0,INDEX($E$13:$E$512,R281),""))</f>
      </c>
      <c r="AC281" s="0">
        <f>UPPER(SUBSTITUTE(SUBSTITUTE(SUBSTITUTE(SUBSTITUTE(SUBSTITUTE(TRIM(AB281),"²","2"),"³","3"),"^",""),".","")," ",""))</f>
      </c>
    </row>
    <row r="282" ht="35" customHeight="1">
      <c r="B282" s="35"/>
      <c r="C282" s="35"/>
      <c r="D282" s="37"/>
      <c r="E282" s="35"/>
      <c r="F282" s="38"/>
      <c r="G282" s="38"/>
      <c r="H282" s="38"/>
      <c r="I282" s="38"/>
      <c r="J282" s="38"/>
      <c r="K282" s="35"/>
      <c r="L282" s="35"/>
      <c r="M282" s="39">
        <f>IF(U282&lt;&gt;1,"",IF(P282="DIRECTA",G282,IF(ISNUMBER(G282),G282,1)*IF(ISNUMBER(H282),H282,1)*IF(ISNUMBER(I282),I282,1)*IF(ISNUMBER(J282),J282,1)))</f>
      </c>
      <c r="N282" s="30">
        <f>IF(COUNTA(B282:L282)=0,"",IF(X282=0,IF(P282="CABECERA","VERDE · Fila descriptiva; la suma usa las líneas del ID","VERDE · Datos numéricos interpretables"),IF(X282=2,"ROJO · ","ÁMBAR · ")&amp;IF(NOT(IF(ISNUMBER($E$6),AND($E$6&gt;=0,$E$6&lt;=6,$E$6=INT($E$6)),FALSE)),"Indicamos entre 0 y 6 decimales en E6. ","")&amp;IF(O282=0,"Falta un ID numérico. ","")&amp;IF(R282=0,"Faltan capítulo, código, unidad o total numérico del ID. ","")&amp;IF(T282&gt;0,"Los datos o el total del ID se contradicen. ","")&amp;IF(AND(P282&lt;&gt;"DIMENSIONES",P282&lt;&gt;"DIRECTA",P282&lt;&gt;"SIN LÍNEAS",P282&lt;&gt;"CABECERA"),"Tipo de fila no reconocido. ","")&amp;IF(AND(OR(P282="SIN LÍNEAS",P282="CABECERA"),COUNTA(G282:J282)&gt;0),"La fila dice que no mide, pero contiene medidas. ","")&amp;IF(AND(OR(P282="DIRECTA",P282="DIMENSIONES"),U282=0),"Línea incompleta o con medidas no numéricas. ","")&amp;IF(P282="SIN LÍNEAS","No constan medidas de esta fila. ","")&amp;IF(Y282&gt;0,"Parece m³: tres dimensiones bajo m². ","")&amp;IF(AND(AB282&lt;&gt;"",SUMPRODUCT(--('LÉEME'!$B$65:$B$86=AC282))&lt;&gt;1),"Revisamos el significado de la unidad. ","")&amp;IF(Z282&gt;0,"Más precisión que los decimales indicados: cotejamos el original. ","")&amp;IF(AA282&gt;0,"Revisamos dimensiones, cantidad directa, ceros o deducción. ","")))</f>
      </c>
      <c r="O282" s="0" t="n">
        <f>IF(ISNUMBER(K282),IF(AND(K282&gt;0,K282=INT(K282),K282&lt;=999999),K282,0),0)</f>
        <v>0</v>
      </c>
      <c r="P282" s="0">
        <f>IF(COUNTA(B282:L282)=0,"",IF(L282="",IF(COUNTA(G282:J282)&gt;0,"DIMENSIONES","SIN LÍNEAS"),UPPER(TRIM(L282))))</f>
      </c>
      <c r="Q282" s="0">
        <f>IF(AND(O282&gt;0,LEN(TRIM(B282&amp;""))&gt;0,LEN(TRIM(C282&amp;""))&gt;0,LEN(TRIM(E282&amp;""))&gt;0,ISNUMBER(F282)),O282,"")</f>
      </c>
      <c r="R282" s="0" t="n">
        <f>IF(O282=0,0,IF(COUNTIFS($Q$13:$Q$512,O282)&gt;0,MATCH(O282,$Q$13:$Q$512,0),0))</f>
        <v>0</v>
      </c>
      <c r="S282" s="0">
        <f>IF(AB282="","",IF(SUMPRODUCT(--('LÉEME'!$B$65:$B$86=AC282))=1,INDEX('LÉEME'!$C$65:$C$86,MATCH(AC282,'LÉEME'!$B$65:$B$86,0)),UPPER(TRIM(AB282))))</f>
      </c>
      <c r="T282" s="0" t="n">
        <f>IF(R282=0,0,IF(OR(AND(LEN(TRIM(B282&amp;""))&gt;0,UPPER(TRIM(B282&amp;""))&lt;&gt;UPPER(TRIM(INDEX($B$13:$B$512,R282)&amp;""))),AND(LEN(TRIM(C282&amp;""))&gt;0,UPPER(TRIM(C282&amp;""))&lt;&gt;UPPER(TRIM(INDEX($C$13:$C$512,R282)&amp;""))),AND(LEN(TRIM(E282&amp;""))&gt;0,S282&lt;&gt;INDEX($S$13:$S$512,R282)),AND(F282&lt;&gt;"",NOT(ISNUMBER(F282)))),1,IF(ISNUMBER(F282),IF(ABS(F282-INDEX($F$13:$F$512,R282))&gt;0.00000001,1,0),0)))</f>
        <v>0</v>
      </c>
      <c r="U282" s="0" t="n">
        <f>IF(P282="DIRECTA",IF(AND(ISNUMBER(G282),COUNTA(H282:J282)=0),1,0),IF(P282="DIMENSIONES",IF(AND(COUNT(G282:J282)&gt;0,COUNTA(G282:J282)=COUNT(G282:J282)),1,0),0))</f>
        <v>0</v>
      </c>
      <c r="V282" s="0" t="n">
        <f>IF(O282=0,0,IF(COUNTIFS($O$13:O282,O282)=1,1,0))</f>
        <v>0</v>
      </c>
      <c r="W282" s="0">
        <f>IF(V282=1,COUNTIFS($V$13:V282,1),"")</f>
      </c>
      <c r="X282" s="0">
        <f>IF(COUNTA(B282:L282)=0,"",IF(OR(NOT(IF(ISNUMBER($E$6),AND($E$6&gt;=0,$E$6&lt;=6,$E$6=INT($E$6)),FALSE)),O282=0,R282=0,T282&gt;0,AND(P282&lt;&gt;"DIMENSIONES",P282&lt;&gt;"DIRECTA",P282&lt;&gt;"SIN LÍNEAS",P282&lt;&gt;"CABECERA"),AND(OR(P282="DIRECTA",P282="DIMENSIONES"),U282=0),AND(OR(P282="SIN LÍNEAS",P282="CABECERA"),COUNTA(G282:J282)&gt;0)),2,IF(OR(P282="SIN LÍNEAS",Y282&gt;0,Z282&gt;0,AA282&gt;0,SUMPRODUCT(--('LÉEME'!$B$65:$B$86=AC282))&lt;&gt;1),1,0)))</f>
      </c>
      <c r="Y282" s="0" t="n">
        <f>IF(AND(P282="DIMENSIONES",S282="m²",COUNT(H282:J282)=3),1,0)</f>
        <v>0</v>
      </c>
      <c r="Z282" s="0" t="n">
        <f>IF(IF(ISNUMBER($E$6),AND($E$6&gt;=0,$E$6&lt;=6,$E$6=INT($E$6)),FALSE),IF(SUM(IF(ISNUMBER(F282),IF(ABS(F282-ROUND(F282,$E$6))&gt;0.00000001,1,0),0),IF(ISNUMBER(G282),IF(ABS(G282-ROUND(G282,$E$6))&gt;0.00000001,1,0),0),IF(ISNUMBER(H282),IF(ABS(H282-ROUND(H282,$E$6))&gt;0.00000001,1,0),0),IF(ISNUMBER(I282),IF(ABS(I282-ROUND(I282,$E$6))&gt;0.00000001,1,0),0),IF(ISNUMBER(J282),IF(ABS(J282-ROUND(J282,$E$6))&gt;0.00000001,1,0),0),IF(ISNUMBER(M282),IF(ABS(M282-ROUND(M282,$E$6))&gt;0.00000001,1,0),0))&gt;0,1,0),0)</f>
        <v>0</v>
      </c>
      <c r="AA282" s="0" t="n">
        <f>IF(COUNTA(B282:L282)=0,0,IF(OR(AND(ISNUMBER(F282),F282&lt;0),AND(U282=1,OR(SUM(IF(ISNUMBER(G282),IF(G282=0,1,0),0),IF(ISNUMBER(H282),IF(H282=0,1,0),0),IF(ISNUMBER(I282),IF(I282=0,1,0),0),IF(ISNUMBER(J282),IF(J282=0,1,0),0))&gt;0,COUNTIFS(G282:J282,"&lt;0")&gt;0)),AND(P282="DIMENSIONES",U282=1,OR(AND(S282="m",COUNT(H282:J282)&lt;&gt;1),AND(S282="m²",COUNT(H282:J282)&lt;&gt;2,Y282=0),AND(S282="m³",COUNT(H282:J282)&lt;&gt;3),AND(S282="ud",COUNT(H282:J282)&gt;0))),AND(P282="DIRECTA",OR(S282="m",S282="m²",S282="m³"))),1,0))</f>
        <v>0</v>
      </c>
      <c r="AB282" s="0">
        <f>IF(LEN(TRIM(E282&amp;""))&gt;0,E282,IF(R282&gt;0,INDEX($E$13:$E$512,R282),""))</f>
      </c>
      <c r="AC282" s="0">
        <f>UPPER(SUBSTITUTE(SUBSTITUTE(SUBSTITUTE(SUBSTITUTE(SUBSTITUTE(TRIM(AB282),"²","2"),"³","3"),"^",""),".","")," ",""))</f>
      </c>
    </row>
    <row r="283" ht="35" customHeight="1">
      <c r="B283" s="35"/>
      <c r="C283" s="35"/>
      <c r="D283" s="37"/>
      <c r="E283" s="35"/>
      <c r="F283" s="38"/>
      <c r="G283" s="38"/>
      <c r="H283" s="38"/>
      <c r="I283" s="38"/>
      <c r="J283" s="38"/>
      <c r="K283" s="35"/>
      <c r="L283" s="35"/>
      <c r="M283" s="39">
        <f>IF(U283&lt;&gt;1,"",IF(P283="DIRECTA",G283,IF(ISNUMBER(G283),G283,1)*IF(ISNUMBER(H283),H283,1)*IF(ISNUMBER(I283),I283,1)*IF(ISNUMBER(J283),J283,1)))</f>
      </c>
      <c r="N283" s="30">
        <f>IF(COUNTA(B283:L283)=0,"",IF(X283=0,IF(P283="CABECERA","VERDE · Fila descriptiva; la suma usa las líneas del ID","VERDE · Datos numéricos interpretables"),IF(X283=2,"ROJO · ","ÁMBAR · ")&amp;IF(NOT(IF(ISNUMBER($E$6),AND($E$6&gt;=0,$E$6&lt;=6,$E$6=INT($E$6)),FALSE)),"Indicamos entre 0 y 6 decimales en E6. ","")&amp;IF(O283=0,"Falta un ID numérico. ","")&amp;IF(R283=0,"Faltan capítulo, código, unidad o total numérico del ID. ","")&amp;IF(T283&gt;0,"Los datos o el total del ID se contradicen. ","")&amp;IF(AND(P283&lt;&gt;"DIMENSIONES",P283&lt;&gt;"DIRECTA",P283&lt;&gt;"SIN LÍNEAS",P283&lt;&gt;"CABECERA"),"Tipo de fila no reconocido. ","")&amp;IF(AND(OR(P283="SIN LÍNEAS",P283="CABECERA"),COUNTA(G283:J283)&gt;0),"La fila dice que no mide, pero contiene medidas. ","")&amp;IF(AND(OR(P283="DIRECTA",P283="DIMENSIONES"),U283=0),"Línea incompleta o con medidas no numéricas. ","")&amp;IF(P283="SIN LÍNEAS","No constan medidas de esta fila. ","")&amp;IF(Y283&gt;0,"Parece m³: tres dimensiones bajo m². ","")&amp;IF(AND(AB283&lt;&gt;"",SUMPRODUCT(--('LÉEME'!$B$65:$B$86=AC283))&lt;&gt;1),"Revisamos el significado de la unidad. ","")&amp;IF(Z283&gt;0,"Más precisión que los decimales indicados: cotejamos el original. ","")&amp;IF(AA283&gt;0,"Revisamos dimensiones, cantidad directa, ceros o deducción. ","")))</f>
      </c>
      <c r="O283" s="0" t="n">
        <f>IF(ISNUMBER(K283),IF(AND(K283&gt;0,K283=INT(K283),K283&lt;=999999),K283,0),0)</f>
        <v>0</v>
      </c>
      <c r="P283" s="0">
        <f>IF(COUNTA(B283:L283)=0,"",IF(L283="",IF(COUNTA(G283:J283)&gt;0,"DIMENSIONES","SIN LÍNEAS"),UPPER(TRIM(L283))))</f>
      </c>
      <c r="Q283" s="0">
        <f>IF(AND(O283&gt;0,LEN(TRIM(B283&amp;""))&gt;0,LEN(TRIM(C283&amp;""))&gt;0,LEN(TRIM(E283&amp;""))&gt;0,ISNUMBER(F283)),O283,"")</f>
      </c>
      <c r="R283" s="0" t="n">
        <f>IF(O283=0,0,IF(COUNTIFS($Q$13:$Q$512,O283)&gt;0,MATCH(O283,$Q$13:$Q$512,0),0))</f>
        <v>0</v>
      </c>
      <c r="S283" s="0">
        <f>IF(AB283="","",IF(SUMPRODUCT(--('LÉEME'!$B$65:$B$86=AC283))=1,INDEX('LÉEME'!$C$65:$C$86,MATCH(AC283,'LÉEME'!$B$65:$B$86,0)),UPPER(TRIM(AB283))))</f>
      </c>
      <c r="T283" s="0" t="n">
        <f>IF(R283=0,0,IF(OR(AND(LEN(TRIM(B283&amp;""))&gt;0,UPPER(TRIM(B283&amp;""))&lt;&gt;UPPER(TRIM(INDEX($B$13:$B$512,R283)&amp;""))),AND(LEN(TRIM(C283&amp;""))&gt;0,UPPER(TRIM(C283&amp;""))&lt;&gt;UPPER(TRIM(INDEX($C$13:$C$512,R283)&amp;""))),AND(LEN(TRIM(E283&amp;""))&gt;0,S283&lt;&gt;INDEX($S$13:$S$512,R283)),AND(F283&lt;&gt;"",NOT(ISNUMBER(F283)))),1,IF(ISNUMBER(F283),IF(ABS(F283-INDEX($F$13:$F$512,R283))&gt;0.00000001,1,0),0)))</f>
        <v>0</v>
      </c>
      <c r="U283" s="0" t="n">
        <f>IF(P283="DIRECTA",IF(AND(ISNUMBER(G283),COUNTA(H283:J283)=0),1,0),IF(P283="DIMENSIONES",IF(AND(COUNT(G283:J283)&gt;0,COUNTA(G283:J283)=COUNT(G283:J283)),1,0),0))</f>
        <v>0</v>
      </c>
      <c r="V283" s="0" t="n">
        <f>IF(O283=0,0,IF(COUNTIFS($O$13:O283,O283)=1,1,0))</f>
        <v>0</v>
      </c>
      <c r="W283" s="0">
        <f>IF(V283=1,COUNTIFS($V$13:V283,1),"")</f>
      </c>
      <c r="X283" s="0">
        <f>IF(COUNTA(B283:L283)=0,"",IF(OR(NOT(IF(ISNUMBER($E$6),AND($E$6&gt;=0,$E$6&lt;=6,$E$6=INT($E$6)),FALSE)),O283=0,R283=0,T283&gt;0,AND(P283&lt;&gt;"DIMENSIONES",P283&lt;&gt;"DIRECTA",P283&lt;&gt;"SIN LÍNEAS",P283&lt;&gt;"CABECERA"),AND(OR(P283="DIRECTA",P283="DIMENSIONES"),U283=0),AND(OR(P283="SIN LÍNEAS",P283="CABECERA"),COUNTA(G283:J283)&gt;0)),2,IF(OR(P283="SIN LÍNEAS",Y283&gt;0,Z283&gt;0,AA283&gt;0,SUMPRODUCT(--('LÉEME'!$B$65:$B$86=AC283))&lt;&gt;1),1,0)))</f>
      </c>
      <c r="Y283" s="0" t="n">
        <f>IF(AND(P283="DIMENSIONES",S283="m²",COUNT(H283:J283)=3),1,0)</f>
        <v>0</v>
      </c>
      <c r="Z283" s="0" t="n">
        <f>IF(IF(ISNUMBER($E$6),AND($E$6&gt;=0,$E$6&lt;=6,$E$6=INT($E$6)),FALSE),IF(SUM(IF(ISNUMBER(F283),IF(ABS(F283-ROUND(F283,$E$6))&gt;0.00000001,1,0),0),IF(ISNUMBER(G283),IF(ABS(G283-ROUND(G283,$E$6))&gt;0.00000001,1,0),0),IF(ISNUMBER(H283),IF(ABS(H283-ROUND(H283,$E$6))&gt;0.00000001,1,0),0),IF(ISNUMBER(I283),IF(ABS(I283-ROUND(I283,$E$6))&gt;0.00000001,1,0),0),IF(ISNUMBER(J283),IF(ABS(J283-ROUND(J283,$E$6))&gt;0.00000001,1,0),0),IF(ISNUMBER(M283),IF(ABS(M283-ROUND(M283,$E$6))&gt;0.00000001,1,0),0))&gt;0,1,0),0)</f>
        <v>0</v>
      </c>
      <c r="AA283" s="0" t="n">
        <f>IF(COUNTA(B283:L283)=0,0,IF(OR(AND(ISNUMBER(F283),F283&lt;0),AND(U283=1,OR(SUM(IF(ISNUMBER(G283),IF(G283=0,1,0),0),IF(ISNUMBER(H283),IF(H283=0,1,0),0),IF(ISNUMBER(I283),IF(I283=0,1,0),0),IF(ISNUMBER(J283),IF(J283=0,1,0),0))&gt;0,COUNTIFS(G283:J283,"&lt;0")&gt;0)),AND(P283="DIMENSIONES",U283=1,OR(AND(S283="m",COUNT(H283:J283)&lt;&gt;1),AND(S283="m²",COUNT(H283:J283)&lt;&gt;2,Y283=0),AND(S283="m³",COUNT(H283:J283)&lt;&gt;3),AND(S283="ud",COUNT(H283:J283)&gt;0))),AND(P283="DIRECTA",OR(S283="m",S283="m²",S283="m³"))),1,0))</f>
        <v>0</v>
      </c>
      <c r="AB283" s="0">
        <f>IF(LEN(TRIM(E283&amp;""))&gt;0,E283,IF(R283&gt;0,INDEX($E$13:$E$512,R283),""))</f>
      </c>
      <c r="AC283" s="0">
        <f>UPPER(SUBSTITUTE(SUBSTITUTE(SUBSTITUTE(SUBSTITUTE(SUBSTITUTE(TRIM(AB283),"²","2"),"³","3"),"^",""),".","")," ",""))</f>
      </c>
    </row>
    <row r="284" ht="35" customHeight="1">
      <c r="B284" s="35"/>
      <c r="C284" s="35"/>
      <c r="D284" s="37"/>
      <c r="E284" s="35"/>
      <c r="F284" s="38"/>
      <c r="G284" s="38"/>
      <c r="H284" s="38"/>
      <c r="I284" s="38"/>
      <c r="J284" s="38"/>
      <c r="K284" s="35"/>
      <c r="L284" s="35"/>
      <c r="M284" s="39">
        <f>IF(U284&lt;&gt;1,"",IF(P284="DIRECTA",G284,IF(ISNUMBER(G284),G284,1)*IF(ISNUMBER(H284),H284,1)*IF(ISNUMBER(I284),I284,1)*IF(ISNUMBER(J284),J284,1)))</f>
      </c>
      <c r="N284" s="30">
        <f>IF(COUNTA(B284:L284)=0,"",IF(X284=0,IF(P284="CABECERA","VERDE · Fila descriptiva; la suma usa las líneas del ID","VERDE · Datos numéricos interpretables"),IF(X284=2,"ROJO · ","ÁMBAR · ")&amp;IF(NOT(IF(ISNUMBER($E$6),AND($E$6&gt;=0,$E$6&lt;=6,$E$6=INT($E$6)),FALSE)),"Indicamos entre 0 y 6 decimales en E6. ","")&amp;IF(O284=0,"Falta un ID numérico. ","")&amp;IF(R284=0,"Faltan capítulo, código, unidad o total numérico del ID. ","")&amp;IF(T284&gt;0,"Los datos o el total del ID se contradicen. ","")&amp;IF(AND(P284&lt;&gt;"DIMENSIONES",P284&lt;&gt;"DIRECTA",P284&lt;&gt;"SIN LÍNEAS",P284&lt;&gt;"CABECERA"),"Tipo de fila no reconocido. ","")&amp;IF(AND(OR(P284="SIN LÍNEAS",P284="CABECERA"),COUNTA(G284:J284)&gt;0),"La fila dice que no mide, pero contiene medidas. ","")&amp;IF(AND(OR(P284="DIRECTA",P284="DIMENSIONES"),U284=0),"Línea incompleta o con medidas no numéricas. ","")&amp;IF(P284="SIN LÍNEAS","No constan medidas de esta fila. ","")&amp;IF(Y284&gt;0,"Parece m³: tres dimensiones bajo m². ","")&amp;IF(AND(AB284&lt;&gt;"",SUMPRODUCT(--('LÉEME'!$B$65:$B$86=AC284))&lt;&gt;1),"Revisamos el significado de la unidad. ","")&amp;IF(Z284&gt;0,"Más precisión que los decimales indicados: cotejamos el original. ","")&amp;IF(AA284&gt;0,"Revisamos dimensiones, cantidad directa, ceros o deducción. ","")))</f>
      </c>
      <c r="O284" s="0" t="n">
        <f>IF(ISNUMBER(K284),IF(AND(K284&gt;0,K284=INT(K284),K284&lt;=999999),K284,0),0)</f>
        <v>0</v>
      </c>
      <c r="P284" s="0">
        <f>IF(COUNTA(B284:L284)=0,"",IF(L284="",IF(COUNTA(G284:J284)&gt;0,"DIMENSIONES","SIN LÍNEAS"),UPPER(TRIM(L284))))</f>
      </c>
      <c r="Q284" s="0">
        <f>IF(AND(O284&gt;0,LEN(TRIM(B284&amp;""))&gt;0,LEN(TRIM(C284&amp;""))&gt;0,LEN(TRIM(E284&amp;""))&gt;0,ISNUMBER(F284)),O284,"")</f>
      </c>
      <c r="R284" s="0" t="n">
        <f>IF(O284=0,0,IF(COUNTIFS($Q$13:$Q$512,O284)&gt;0,MATCH(O284,$Q$13:$Q$512,0),0))</f>
        <v>0</v>
      </c>
      <c r="S284" s="0">
        <f>IF(AB284="","",IF(SUMPRODUCT(--('LÉEME'!$B$65:$B$86=AC284))=1,INDEX('LÉEME'!$C$65:$C$86,MATCH(AC284,'LÉEME'!$B$65:$B$86,0)),UPPER(TRIM(AB284))))</f>
      </c>
      <c r="T284" s="0" t="n">
        <f>IF(R284=0,0,IF(OR(AND(LEN(TRIM(B284&amp;""))&gt;0,UPPER(TRIM(B284&amp;""))&lt;&gt;UPPER(TRIM(INDEX($B$13:$B$512,R284)&amp;""))),AND(LEN(TRIM(C284&amp;""))&gt;0,UPPER(TRIM(C284&amp;""))&lt;&gt;UPPER(TRIM(INDEX($C$13:$C$512,R284)&amp;""))),AND(LEN(TRIM(E284&amp;""))&gt;0,S284&lt;&gt;INDEX($S$13:$S$512,R284)),AND(F284&lt;&gt;"",NOT(ISNUMBER(F284)))),1,IF(ISNUMBER(F284),IF(ABS(F284-INDEX($F$13:$F$512,R284))&gt;0.00000001,1,0),0)))</f>
        <v>0</v>
      </c>
      <c r="U284" s="0" t="n">
        <f>IF(P284="DIRECTA",IF(AND(ISNUMBER(G284),COUNTA(H284:J284)=0),1,0),IF(P284="DIMENSIONES",IF(AND(COUNT(G284:J284)&gt;0,COUNTA(G284:J284)=COUNT(G284:J284)),1,0),0))</f>
        <v>0</v>
      </c>
      <c r="V284" s="0" t="n">
        <f>IF(O284=0,0,IF(COUNTIFS($O$13:O284,O284)=1,1,0))</f>
        <v>0</v>
      </c>
      <c r="W284" s="0">
        <f>IF(V284=1,COUNTIFS($V$13:V284,1),"")</f>
      </c>
      <c r="X284" s="0">
        <f>IF(COUNTA(B284:L284)=0,"",IF(OR(NOT(IF(ISNUMBER($E$6),AND($E$6&gt;=0,$E$6&lt;=6,$E$6=INT($E$6)),FALSE)),O284=0,R284=0,T284&gt;0,AND(P284&lt;&gt;"DIMENSIONES",P284&lt;&gt;"DIRECTA",P284&lt;&gt;"SIN LÍNEAS",P284&lt;&gt;"CABECERA"),AND(OR(P284="DIRECTA",P284="DIMENSIONES"),U284=0),AND(OR(P284="SIN LÍNEAS",P284="CABECERA"),COUNTA(G284:J284)&gt;0)),2,IF(OR(P284="SIN LÍNEAS",Y284&gt;0,Z284&gt;0,AA284&gt;0,SUMPRODUCT(--('LÉEME'!$B$65:$B$86=AC284))&lt;&gt;1),1,0)))</f>
      </c>
      <c r="Y284" s="0" t="n">
        <f>IF(AND(P284="DIMENSIONES",S284="m²",COUNT(H284:J284)=3),1,0)</f>
        <v>0</v>
      </c>
      <c r="Z284" s="0" t="n">
        <f>IF(IF(ISNUMBER($E$6),AND($E$6&gt;=0,$E$6&lt;=6,$E$6=INT($E$6)),FALSE),IF(SUM(IF(ISNUMBER(F284),IF(ABS(F284-ROUND(F284,$E$6))&gt;0.00000001,1,0),0),IF(ISNUMBER(G284),IF(ABS(G284-ROUND(G284,$E$6))&gt;0.00000001,1,0),0),IF(ISNUMBER(H284),IF(ABS(H284-ROUND(H284,$E$6))&gt;0.00000001,1,0),0),IF(ISNUMBER(I284),IF(ABS(I284-ROUND(I284,$E$6))&gt;0.00000001,1,0),0),IF(ISNUMBER(J284),IF(ABS(J284-ROUND(J284,$E$6))&gt;0.00000001,1,0),0),IF(ISNUMBER(M284),IF(ABS(M284-ROUND(M284,$E$6))&gt;0.00000001,1,0),0))&gt;0,1,0),0)</f>
        <v>0</v>
      </c>
      <c r="AA284" s="0" t="n">
        <f>IF(COUNTA(B284:L284)=0,0,IF(OR(AND(ISNUMBER(F284),F284&lt;0),AND(U284=1,OR(SUM(IF(ISNUMBER(G284),IF(G284=0,1,0),0),IF(ISNUMBER(H284),IF(H284=0,1,0),0),IF(ISNUMBER(I284),IF(I284=0,1,0),0),IF(ISNUMBER(J284),IF(J284=0,1,0),0))&gt;0,COUNTIFS(G284:J284,"&lt;0")&gt;0)),AND(P284="DIMENSIONES",U284=1,OR(AND(S284="m",COUNT(H284:J284)&lt;&gt;1),AND(S284="m²",COUNT(H284:J284)&lt;&gt;2,Y284=0),AND(S284="m³",COUNT(H284:J284)&lt;&gt;3),AND(S284="ud",COUNT(H284:J284)&gt;0))),AND(P284="DIRECTA",OR(S284="m",S284="m²",S284="m³"))),1,0))</f>
        <v>0</v>
      </c>
      <c r="AB284" s="0">
        <f>IF(LEN(TRIM(E284&amp;""))&gt;0,E284,IF(R284&gt;0,INDEX($E$13:$E$512,R284),""))</f>
      </c>
      <c r="AC284" s="0">
        <f>UPPER(SUBSTITUTE(SUBSTITUTE(SUBSTITUTE(SUBSTITUTE(SUBSTITUTE(TRIM(AB284),"²","2"),"³","3"),"^",""),".","")," ",""))</f>
      </c>
    </row>
    <row r="285" ht="35" customHeight="1">
      <c r="B285" s="35"/>
      <c r="C285" s="35"/>
      <c r="D285" s="37"/>
      <c r="E285" s="35"/>
      <c r="F285" s="38"/>
      <c r="G285" s="38"/>
      <c r="H285" s="38"/>
      <c r="I285" s="38"/>
      <c r="J285" s="38"/>
      <c r="K285" s="35"/>
      <c r="L285" s="35"/>
      <c r="M285" s="39">
        <f>IF(U285&lt;&gt;1,"",IF(P285="DIRECTA",G285,IF(ISNUMBER(G285),G285,1)*IF(ISNUMBER(H285),H285,1)*IF(ISNUMBER(I285),I285,1)*IF(ISNUMBER(J285),J285,1)))</f>
      </c>
      <c r="N285" s="30">
        <f>IF(COUNTA(B285:L285)=0,"",IF(X285=0,IF(P285="CABECERA","VERDE · Fila descriptiva; la suma usa las líneas del ID","VERDE · Datos numéricos interpretables"),IF(X285=2,"ROJO · ","ÁMBAR · ")&amp;IF(NOT(IF(ISNUMBER($E$6),AND($E$6&gt;=0,$E$6&lt;=6,$E$6=INT($E$6)),FALSE)),"Indicamos entre 0 y 6 decimales en E6. ","")&amp;IF(O285=0,"Falta un ID numérico. ","")&amp;IF(R285=0,"Faltan capítulo, código, unidad o total numérico del ID. ","")&amp;IF(T285&gt;0,"Los datos o el total del ID se contradicen. ","")&amp;IF(AND(P285&lt;&gt;"DIMENSIONES",P285&lt;&gt;"DIRECTA",P285&lt;&gt;"SIN LÍNEAS",P285&lt;&gt;"CABECERA"),"Tipo de fila no reconocido. ","")&amp;IF(AND(OR(P285="SIN LÍNEAS",P285="CABECERA"),COUNTA(G285:J285)&gt;0),"La fila dice que no mide, pero contiene medidas. ","")&amp;IF(AND(OR(P285="DIRECTA",P285="DIMENSIONES"),U285=0),"Línea incompleta o con medidas no numéricas. ","")&amp;IF(P285="SIN LÍNEAS","No constan medidas de esta fila. ","")&amp;IF(Y285&gt;0,"Parece m³: tres dimensiones bajo m². ","")&amp;IF(AND(AB285&lt;&gt;"",SUMPRODUCT(--('LÉEME'!$B$65:$B$86=AC285))&lt;&gt;1),"Revisamos el significado de la unidad. ","")&amp;IF(Z285&gt;0,"Más precisión que los decimales indicados: cotejamos el original. ","")&amp;IF(AA285&gt;0,"Revisamos dimensiones, cantidad directa, ceros o deducción. ","")))</f>
      </c>
      <c r="O285" s="0" t="n">
        <f>IF(ISNUMBER(K285),IF(AND(K285&gt;0,K285=INT(K285),K285&lt;=999999),K285,0),0)</f>
        <v>0</v>
      </c>
      <c r="P285" s="0">
        <f>IF(COUNTA(B285:L285)=0,"",IF(L285="",IF(COUNTA(G285:J285)&gt;0,"DIMENSIONES","SIN LÍNEAS"),UPPER(TRIM(L285))))</f>
      </c>
      <c r="Q285" s="0">
        <f>IF(AND(O285&gt;0,LEN(TRIM(B285&amp;""))&gt;0,LEN(TRIM(C285&amp;""))&gt;0,LEN(TRIM(E285&amp;""))&gt;0,ISNUMBER(F285)),O285,"")</f>
      </c>
      <c r="R285" s="0" t="n">
        <f>IF(O285=0,0,IF(COUNTIFS($Q$13:$Q$512,O285)&gt;0,MATCH(O285,$Q$13:$Q$512,0),0))</f>
        <v>0</v>
      </c>
      <c r="S285" s="0">
        <f>IF(AB285="","",IF(SUMPRODUCT(--('LÉEME'!$B$65:$B$86=AC285))=1,INDEX('LÉEME'!$C$65:$C$86,MATCH(AC285,'LÉEME'!$B$65:$B$86,0)),UPPER(TRIM(AB285))))</f>
      </c>
      <c r="T285" s="0" t="n">
        <f>IF(R285=0,0,IF(OR(AND(LEN(TRIM(B285&amp;""))&gt;0,UPPER(TRIM(B285&amp;""))&lt;&gt;UPPER(TRIM(INDEX($B$13:$B$512,R285)&amp;""))),AND(LEN(TRIM(C285&amp;""))&gt;0,UPPER(TRIM(C285&amp;""))&lt;&gt;UPPER(TRIM(INDEX($C$13:$C$512,R285)&amp;""))),AND(LEN(TRIM(E285&amp;""))&gt;0,S285&lt;&gt;INDEX($S$13:$S$512,R285)),AND(F285&lt;&gt;"",NOT(ISNUMBER(F285)))),1,IF(ISNUMBER(F285),IF(ABS(F285-INDEX($F$13:$F$512,R285))&gt;0.00000001,1,0),0)))</f>
        <v>0</v>
      </c>
      <c r="U285" s="0" t="n">
        <f>IF(P285="DIRECTA",IF(AND(ISNUMBER(G285),COUNTA(H285:J285)=0),1,0),IF(P285="DIMENSIONES",IF(AND(COUNT(G285:J285)&gt;0,COUNTA(G285:J285)=COUNT(G285:J285)),1,0),0))</f>
        <v>0</v>
      </c>
      <c r="V285" s="0" t="n">
        <f>IF(O285=0,0,IF(COUNTIFS($O$13:O285,O285)=1,1,0))</f>
        <v>0</v>
      </c>
      <c r="W285" s="0">
        <f>IF(V285=1,COUNTIFS($V$13:V285,1),"")</f>
      </c>
      <c r="X285" s="0">
        <f>IF(COUNTA(B285:L285)=0,"",IF(OR(NOT(IF(ISNUMBER($E$6),AND($E$6&gt;=0,$E$6&lt;=6,$E$6=INT($E$6)),FALSE)),O285=0,R285=0,T285&gt;0,AND(P285&lt;&gt;"DIMENSIONES",P285&lt;&gt;"DIRECTA",P285&lt;&gt;"SIN LÍNEAS",P285&lt;&gt;"CABECERA"),AND(OR(P285="DIRECTA",P285="DIMENSIONES"),U285=0),AND(OR(P285="SIN LÍNEAS",P285="CABECERA"),COUNTA(G285:J285)&gt;0)),2,IF(OR(P285="SIN LÍNEAS",Y285&gt;0,Z285&gt;0,AA285&gt;0,SUMPRODUCT(--('LÉEME'!$B$65:$B$86=AC285))&lt;&gt;1),1,0)))</f>
      </c>
      <c r="Y285" s="0" t="n">
        <f>IF(AND(P285="DIMENSIONES",S285="m²",COUNT(H285:J285)=3),1,0)</f>
        <v>0</v>
      </c>
      <c r="Z285" s="0" t="n">
        <f>IF(IF(ISNUMBER($E$6),AND($E$6&gt;=0,$E$6&lt;=6,$E$6=INT($E$6)),FALSE),IF(SUM(IF(ISNUMBER(F285),IF(ABS(F285-ROUND(F285,$E$6))&gt;0.00000001,1,0),0),IF(ISNUMBER(G285),IF(ABS(G285-ROUND(G285,$E$6))&gt;0.00000001,1,0),0),IF(ISNUMBER(H285),IF(ABS(H285-ROUND(H285,$E$6))&gt;0.00000001,1,0),0),IF(ISNUMBER(I285),IF(ABS(I285-ROUND(I285,$E$6))&gt;0.00000001,1,0),0),IF(ISNUMBER(J285),IF(ABS(J285-ROUND(J285,$E$6))&gt;0.00000001,1,0),0),IF(ISNUMBER(M285),IF(ABS(M285-ROUND(M285,$E$6))&gt;0.00000001,1,0),0))&gt;0,1,0),0)</f>
        <v>0</v>
      </c>
      <c r="AA285" s="0" t="n">
        <f>IF(COUNTA(B285:L285)=0,0,IF(OR(AND(ISNUMBER(F285),F285&lt;0),AND(U285=1,OR(SUM(IF(ISNUMBER(G285),IF(G285=0,1,0),0),IF(ISNUMBER(H285),IF(H285=0,1,0),0),IF(ISNUMBER(I285),IF(I285=0,1,0),0),IF(ISNUMBER(J285),IF(J285=0,1,0),0))&gt;0,COUNTIFS(G285:J285,"&lt;0")&gt;0)),AND(P285="DIMENSIONES",U285=1,OR(AND(S285="m",COUNT(H285:J285)&lt;&gt;1),AND(S285="m²",COUNT(H285:J285)&lt;&gt;2,Y285=0),AND(S285="m³",COUNT(H285:J285)&lt;&gt;3),AND(S285="ud",COUNT(H285:J285)&gt;0))),AND(P285="DIRECTA",OR(S285="m",S285="m²",S285="m³"))),1,0))</f>
        <v>0</v>
      </c>
      <c r="AB285" s="0">
        <f>IF(LEN(TRIM(E285&amp;""))&gt;0,E285,IF(R285&gt;0,INDEX($E$13:$E$512,R285),""))</f>
      </c>
      <c r="AC285" s="0">
        <f>UPPER(SUBSTITUTE(SUBSTITUTE(SUBSTITUTE(SUBSTITUTE(SUBSTITUTE(TRIM(AB285),"²","2"),"³","3"),"^",""),".","")," ",""))</f>
      </c>
    </row>
    <row r="286" ht="35" customHeight="1">
      <c r="B286" s="35"/>
      <c r="C286" s="35"/>
      <c r="D286" s="37"/>
      <c r="E286" s="35"/>
      <c r="F286" s="38"/>
      <c r="G286" s="38"/>
      <c r="H286" s="38"/>
      <c r="I286" s="38"/>
      <c r="J286" s="38"/>
      <c r="K286" s="35"/>
      <c r="L286" s="35"/>
      <c r="M286" s="39">
        <f>IF(U286&lt;&gt;1,"",IF(P286="DIRECTA",G286,IF(ISNUMBER(G286),G286,1)*IF(ISNUMBER(H286),H286,1)*IF(ISNUMBER(I286),I286,1)*IF(ISNUMBER(J286),J286,1)))</f>
      </c>
      <c r="N286" s="30">
        <f>IF(COUNTA(B286:L286)=0,"",IF(X286=0,IF(P286="CABECERA","VERDE · Fila descriptiva; la suma usa las líneas del ID","VERDE · Datos numéricos interpretables"),IF(X286=2,"ROJO · ","ÁMBAR · ")&amp;IF(NOT(IF(ISNUMBER($E$6),AND($E$6&gt;=0,$E$6&lt;=6,$E$6=INT($E$6)),FALSE)),"Indicamos entre 0 y 6 decimales en E6. ","")&amp;IF(O286=0,"Falta un ID numérico. ","")&amp;IF(R286=0,"Faltan capítulo, código, unidad o total numérico del ID. ","")&amp;IF(T286&gt;0,"Los datos o el total del ID se contradicen. ","")&amp;IF(AND(P286&lt;&gt;"DIMENSIONES",P286&lt;&gt;"DIRECTA",P286&lt;&gt;"SIN LÍNEAS",P286&lt;&gt;"CABECERA"),"Tipo de fila no reconocido. ","")&amp;IF(AND(OR(P286="SIN LÍNEAS",P286="CABECERA"),COUNTA(G286:J286)&gt;0),"La fila dice que no mide, pero contiene medidas. ","")&amp;IF(AND(OR(P286="DIRECTA",P286="DIMENSIONES"),U286=0),"Línea incompleta o con medidas no numéricas. ","")&amp;IF(P286="SIN LÍNEAS","No constan medidas de esta fila. ","")&amp;IF(Y286&gt;0,"Parece m³: tres dimensiones bajo m². ","")&amp;IF(AND(AB286&lt;&gt;"",SUMPRODUCT(--('LÉEME'!$B$65:$B$86=AC286))&lt;&gt;1),"Revisamos el significado de la unidad. ","")&amp;IF(Z286&gt;0,"Más precisión que los decimales indicados: cotejamos el original. ","")&amp;IF(AA286&gt;0,"Revisamos dimensiones, cantidad directa, ceros o deducción. ","")))</f>
      </c>
      <c r="O286" s="0" t="n">
        <f>IF(ISNUMBER(K286),IF(AND(K286&gt;0,K286=INT(K286),K286&lt;=999999),K286,0),0)</f>
        <v>0</v>
      </c>
      <c r="P286" s="0">
        <f>IF(COUNTA(B286:L286)=0,"",IF(L286="",IF(COUNTA(G286:J286)&gt;0,"DIMENSIONES","SIN LÍNEAS"),UPPER(TRIM(L286))))</f>
      </c>
      <c r="Q286" s="0">
        <f>IF(AND(O286&gt;0,LEN(TRIM(B286&amp;""))&gt;0,LEN(TRIM(C286&amp;""))&gt;0,LEN(TRIM(E286&amp;""))&gt;0,ISNUMBER(F286)),O286,"")</f>
      </c>
      <c r="R286" s="0" t="n">
        <f>IF(O286=0,0,IF(COUNTIFS($Q$13:$Q$512,O286)&gt;0,MATCH(O286,$Q$13:$Q$512,0),0))</f>
        <v>0</v>
      </c>
      <c r="S286" s="0">
        <f>IF(AB286="","",IF(SUMPRODUCT(--('LÉEME'!$B$65:$B$86=AC286))=1,INDEX('LÉEME'!$C$65:$C$86,MATCH(AC286,'LÉEME'!$B$65:$B$86,0)),UPPER(TRIM(AB286))))</f>
      </c>
      <c r="T286" s="0" t="n">
        <f>IF(R286=0,0,IF(OR(AND(LEN(TRIM(B286&amp;""))&gt;0,UPPER(TRIM(B286&amp;""))&lt;&gt;UPPER(TRIM(INDEX($B$13:$B$512,R286)&amp;""))),AND(LEN(TRIM(C286&amp;""))&gt;0,UPPER(TRIM(C286&amp;""))&lt;&gt;UPPER(TRIM(INDEX($C$13:$C$512,R286)&amp;""))),AND(LEN(TRIM(E286&amp;""))&gt;0,S286&lt;&gt;INDEX($S$13:$S$512,R286)),AND(F286&lt;&gt;"",NOT(ISNUMBER(F286)))),1,IF(ISNUMBER(F286),IF(ABS(F286-INDEX($F$13:$F$512,R286))&gt;0.00000001,1,0),0)))</f>
        <v>0</v>
      </c>
      <c r="U286" s="0" t="n">
        <f>IF(P286="DIRECTA",IF(AND(ISNUMBER(G286),COUNTA(H286:J286)=0),1,0),IF(P286="DIMENSIONES",IF(AND(COUNT(G286:J286)&gt;0,COUNTA(G286:J286)=COUNT(G286:J286)),1,0),0))</f>
        <v>0</v>
      </c>
      <c r="V286" s="0" t="n">
        <f>IF(O286=0,0,IF(COUNTIFS($O$13:O286,O286)=1,1,0))</f>
        <v>0</v>
      </c>
      <c r="W286" s="0">
        <f>IF(V286=1,COUNTIFS($V$13:V286,1),"")</f>
      </c>
      <c r="X286" s="0">
        <f>IF(COUNTA(B286:L286)=0,"",IF(OR(NOT(IF(ISNUMBER($E$6),AND($E$6&gt;=0,$E$6&lt;=6,$E$6=INT($E$6)),FALSE)),O286=0,R286=0,T286&gt;0,AND(P286&lt;&gt;"DIMENSIONES",P286&lt;&gt;"DIRECTA",P286&lt;&gt;"SIN LÍNEAS",P286&lt;&gt;"CABECERA"),AND(OR(P286="DIRECTA",P286="DIMENSIONES"),U286=0),AND(OR(P286="SIN LÍNEAS",P286="CABECERA"),COUNTA(G286:J286)&gt;0)),2,IF(OR(P286="SIN LÍNEAS",Y286&gt;0,Z286&gt;0,AA286&gt;0,SUMPRODUCT(--('LÉEME'!$B$65:$B$86=AC286))&lt;&gt;1),1,0)))</f>
      </c>
      <c r="Y286" s="0" t="n">
        <f>IF(AND(P286="DIMENSIONES",S286="m²",COUNT(H286:J286)=3),1,0)</f>
        <v>0</v>
      </c>
      <c r="Z286" s="0" t="n">
        <f>IF(IF(ISNUMBER($E$6),AND($E$6&gt;=0,$E$6&lt;=6,$E$6=INT($E$6)),FALSE),IF(SUM(IF(ISNUMBER(F286),IF(ABS(F286-ROUND(F286,$E$6))&gt;0.00000001,1,0),0),IF(ISNUMBER(G286),IF(ABS(G286-ROUND(G286,$E$6))&gt;0.00000001,1,0),0),IF(ISNUMBER(H286),IF(ABS(H286-ROUND(H286,$E$6))&gt;0.00000001,1,0),0),IF(ISNUMBER(I286),IF(ABS(I286-ROUND(I286,$E$6))&gt;0.00000001,1,0),0),IF(ISNUMBER(J286),IF(ABS(J286-ROUND(J286,$E$6))&gt;0.00000001,1,0),0),IF(ISNUMBER(M286),IF(ABS(M286-ROUND(M286,$E$6))&gt;0.00000001,1,0),0))&gt;0,1,0),0)</f>
        <v>0</v>
      </c>
      <c r="AA286" s="0" t="n">
        <f>IF(COUNTA(B286:L286)=0,0,IF(OR(AND(ISNUMBER(F286),F286&lt;0),AND(U286=1,OR(SUM(IF(ISNUMBER(G286),IF(G286=0,1,0),0),IF(ISNUMBER(H286),IF(H286=0,1,0),0),IF(ISNUMBER(I286),IF(I286=0,1,0),0),IF(ISNUMBER(J286),IF(J286=0,1,0),0))&gt;0,COUNTIFS(G286:J286,"&lt;0")&gt;0)),AND(P286="DIMENSIONES",U286=1,OR(AND(S286="m",COUNT(H286:J286)&lt;&gt;1),AND(S286="m²",COUNT(H286:J286)&lt;&gt;2,Y286=0),AND(S286="m³",COUNT(H286:J286)&lt;&gt;3),AND(S286="ud",COUNT(H286:J286)&gt;0))),AND(P286="DIRECTA",OR(S286="m",S286="m²",S286="m³"))),1,0))</f>
        <v>0</v>
      </c>
      <c r="AB286" s="0">
        <f>IF(LEN(TRIM(E286&amp;""))&gt;0,E286,IF(R286&gt;0,INDEX($E$13:$E$512,R286),""))</f>
      </c>
      <c r="AC286" s="0">
        <f>UPPER(SUBSTITUTE(SUBSTITUTE(SUBSTITUTE(SUBSTITUTE(SUBSTITUTE(TRIM(AB286),"²","2"),"³","3"),"^",""),".","")," ",""))</f>
      </c>
    </row>
    <row r="287" ht="35" customHeight="1">
      <c r="B287" s="35"/>
      <c r="C287" s="35"/>
      <c r="D287" s="37"/>
      <c r="E287" s="35"/>
      <c r="F287" s="38"/>
      <c r="G287" s="38"/>
      <c r="H287" s="38"/>
      <c r="I287" s="38"/>
      <c r="J287" s="38"/>
      <c r="K287" s="35"/>
      <c r="L287" s="35"/>
      <c r="M287" s="39">
        <f>IF(U287&lt;&gt;1,"",IF(P287="DIRECTA",G287,IF(ISNUMBER(G287),G287,1)*IF(ISNUMBER(H287),H287,1)*IF(ISNUMBER(I287),I287,1)*IF(ISNUMBER(J287),J287,1)))</f>
      </c>
      <c r="N287" s="30">
        <f>IF(COUNTA(B287:L287)=0,"",IF(X287=0,IF(P287="CABECERA","VERDE · Fila descriptiva; la suma usa las líneas del ID","VERDE · Datos numéricos interpretables"),IF(X287=2,"ROJO · ","ÁMBAR · ")&amp;IF(NOT(IF(ISNUMBER($E$6),AND($E$6&gt;=0,$E$6&lt;=6,$E$6=INT($E$6)),FALSE)),"Indicamos entre 0 y 6 decimales en E6. ","")&amp;IF(O287=0,"Falta un ID numérico. ","")&amp;IF(R287=0,"Faltan capítulo, código, unidad o total numérico del ID. ","")&amp;IF(T287&gt;0,"Los datos o el total del ID se contradicen. ","")&amp;IF(AND(P287&lt;&gt;"DIMENSIONES",P287&lt;&gt;"DIRECTA",P287&lt;&gt;"SIN LÍNEAS",P287&lt;&gt;"CABECERA"),"Tipo de fila no reconocido. ","")&amp;IF(AND(OR(P287="SIN LÍNEAS",P287="CABECERA"),COUNTA(G287:J287)&gt;0),"La fila dice que no mide, pero contiene medidas. ","")&amp;IF(AND(OR(P287="DIRECTA",P287="DIMENSIONES"),U287=0),"Línea incompleta o con medidas no numéricas. ","")&amp;IF(P287="SIN LÍNEAS","No constan medidas de esta fila. ","")&amp;IF(Y287&gt;0,"Parece m³: tres dimensiones bajo m². ","")&amp;IF(AND(AB287&lt;&gt;"",SUMPRODUCT(--('LÉEME'!$B$65:$B$86=AC287))&lt;&gt;1),"Revisamos el significado de la unidad. ","")&amp;IF(Z287&gt;0,"Más precisión que los decimales indicados: cotejamos el original. ","")&amp;IF(AA287&gt;0,"Revisamos dimensiones, cantidad directa, ceros o deducción. ","")))</f>
      </c>
      <c r="O287" s="0" t="n">
        <f>IF(ISNUMBER(K287),IF(AND(K287&gt;0,K287=INT(K287),K287&lt;=999999),K287,0),0)</f>
        <v>0</v>
      </c>
      <c r="P287" s="0">
        <f>IF(COUNTA(B287:L287)=0,"",IF(L287="",IF(COUNTA(G287:J287)&gt;0,"DIMENSIONES","SIN LÍNEAS"),UPPER(TRIM(L287))))</f>
      </c>
      <c r="Q287" s="0">
        <f>IF(AND(O287&gt;0,LEN(TRIM(B287&amp;""))&gt;0,LEN(TRIM(C287&amp;""))&gt;0,LEN(TRIM(E287&amp;""))&gt;0,ISNUMBER(F287)),O287,"")</f>
      </c>
      <c r="R287" s="0" t="n">
        <f>IF(O287=0,0,IF(COUNTIFS($Q$13:$Q$512,O287)&gt;0,MATCH(O287,$Q$13:$Q$512,0),0))</f>
        <v>0</v>
      </c>
      <c r="S287" s="0">
        <f>IF(AB287="","",IF(SUMPRODUCT(--('LÉEME'!$B$65:$B$86=AC287))=1,INDEX('LÉEME'!$C$65:$C$86,MATCH(AC287,'LÉEME'!$B$65:$B$86,0)),UPPER(TRIM(AB287))))</f>
      </c>
      <c r="T287" s="0" t="n">
        <f>IF(R287=0,0,IF(OR(AND(LEN(TRIM(B287&amp;""))&gt;0,UPPER(TRIM(B287&amp;""))&lt;&gt;UPPER(TRIM(INDEX($B$13:$B$512,R287)&amp;""))),AND(LEN(TRIM(C287&amp;""))&gt;0,UPPER(TRIM(C287&amp;""))&lt;&gt;UPPER(TRIM(INDEX($C$13:$C$512,R287)&amp;""))),AND(LEN(TRIM(E287&amp;""))&gt;0,S287&lt;&gt;INDEX($S$13:$S$512,R287)),AND(F287&lt;&gt;"",NOT(ISNUMBER(F287)))),1,IF(ISNUMBER(F287),IF(ABS(F287-INDEX($F$13:$F$512,R287))&gt;0.00000001,1,0),0)))</f>
        <v>0</v>
      </c>
      <c r="U287" s="0" t="n">
        <f>IF(P287="DIRECTA",IF(AND(ISNUMBER(G287),COUNTA(H287:J287)=0),1,0),IF(P287="DIMENSIONES",IF(AND(COUNT(G287:J287)&gt;0,COUNTA(G287:J287)=COUNT(G287:J287)),1,0),0))</f>
        <v>0</v>
      </c>
      <c r="V287" s="0" t="n">
        <f>IF(O287=0,0,IF(COUNTIFS($O$13:O287,O287)=1,1,0))</f>
        <v>0</v>
      </c>
      <c r="W287" s="0">
        <f>IF(V287=1,COUNTIFS($V$13:V287,1),"")</f>
      </c>
      <c r="X287" s="0">
        <f>IF(COUNTA(B287:L287)=0,"",IF(OR(NOT(IF(ISNUMBER($E$6),AND($E$6&gt;=0,$E$6&lt;=6,$E$6=INT($E$6)),FALSE)),O287=0,R287=0,T287&gt;0,AND(P287&lt;&gt;"DIMENSIONES",P287&lt;&gt;"DIRECTA",P287&lt;&gt;"SIN LÍNEAS",P287&lt;&gt;"CABECERA"),AND(OR(P287="DIRECTA",P287="DIMENSIONES"),U287=0),AND(OR(P287="SIN LÍNEAS",P287="CABECERA"),COUNTA(G287:J287)&gt;0)),2,IF(OR(P287="SIN LÍNEAS",Y287&gt;0,Z287&gt;0,AA287&gt;0,SUMPRODUCT(--('LÉEME'!$B$65:$B$86=AC287))&lt;&gt;1),1,0)))</f>
      </c>
      <c r="Y287" s="0" t="n">
        <f>IF(AND(P287="DIMENSIONES",S287="m²",COUNT(H287:J287)=3),1,0)</f>
        <v>0</v>
      </c>
      <c r="Z287" s="0" t="n">
        <f>IF(IF(ISNUMBER($E$6),AND($E$6&gt;=0,$E$6&lt;=6,$E$6=INT($E$6)),FALSE),IF(SUM(IF(ISNUMBER(F287),IF(ABS(F287-ROUND(F287,$E$6))&gt;0.00000001,1,0),0),IF(ISNUMBER(G287),IF(ABS(G287-ROUND(G287,$E$6))&gt;0.00000001,1,0),0),IF(ISNUMBER(H287),IF(ABS(H287-ROUND(H287,$E$6))&gt;0.00000001,1,0),0),IF(ISNUMBER(I287),IF(ABS(I287-ROUND(I287,$E$6))&gt;0.00000001,1,0),0),IF(ISNUMBER(J287),IF(ABS(J287-ROUND(J287,$E$6))&gt;0.00000001,1,0),0),IF(ISNUMBER(M287),IF(ABS(M287-ROUND(M287,$E$6))&gt;0.00000001,1,0),0))&gt;0,1,0),0)</f>
        <v>0</v>
      </c>
      <c r="AA287" s="0" t="n">
        <f>IF(COUNTA(B287:L287)=0,0,IF(OR(AND(ISNUMBER(F287),F287&lt;0),AND(U287=1,OR(SUM(IF(ISNUMBER(G287),IF(G287=0,1,0),0),IF(ISNUMBER(H287),IF(H287=0,1,0),0),IF(ISNUMBER(I287),IF(I287=0,1,0),0),IF(ISNUMBER(J287),IF(J287=0,1,0),0))&gt;0,COUNTIFS(G287:J287,"&lt;0")&gt;0)),AND(P287="DIMENSIONES",U287=1,OR(AND(S287="m",COUNT(H287:J287)&lt;&gt;1),AND(S287="m²",COUNT(H287:J287)&lt;&gt;2,Y287=0),AND(S287="m³",COUNT(H287:J287)&lt;&gt;3),AND(S287="ud",COUNT(H287:J287)&gt;0))),AND(P287="DIRECTA",OR(S287="m",S287="m²",S287="m³"))),1,0))</f>
        <v>0</v>
      </c>
      <c r="AB287" s="0">
        <f>IF(LEN(TRIM(E287&amp;""))&gt;0,E287,IF(R287&gt;0,INDEX($E$13:$E$512,R287),""))</f>
      </c>
      <c r="AC287" s="0">
        <f>UPPER(SUBSTITUTE(SUBSTITUTE(SUBSTITUTE(SUBSTITUTE(SUBSTITUTE(TRIM(AB287),"²","2"),"³","3"),"^",""),".","")," ",""))</f>
      </c>
    </row>
    <row r="288" ht="35" customHeight="1">
      <c r="B288" s="35"/>
      <c r="C288" s="35"/>
      <c r="D288" s="37"/>
      <c r="E288" s="35"/>
      <c r="F288" s="38"/>
      <c r="G288" s="38"/>
      <c r="H288" s="38"/>
      <c r="I288" s="38"/>
      <c r="J288" s="38"/>
      <c r="K288" s="35"/>
      <c r="L288" s="35"/>
      <c r="M288" s="39">
        <f>IF(U288&lt;&gt;1,"",IF(P288="DIRECTA",G288,IF(ISNUMBER(G288),G288,1)*IF(ISNUMBER(H288),H288,1)*IF(ISNUMBER(I288),I288,1)*IF(ISNUMBER(J288),J288,1)))</f>
      </c>
      <c r="N288" s="30">
        <f>IF(COUNTA(B288:L288)=0,"",IF(X288=0,IF(P288="CABECERA","VERDE · Fila descriptiva; la suma usa las líneas del ID","VERDE · Datos numéricos interpretables"),IF(X288=2,"ROJO · ","ÁMBAR · ")&amp;IF(NOT(IF(ISNUMBER($E$6),AND($E$6&gt;=0,$E$6&lt;=6,$E$6=INT($E$6)),FALSE)),"Indicamos entre 0 y 6 decimales en E6. ","")&amp;IF(O288=0,"Falta un ID numérico. ","")&amp;IF(R288=0,"Faltan capítulo, código, unidad o total numérico del ID. ","")&amp;IF(T288&gt;0,"Los datos o el total del ID se contradicen. ","")&amp;IF(AND(P288&lt;&gt;"DIMENSIONES",P288&lt;&gt;"DIRECTA",P288&lt;&gt;"SIN LÍNEAS",P288&lt;&gt;"CABECERA"),"Tipo de fila no reconocido. ","")&amp;IF(AND(OR(P288="SIN LÍNEAS",P288="CABECERA"),COUNTA(G288:J288)&gt;0),"La fila dice que no mide, pero contiene medidas. ","")&amp;IF(AND(OR(P288="DIRECTA",P288="DIMENSIONES"),U288=0),"Línea incompleta o con medidas no numéricas. ","")&amp;IF(P288="SIN LÍNEAS","No constan medidas de esta fila. ","")&amp;IF(Y288&gt;0,"Parece m³: tres dimensiones bajo m². ","")&amp;IF(AND(AB288&lt;&gt;"",SUMPRODUCT(--('LÉEME'!$B$65:$B$86=AC288))&lt;&gt;1),"Revisamos el significado de la unidad. ","")&amp;IF(Z288&gt;0,"Más precisión que los decimales indicados: cotejamos el original. ","")&amp;IF(AA288&gt;0,"Revisamos dimensiones, cantidad directa, ceros o deducción. ","")))</f>
      </c>
      <c r="O288" s="0" t="n">
        <f>IF(ISNUMBER(K288),IF(AND(K288&gt;0,K288=INT(K288),K288&lt;=999999),K288,0),0)</f>
        <v>0</v>
      </c>
      <c r="P288" s="0">
        <f>IF(COUNTA(B288:L288)=0,"",IF(L288="",IF(COUNTA(G288:J288)&gt;0,"DIMENSIONES","SIN LÍNEAS"),UPPER(TRIM(L288))))</f>
      </c>
      <c r="Q288" s="0">
        <f>IF(AND(O288&gt;0,LEN(TRIM(B288&amp;""))&gt;0,LEN(TRIM(C288&amp;""))&gt;0,LEN(TRIM(E288&amp;""))&gt;0,ISNUMBER(F288)),O288,"")</f>
      </c>
      <c r="R288" s="0" t="n">
        <f>IF(O288=0,0,IF(COUNTIFS($Q$13:$Q$512,O288)&gt;0,MATCH(O288,$Q$13:$Q$512,0),0))</f>
        <v>0</v>
      </c>
      <c r="S288" s="0">
        <f>IF(AB288="","",IF(SUMPRODUCT(--('LÉEME'!$B$65:$B$86=AC288))=1,INDEX('LÉEME'!$C$65:$C$86,MATCH(AC288,'LÉEME'!$B$65:$B$86,0)),UPPER(TRIM(AB288))))</f>
      </c>
      <c r="T288" s="0" t="n">
        <f>IF(R288=0,0,IF(OR(AND(LEN(TRIM(B288&amp;""))&gt;0,UPPER(TRIM(B288&amp;""))&lt;&gt;UPPER(TRIM(INDEX($B$13:$B$512,R288)&amp;""))),AND(LEN(TRIM(C288&amp;""))&gt;0,UPPER(TRIM(C288&amp;""))&lt;&gt;UPPER(TRIM(INDEX($C$13:$C$512,R288)&amp;""))),AND(LEN(TRIM(E288&amp;""))&gt;0,S288&lt;&gt;INDEX($S$13:$S$512,R288)),AND(F288&lt;&gt;"",NOT(ISNUMBER(F288)))),1,IF(ISNUMBER(F288),IF(ABS(F288-INDEX($F$13:$F$512,R288))&gt;0.00000001,1,0),0)))</f>
        <v>0</v>
      </c>
      <c r="U288" s="0" t="n">
        <f>IF(P288="DIRECTA",IF(AND(ISNUMBER(G288),COUNTA(H288:J288)=0),1,0),IF(P288="DIMENSIONES",IF(AND(COUNT(G288:J288)&gt;0,COUNTA(G288:J288)=COUNT(G288:J288)),1,0),0))</f>
        <v>0</v>
      </c>
      <c r="V288" s="0" t="n">
        <f>IF(O288=0,0,IF(COUNTIFS($O$13:O288,O288)=1,1,0))</f>
        <v>0</v>
      </c>
      <c r="W288" s="0">
        <f>IF(V288=1,COUNTIFS($V$13:V288,1),"")</f>
      </c>
      <c r="X288" s="0">
        <f>IF(COUNTA(B288:L288)=0,"",IF(OR(NOT(IF(ISNUMBER($E$6),AND($E$6&gt;=0,$E$6&lt;=6,$E$6=INT($E$6)),FALSE)),O288=0,R288=0,T288&gt;0,AND(P288&lt;&gt;"DIMENSIONES",P288&lt;&gt;"DIRECTA",P288&lt;&gt;"SIN LÍNEAS",P288&lt;&gt;"CABECERA"),AND(OR(P288="DIRECTA",P288="DIMENSIONES"),U288=0),AND(OR(P288="SIN LÍNEAS",P288="CABECERA"),COUNTA(G288:J288)&gt;0)),2,IF(OR(P288="SIN LÍNEAS",Y288&gt;0,Z288&gt;0,AA288&gt;0,SUMPRODUCT(--('LÉEME'!$B$65:$B$86=AC288))&lt;&gt;1),1,0)))</f>
      </c>
      <c r="Y288" s="0" t="n">
        <f>IF(AND(P288="DIMENSIONES",S288="m²",COUNT(H288:J288)=3),1,0)</f>
        <v>0</v>
      </c>
      <c r="Z288" s="0" t="n">
        <f>IF(IF(ISNUMBER($E$6),AND($E$6&gt;=0,$E$6&lt;=6,$E$6=INT($E$6)),FALSE),IF(SUM(IF(ISNUMBER(F288),IF(ABS(F288-ROUND(F288,$E$6))&gt;0.00000001,1,0),0),IF(ISNUMBER(G288),IF(ABS(G288-ROUND(G288,$E$6))&gt;0.00000001,1,0),0),IF(ISNUMBER(H288),IF(ABS(H288-ROUND(H288,$E$6))&gt;0.00000001,1,0),0),IF(ISNUMBER(I288),IF(ABS(I288-ROUND(I288,$E$6))&gt;0.00000001,1,0),0),IF(ISNUMBER(J288),IF(ABS(J288-ROUND(J288,$E$6))&gt;0.00000001,1,0),0),IF(ISNUMBER(M288),IF(ABS(M288-ROUND(M288,$E$6))&gt;0.00000001,1,0),0))&gt;0,1,0),0)</f>
        <v>0</v>
      </c>
      <c r="AA288" s="0" t="n">
        <f>IF(COUNTA(B288:L288)=0,0,IF(OR(AND(ISNUMBER(F288),F288&lt;0),AND(U288=1,OR(SUM(IF(ISNUMBER(G288),IF(G288=0,1,0),0),IF(ISNUMBER(H288),IF(H288=0,1,0),0),IF(ISNUMBER(I288),IF(I288=0,1,0),0),IF(ISNUMBER(J288),IF(J288=0,1,0),0))&gt;0,COUNTIFS(G288:J288,"&lt;0")&gt;0)),AND(P288="DIMENSIONES",U288=1,OR(AND(S288="m",COUNT(H288:J288)&lt;&gt;1),AND(S288="m²",COUNT(H288:J288)&lt;&gt;2,Y288=0),AND(S288="m³",COUNT(H288:J288)&lt;&gt;3),AND(S288="ud",COUNT(H288:J288)&gt;0))),AND(P288="DIRECTA",OR(S288="m",S288="m²",S288="m³"))),1,0))</f>
        <v>0</v>
      </c>
      <c r="AB288" s="0">
        <f>IF(LEN(TRIM(E288&amp;""))&gt;0,E288,IF(R288&gt;0,INDEX($E$13:$E$512,R288),""))</f>
      </c>
      <c r="AC288" s="0">
        <f>UPPER(SUBSTITUTE(SUBSTITUTE(SUBSTITUTE(SUBSTITUTE(SUBSTITUTE(TRIM(AB288),"²","2"),"³","3"),"^",""),".","")," ",""))</f>
      </c>
    </row>
    <row r="289" ht="35" customHeight="1">
      <c r="B289" s="35"/>
      <c r="C289" s="35"/>
      <c r="D289" s="37"/>
      <c r="E289" s="35"/>
      <c r="F289" s="38"/>
      <c r="G289" s="38"/>
      <c r="H289" s="38"/>
      <c r="I289" s="38"/>
      <c r="J289" s="38"/>
      <c r="K289" s="35"/>
      <c r="L289" s="35"/>
      <c r="M289" s="39">
        <f>IF(U289&lt;&gt;1,"",IF(P289="DIRECTA",G289,IF(ISNUMBER(G289),G289,1)*IF(ISNUMBER(H289),H289,1)*IF(ISNUMBER(I289),I289,1)*IF(ISNUMBER(J289),J289,1)))</f>
      </c>
      <c r="N289" s="30">
        <f>IF(COUNTA(B289:L289)=0,"",IF(X289=0,IF(P289="CABECERA","VERDE · Fila descriptiva; la suma usa las líneas del ID","VERDE · Datos numéricos interpretables"),IF(X289=2,"ROJO · ","ÁMBAR · ")&amp;IF(NOT(IF(ISNUMBER($E$6),AND($E$6&gt;=0,$E$6&lt;=6,$E$6=INT($E$6)),FALSE)),"Indicamos entre 0 y 6 decimales en E6. ","")&amp;IF(O289=0,"Falta un ID numérico. ","")&amp;IF(R289=0,"Faltan capítulo, código, unidad o total numérico del ID. ","")&amp;IF(T289&gt;0,"Los datos o el total del ID se contradicen. ","")&amp;IF(AND(P289&lt;&gt;"DIMENSIONES",P289&lt;&gt;"DIRECTA",P289&lt;&gt;"SIN LÍNEAS",P289&lt;&gt;"CABECERA"),"Tipo de fila no reconocido. ","")&amp;IF(AND(OR(P289="SIN LÍNEAS",P289="CABECERA"),COUNTA(G289:J289)&gt;0),"La fila dice que no mide, pero contiene medidas. ","")&amp;IF(AND(OR(P289="DIRECTA",P289="DIMENSIONES"),U289=0),"Línea incompleta o con medidas no numéricas. ","")&amp;IF(P289="SIN LÍNEAS","No constan medidas de esta fila. ","")&amp;IF(Y289&gt;0,"Parece m³: tres dimensiones bajo m². ","")&amp;IF(AND(AB289&lt;&gt;"",SUMPRODUCT(--('LÉEME'!$B$65:$B$86=AC289))&lt;&gt;1),"Revisamos el significado de la unidad. ","")&amp;IF(Z289&gt;0,"Más precisión que los decimales indicados: cotejamos el original. ","")&amp;IF(AA289&gt;0,"Revisamos dimensiones, cantidad directa, ceros o deducción. ","")))</f>
      </c>
      <c r="O289" s="0" t="n">
        <f>IF(ISNUMBER(K289),IF(AND(K289&gt;0,K289=INT(K289),K289&lt;=999999),K289,0),0)</f>
        <v>0</v>
      </c>
      <c r="P289" s="0">
        <f>IF(COUNTA(B289:L289)=0,"",IF(L289="",IF(COUNTA(G289:J289)&gt;0,"DIMENSIONES","SIN LÍNEAS"),UPPER(TRIM(L289))))</f>
      </c>
      <c r="Q289" s="0">
        <f>IF(AND(O289&gt;0,LEN(TRIM(B289&amp;""))&gt;0,LEN(TRIM(C289&amp;""))&gt;0,LEN(TRIM(E289&amp;""))&gt;0,ISNUMBER(F289)),O289,"")</f>
      </c>
      <c r="R289" s="0" t="n">
        <f>IF(O289=0,0,IF(COUNTIFS($Q$13:$Q$512,O289)&gt;0,MATCH(O289,$Q$13:$Q$512,0),0))</f>
        <v>0</v>
      </c>
      <c r="S289" s="0">
        <f>IF(AB289="","",IF(SUMPRODUCT(--('LÉEME'!$B$65:$B$86=AC289))=1,INDEX('LÉEME'!$C$65:$C$86,MATCH(AC289,'LÉEME'!$B$65:$B$86,0)),UPPER(TRIM(AB289))))</f>
      </c>
      <c r="T289" s="0" t="n">
        <f>IF(R289=0,0,IF(OR(AND(LEN(TRIM(B289&amp;""))&gt;0,UPPER(TRIM(B289&amp;""))&lt;&gt;UPPER(TRIM(INDEX($B$13:$B$512,R289)&amp;""))),AND(LEN(TRIM(C289&amp;""))&gt;0,UPPER(TRIM(C289&amp;""))&lt;&gt;UPPER(TRIM(INDEX($C$13:$C$512,R289)&amp;""))),AND(LEN(TRIM(E289&amp;""))&gt;0,S289&lt;&gt;INDEX($S$13:$S$512,R289)),AND(F289&lt;&gt;"",NOT(ISNUMBER(F289)))),1,IF(ISNUMBER(F289),IF(ABS(F289-INDEX($F$13:$F$512,R289))&gt;0.00000001,1,0),0)))</f>
        <v>0</v>
      </c>
      <c r="U289" s="0" t="n">
        <f>IF(P289="DIRECTA",IF(AND(ISNUMBER(G289),COUNTA(H289:J289)=0),1,0),IF(P289="DIMENSIONES",IF(AND(COUNT(G289:J289)&gt;0,COUNTA(G289:J289)=COUNT(G289:J289)),1,0),0))</f>
        <v>0</v>
      </c>
      <c r="V289" s="0" t="n">
        <f>IF(O289=0,0,IF(COUNTIFS($O$13:O289,O289)=1,1,0))</f>
        <v>0</v>
      </c>
      <c r="W289" s="0">
        <f>IF(V289=1,COUNTIFS($V$13:V289,1),"")</f>
      </c>
      <c r="X289" s="0">
        <f>IF(COUNTA(B289:L289)=0,"",IF(OR(NOT(IF(ISNUMBER($E$6),AND($E$6&gt;=0,$E$6&lt;=6,$E$6=INT($E$6)),FALSE)),O289=0,R289=0,T289&gt;0,AND(P289&lt;&gt;"DIMENSIONES",P289&lt;&gt;"DIRECTA",P289&lt;&gt;"SIN LÍNEAS",P289&lt;&gt;"CABECERA"),AND(OR(P289="DIRECTA",P289="DIMENSIONES"),U289=0),AND(OR(P289="SIN LÍNEAS",P289="CABECERA"),COUNTA(G289:J289)&gt;0)),2,IF(OR(P289="SIN LÍNEAS",Y289&gt;0,Z289&gt;0,AA289&gt;0,SUMPRODUCT(--('LÉEME'!$B$65:$B$86=AC289))&lt;&gt;1),1,0)))</f>
      </c>
      <c r="Y289" s="0" t="n">
        <f>IF(AND(P289="DIMENSIONES",S289="m²",COUNT(H289:J289)=3),1,0)</f>
        <v>0</v>
      </c>
      <c r="Z289" s="0" t="n">
        <f>IF(IF(ISNUMBER($E$6),AND($E$6&gt;=0,$E$6&lt;=6,$E$6=INT($E$6)),FALSE),IF(SUM(IF(ISNUMBER(F289),IF(ABS(F289-ROUND(F289,$E$6))&gt;0.00000001,1,0),0),IF(ISNUMBER(G289),IF(ABS(G289-ROUND(G289,$E$6))&gt;0.00000001,1,0),0),IF(ISNUMBER(H289),IF(ABS(H289-ROUND(H289,$E$6))&gt;0.00000001,1,0),0),IF(ISNUMBER(I289),IF(ABS(I289-ROUND(I289,$E$6))&gt;0.00000001,1,0),0),IF(ISNUMBER(J289),IF(ABS(J289-ROUND(J289,$E$6))&gt;0.00000001,1,0),0),IF(ISNUMBER(M289),IF(ABS(M289-ROUND(M289,$E$6))&gt;0.00000001,1,0),0))&gt;0,1,0),0)</f>
        <v>0</v>
      </c>
      <c r="AA289" s="0" t="n">
        <f>IF(COUNTA(B289:L289)=0,0,IF(OR(AND(ISNUMBER(F289),F289&lt;0),AND(U289=1,OR(SUM(IF(ISNUMBER(G289),IF(G289=0,1,0),0),IF(ISNUMBER(H289),IF(H289=0,1,0),0),IF(ISNUMBER(I289),IF(I289=0,1,0),0),IF(ISNUMBER(J289),IF(J289=0,1,0),0))&gt;0,COUNTIFS(G289:J289,"&lt;0")&gt;0)),AND(P289="DIMENSIONES",U289=1,OR(AND(S289="m",COUNT(H289:J289)&lt;&gt;1),AND(S289="m²",COUNT(H289:J289)&lt;&gt;2,Y289=0),AND(S289="m³",COUNT(H289:J289)&lt;&gt;3),AND(S289="ud",COUNT(H289:J289)&gt;0))),AND(P289="DIRECTA",OR(S289="m",S289="m²",S289="m³"))),1,0))</f>
        <v>0</v>
      </c>
      <c r="AB289" s="0">
        <f>IF(LEN(TRIM(E289&amp;""))&gt;0,E289,IF(R289&gt;0,INDEX($E$13:$E$512,R289),""))</f>
      </c>
      <c r="AC289" s="0">
        <f>UPPER(SUBSTITUTE(SUBSTITUTE(SUBSTITUTE(SUBSTITUTE(SUBSTITUTE(TRIM(AB289),"²","2"),"³","3"),"^",""),".","")," ",""))</f>
      </c>
    </row>
    <row r="290" ht="35" customHeight="1">
      <c r="B290" s="35"/>
      <c r="C290" s="35"/>
      <c r="D290" s="37"/>
      <c r="E290" s="35"/>
      <c r="F290" s="38"/>
      <c r="G290" s="38"/>
      <c r="H290" s="38"/>
      <c r="I290" s="38"/>
      <c r="J290" s="38"/>
      <c r="K290" s="35"/>
      <c r="L290" s="35"/>
      <c r="M290" s="39">
        <f>IF(U290&lt;&gt;1,"",IF(P290="DIRECTA",G290,IF(ISNUMBER(G290),G290,1)*IF(ISNUMBER(H290),H290,1)*IF(ISNUMBER(I290),I290,1)*IF(ISNUMBER(J290),J290,1)))</f>
      </c>
      <c r="N290" s="30">
        <f>IF(COUNTA(B290:L290)=0,"",IF(X290=0,IF(P290="CABECERA","VERDE · Fila descriptiva; la suma usa las líneas del ID","VERDE · Datos numéricos interpretables"),IF(X290=2,"ROJO · ","ÁMBAR · ")&amp;IF(NOT(IF(ISNUMBER($E$6),AND($E$6&gt;=0,$E$6&lt;=6,$E$6=INT($E$6)),FALSE)),"Indicamos entre 0 y 6 decimales en E6. ","")&amp;IF(O290=0,"Falta un ID numérico. ","")&amp;IF(R290=0,"Faltan capítulo, código, unidad o total numérico del ID. ","")&amp;IF(T290&gt;0,"Los datos o el total del ID se contradicen. ","")&amp;IF(AND(P290&lt;&gt;"DIMENSIONES",P290&lt;&gt;"DIRECTA",P290&lt;&gt;"SIN LÍNEAS",P290&lt;&gt;"CABECERA"),"Tipo de fila no reconocido. ","")&amp;IF(AND(OR(P290="SIN LÍNEAS",P290="CABECERA"),COUNTA(G290:J290)&gt;0),"La fila dice que no mide, pero contiene medidas. ","")&amp;IF(AND(OR(P290="DIRECTA",P290="DIMENSIONES"),U290=0),"Línea incompleta o con medidas no numéricas. ","")&amp;IF(P290="SIN LÍNEAS","No constan medidas de esta fila. ","")&amp;IF(Y290&gt;0,"Parece m³: tres dimensiones bajo m². ","")&amp;IF(AND(AB290&lt;&gt;"",SUMPRODUCT(--('LÉEME'!$B$65:$B$86=AC290))&lt;&gt;1),"Revisamos el significado de la unidad. ","")&amp;IF(Z290&gt;0,"Más precisión que los decimales indicados: cotejamos el original. ","")&amp;IF(AA290&gt;0,"Revisamos dimensiones, cantidad directa, ceros o deducción. ","")))</f>
      </c>
      <c r="O290" s="0" t="n">
        <f>IF(ISNUMBER(K290),IF(AND(K290&gt;0,K290=INT(K290),K290&lt;=999999),K290,0),0)</f>
        <v>0</v>
      </c>
      <c r="P290" s="0">
        <f>IF(COUNTA(B290:L290)=0,"",IF(L290="",IF(COUNTA(G290:J290)&gt;0,"DIMENSIONES","SIN LÍNEAS"),UPPER(TRIM(L290))))</f>
      </c>
      <c r="Q290" s="0">
        <f>IF(AND(O290&gt;0,LEN(TRIM(B290&amp;""))&gt;0,LEN(TRIM(C290&amp;""))&gt;0,LEN(TRIM(E290&amp;""))&gt;0,ISNUMBER(F290)),O290,"")</f>
      </c>
      <c r="R290" s="0" t="n">
        <f>IF(O290=0,0,IF(COUNTIFS($Q$13:$Q$512,O290)&gt;0,MATCH(O290,$Q$13:$Q$512,0),0))</f>
        <v>0</v>
      </c>
      <c r="S290" s="0">
        <f>IF(AB290="","",IF(SUMPRODUCT(--('LÉEME'!$B$65:$B$86=AC290))=1,INDEX('LÉEME'!$C$65:$C$86,MATCH(AC290,'LÉEME'!$B$65:$B$86,0)),UPPER(TRIM(AB290))))</f>
      </c>
      <c r="T290" s="0" t="n">
        <f>IF(R290=0,0,IF(OR(AND(LEN(TRIM(B290&amp;""))&gt;0,UPPER(TRIM(B290&amp;""))&lt;&gt;UPPER(TRIM(INDEX($B$13:$B$512,R290)&amp;""))),AND(LEN(TRIM(C290&amp;""))&gt;0,UPPER(TRIM(C290&amp;""))&lt;&gt;UPPER(TRIM(INDEX($C$13:$C$512,R290)&amp;""))),AND(LEN(TRIM(E290&amp;""))&gt;0,S290&lt;&gt;INDEX($S$13:$S$512,R290)),AND(F290&lt;&gt;"",NOT(ISNUMBER(F290)))),1,IF(ISNUMBER(F290),IF(ABS(F290-INDEX($F$13:$F$512,R290))&gt;0.00000001,1,0),0)))</f>
        <v>0</v>
      </c>
      <c r="U290" s="0" t="n">
        <f>IF(P290="DIRECTA",IF(AND(ISNUMBER(G290),COUNTA(H290:J290)=0),1,0),IF(P290="DIMENSIONES",IF(AND(COUNT(G290:J290)&gt;0,COUNTA(G290:J290)=COUNT(G290:J290)),1,0),0))</f>
        <v>0</v>
      </c>
      <c r="V290" s="0" t="n">
        <f>IF(O290=0,0,IF(COUNTIFS($O$13:O290,O290)=1,1,0))</f>
        <v>0</v>
      </c>
      <c r="W290" s="0">
        <f>IF(V290=1,COUNTIFS($V$13:V290,1),"")</f>
      </c>
      <c r="X290" s="0">
        <f>IF(COUNTA(B290:L290)=0,"",IF(OR(NOT(IF(ISNUMBER($E$6),AND($E$6&gt;=0,$E$6&lt;=6,$E$6=INT($E$6)),FALSE)),O290=0,R290=0,T290&gt;0,AND(P290&lt;&gt;"DIMENSIONES",P290&lt;&gt;"DIRECTA",P290&lt;&gt;"SIN LÍNEAS",P290&lt;&gt;"CABECERA"),AND(OR(P290="DIRECTA",P290="DIMENSIONES"),U290=0),AND(OR(P290="SIN LÍNEAS",P290="CABECERA"),COUNTA(G290:J290)&gt;0)),2,IF(OR(P290="SIN LÍNEAS",Y290&gt;0,Z290&gt;0,AA290&gt;0,SUMPRODUCT(--('LÉEME'!$B$65:$B$86=AC290))&lt;&gt;1),1,0)))</f>
      </c>
      <c r="Y290" s="0" t="n">
        <f>IF(AND(P290="DIMENSIONES",S290="m²",COUNT(H290:J290)=3),1,0)</f>
        <v>0</v>
      </c>
      <c r="Z290" s="0" t="n">
        <f>IF(IF(ISNUMBER($E$6),AND($E$6&gt;=0,$E$6&lt;=6,$E$6=INT($E$6)),FALSE),IF(SUM(IF(ISNUMBER(F290),IF(ABS(F290-ROUND(F290,$E$6))&gt;0.00000001,1,0),0),IF(ISNUMBER(G290),IF(ABS(G290-ROUND(G290,$E$6))&gt;0.00000001,1,0),0),IF(ISNUMBER(H290),IF(ABS(H290-ROUND(H290,$E$6))&gt;0.00000001,1,0),0),IF(ISNUMBER(I290),IF(ABS(I290-ROUND(I290,$E$6))&gt;0.00000001,1,0),0),IF(ISNUMBER(J290),IF(ABS(J290-ROUND(J290,$E$6))&gt;0.00000001,1,0),0),IF(ISNUMBER(M290),IF(ABS(M290-ROUND(M290,$E$6))&gt;0.00000001,1,0),0))&gt;0,1,0),0)</f>
        <v>0</v>
      </c>
      <c r="AA290" s="0" t="n">
        <f>IF(COUNTA(B290:L290)=0,0,IF(OR(AND(ISNUMBER(F290),F290&lt;0),AND(U290=1,OR(SUM(IF(ISNUMBER(G290),IF(G290=0,1,0),0),IF(ISNUMBER(H290),IF(H290=0,1,0),0),IF(ISNUMBER(I290),IF(I290=0,1,0),0),IF(ISNUMBER(J290),IF(J290=0,1,0),0))&gt;0,COUNTIFS(G290:J290,"&lt;0")&gt;0)),AND(P290="DIMENSIONES",U290=1,OR(AND(S290="m",COUNT(H290:J290)&lt;&gt;1),AND(S290="m²",COUNT(H290:J290)&lt;&gt;2,Y290=0),AND(S290="m³",COUNT(H290:J290)&lt;&gt;3),AND(S290="ud",COUNT(H290:J290)&gt;0))),AND(P290="DIRECTA",OR(S290="m",S290="m²",S290="m³"))),1,0))</f>
        <v>0</v>
      </c>
      <c r="AB290" s="0">
        <f>IF(LEN(TRIM(E290&amp;""))&gt;0,E290,IF(R290&gt;0,INDEX($E$13:$E$512,R290),""))</f>
      </c>
      <c r="AC290" s="0">
        <f>UPPER(SUBSTITUTE(SUBSTITUTE(SUBSTITUTE(SUBSTITUTE(SUBSTITUTE(TRIM(AB290),"²","2"),"³","3"),"^",""),".","")," ",""))</f>
      </c>
    </row>
    <row r="291" ht="35" customHeight="1">
      <c r="B291" s="35"/>
      <c r="C291" s="35"/>
      <c r="D291" s="37"/>
      <c r="E291" s="35"/>
      <c r="F291" s="38"/>
      <c r="G291" s="38"/>
      <c r="H291" s="38"/>
      <c r="I291" s="38"/>
      <c r="J291" s="38"/>
      <c r="K291" s="35"/>
      <c r="L291" s="35"/>
      <c r="M291" s="39">
        <f>IF(U291&lt;&gt;1,"",IF(P291="DIRECTA",G291,IF(ISNUMBER(G291),G291,1)*IF(ISNUMBER(H291),H291,1)*IF(ISNUMBER(I291),I291,1)*IF(ISNUMBER(J291),J291,1)))</f>
      </c>
      <c r="N291" s="30">
        <f>IF(COUNTA(B291:L291)=0,"",IF(X291=0,IF(P291="CABECERA","VERDE · Fila descriptiva; la suma usa las líneas del ID","VERDE · Datos numéricos interpretables"),IF(X291=2,"ROJO · ","ÁMBAR · ")&amp;IF(NOT(IF(ISNUMBER($E$6),AND($E$6&gt;=0,$E$6&lt;=6,$E$6=INT($E$6)),FALSE)),"Indicamos entre 0 y 6 decimales en E6. ","")&amp;IF(O291=0,"Falta un ID numérico. ","")&amp;IF(R291=0,"Faltan capítulo, código, unidad o total numérico del ID. ","")&amp;IF(T291&gt;0,"Los datos o el total del ID se contradicen. ","")&amp;IF(AND(P291&lt;&gt;"DIMENSIONES",P291&lt;&gt;"DIRECTA",P291&lt;&gt;"SIN LÍNEAS",P291&lt;&gt;"CABECERA"),"Tipo de fila no reconocido. ","")&amp;IF(AND(OR(P291="SIN LÍNEAS",P291="CABECERA"),COUNTA(G291:J291)&gt;0),"La fila dice que no mide, pero contiene medidas. ","")&amp;IF(AND(OR(P291="DIRECTA",P291="DIMENSIONES"),U291=0),"Línea incompleta o con medidas no numéricas. ","")&amp;IF(P291="SIN LÍNEAS","No constan medidas de esta fila. ","")&amp;IF(Y291&gt;0,"Parece m³: tres dimensiones bajo m². ","")&amp;IF(AND(AB291&lt;&gt;"",SUMPRODUCT(--('LÉEME'!$B$65:$B$86=AC291))&lt;&gt;1),"Revisamos el significado de la unidad. ","")&amp;IF(Z291&gt;0,"Más precisión que los decimales indicados: cotejamos el original. ","")&amp;IF(AA291&gt;0,"Revisamos dimensiones, cantidad directa, ceros o deducción. ","")))</f>
      </c>
      <c r="O291" s="0" t="n">
        <f>IF(ISNUMBER(K291),IF(AND(K291&gt;0,K291=INT(K291),K291&lt;=999999),K291,0),0)</f>
        <v>0</v>
      </c>
      <c r="P291" s="0">
        <f>IF(COUNTA(B291:L291)=0,"",IF(L291="",IF(COUNTA(G291:J291)&gt;0,"DIMENSIONES","SIN LÍNEAS"),UPPER(TRIM(L291))))</f>
      </c>
      <c r="Q291" s="0">
        <f>IF(AND(O291&gt;0,LEN(TRIM(B291&amp;""))&gt;0,LEN(TRIM(C291&amp;""))&gt;0,LEN(TRIM(E291&amp;""))&gt;0,ISNUMBER(F291)),O291,"")</f>
      </c>
      <c r="R291" s="0" t="n">
        <f>IF(O291=0,0,IF(COUNTIFS($Q$13:$Q$512,O291)&gt;0,MATCH(O291,$Q$13:$Q$512,0),0))</f>
        <v>0</v>
      </c>
      <c r="S291" s="0">
        <f>IF(AB291="","",IF(SUMPRODUCT(--('LÉEME'!$B$65:$B$86=AC291))=1,INDEX('LÉEME'!$C$65:$C$86,MATCH(AC291,'LÉEME'!$B$65:$B$86,0)),UPPER(TRIM(AB291))))</f>
      </c>
      <c r="T291" s="0" t="n">
        <f>IF(R291=0,0,IF(OR(AND(LEN(TRIM(B291&amp;""))&gt;0,UPPER(TRIM(B291&amp;""))&lt;&gt;UPPER(TRIM(INDEX($B$13:$B$512,R291)&amp;""))),AND(LEN(TRIM(C291&amp;""))&gt;0,UPPER(TRIM(C291&amp;""))&lt;&gt;UPPER(TRIM(INDEX($C$13:$C$512,R291)&amp;""))),AND(LEN(TRIM(E291&amp;""))&gt;0,S291&lt;&gt;INDEX($S$13:$S$512,R291)),AND(F291&lt;&gt;"",NOT(ISNUMBER(F291)))),1,IF(ISNUMBER(F291),IF(ABS(F291-INDEX($F$13:$F$512,R291))&gt;0.00000001,1,0),0)))</f>
        <v>0</v>
      </c>
      <c r="U291" s="0" t="n">
        <f>IF(P291="DIRECTA",IF(AND(ISNUMBER(G291),COUNTA(H291:J291)=0),1,0),IF(P291="DIMENSIONES",IF(AND(COUNT(G291:J291)&gt;0,COUNTA(G291:J291)=COUNT(G291:J291)),1,0),0))</f>
        <v>0</v>
      </c>
      <c r="V291" s="0" t="n">
        <f>IF(O291=0,0,IF(COUNTIFS($O$13:O291,O291)=1,1,0))</f>
        <v>0</v>
      </c>
      <c r="W291" s="0">
        <f>IF(V291=1,COUNTIFS($V$13:V291,1),"")</f>
      </c>
      <c r="X291" s="0">
        <f>IF(COUNTA(B291:L291)=0,"",IF(OR(NOT(IF(ISNUMBER($E$6),AND($E$6&gt;=0,$E$6&lt;=6,$E$6=INT($E$6)),FALSE)),O291=0,R291=0,T291&gt;0,AND(P291&lt;&gt;"DIMENSIONES",P291&lt;&gt;"DIRECTA",P291&lt;&gt;"SIN LÍNEAS",P291&lt;&gt;"CABECERA"),AND(OR(P291="DIRECTA",P291="DIMENSIONES"),U291=0),AND(OR(P291="SIN LÍNEAS",P291="CABECERA"),COUNTA(G291:J291)&gt;0)),2,IF(OR(P291="SIN LÍNEAS",Y291&gt;0,Z291&gt;0,AA291&gt;0,SUMPRODUCT(--('LÉEME'!$B$65:$B$86=AC291))&lt;&gt;1),1,0)))</f>
      </c>
      <c r="Y291" s="0" t="n">
        <f>IF(AND(P291="DIMENSIONES",S291="m²",COUNT(H291:J291)=3),1,0)</f>
        <v>0</v>
      </c>
      <c r="Z291" s="0" t="n">
        <f>IF(IF(ISNUMBER($E$6),AND($E$6&gt;=0,$E$6&lt;=6,$E$6=INT($E$6)),FALSE),IF(SUM(IF(ISNUMBER(F291),IF(ABS(F291-ROUND(F291,$E$6))&gt;0.00000001,1,0),0),IF(ISNUMBER(G291),IF(ABS(G291-ROUND(G291,$E$6))&gt;0.00000001,1,0),0),IF(ISNUMBER(H291),IF(ABS(H291-ROUND(H291,$E$6))&gt;0.00000001,1,0),0),IF(ISNUMBER(I291),IF(ABS(I291-ROUND(I291,$E$6))&gt;0.00000001,1,0),0),IF(ISNUMBER(J291),IF(ABS(J291-ROUND(J291,$E$6))&gt;0.00000001,1,0),0),IF(ISNUMBER(M291),IF(ABS(M291-ROUND(M291,$E$6))&gt;0.00000001,1,0),0))&gt;0,1,0),0)</f>
        <v>0</v>
      </c>
      <c r="AA291" s="0" t="n">
        <f>IF(COUNTA(B291:L291)=0,0,IF(OR(AND(ISNUMBER(F291),F291&lt;0),AND(U291=1,OR(SUM(IF(ISNUMBER(G291),IF(G291=0,1,0),0),IF(ISNUMBER(H291),IF(H291=0,1,0),0),IF(ISNUMBER(I291),IF(I291=0,1,0),0),IF(ISNUMBER(J291),IF(J291=0,1,0),0))&gt;0,COUNTIFS(G291:J291,"&lt;0")&gt;0)),AND(P291="DIMENSIONES",U291=1,OR(AND(S291="m",COUNT(H291:J291)&lt;&gt;1),AND(S291="m²",COUNT(H291:J291)&lt;&gt;2,Y291=0),AND(S291="m³",COUNT(H291:J291)&lt;&gt;3),AND(S291="ud",COUNT(H291:J291)&gt;0))),AND(P291="DIRECTA",OR(S291="m",S291="m²",S291="m³"))),1,0))</f>
        <v>0</v>
      </c>
      <c r="AB291" s="0">
        <f>IF(LEN(TRIM(E291&amp;""))&gt;0,E291,IF(R291&gt;0,INDEX($E$13:$E$512,R291),""))</f>
      </c>
      <c r="AC291" s="0">
        <f>UPPER(SUBSTITUTE(SUBSTITUTE(SUBSTITUTE(SUBSTITUTE(SUBSTITUTE(TRIM(AB291),"²","2"),"³","3"),"^",""),".","")," ",""))</f>
      </c>
    </row>
    <row r="292" ht="35" customHeight="1">
      <c r="B292" s="35"/>
      <c r="C292" s="35"/>
      <c r="D292" s="37"/>
      <c r="E292" s="35"/>
      <c r="F292" s="38"/>
      <c r="G292" s="38"/>
      <c r="H292" s="38"/>
      <c r="I292" s="38"/>
      <c r="J292" s="38"/>
      <c r="K292" s="35"/>
      <c r="L292" s="35"/>
      <c r="M292" s="39">
        <f>IF(U292&lt;&gt;1,"",IF(P292="DIRECTA",G292,IF(ISNUMBER(G292),G292,1)*IF(ISNUMBER(H292),H292,1)*IF(ISNUMBER(I292),I292,1)*IF(ISNUMBER(J292),J292,1)))</f>
      </c>
      <c r="N292" s="30">
        <f>IF(COUNTA(B292:L292)=0,"",IF(X292=0,IF(P292="CABECERA","VERDE · Fila descriptiva; la suma usa las líneas del ID","VERDE · Datos numéricos interpretables"),IF(X292=2,"ROJO · ","ÁMBAR · ")&amp;IF(NOT(IF(ISNUMBER($E$6),AND($E$6&gt;=0,$E$6&lt;=6,$E$6=INT($E$6)),FALSE)),"Indicamos entre 0 y 6 decimales en E6. ","")&amp;IF(O292=0,"Falta un ID numérico. ","")&amp;IF(R292=0,"Faltan capítulo, código, unidad o total numérico del ID. ","")&amp;IF(T292&gt;0,"Los datos o el total del ID se contradicen. ","")&amp;IF(AND(P292&lt;&gt;"DIMENSIONES",P292&lt;&gt;"DIRECTA",P292&lt;&gt;"SIN LÍNEAS",P292&lt;&gt;"CABECERA"),"Tipo de fila no reconocido. ","")&amp;IF(AND(OR(P292="SIN LÍNEAS",P292="CABECERA"),COUNTA(G292:J292)&gt;0),"La fila dice que no mide, pero contiene medidas. ","")&amp;IF(AND(OR(P292="DIRECTA",P292="DIMENSIONES"),U292=0),"Línea incompleta o con medidas no numéricas. ","")&amp;IF(P292="SIN LÍNEAS","No constan medidas de esta fila. ","")&amp;IF(Y292&gt;0,"Parece m³: tres dimensiones bajo m². ","")&amp;IF(AND(AB292&lt;&gt;"",SUMPRODUCT(--('LÉEME'!$B$65:$B$86=AC292))&lt;&gt;1),"Revisamos el significado de la unidad. ","")&amp;IF(Z292&gt;0,"Más precisión que los decimales indicados: cotejamos el original. ","")&amp;IF(AA292&gt;0,"Revisamos dimensiones, cantidad directa, ceros o deducción. ","")))</f>
      </c>
      <c r="O292" s="0" t="n">
        <f>IF(ISNUMBER(K292),IF(AND(K292&gt;0,K292=INT(K292),K292&lt;=999999),K292,0),0)</f>
        <v>0</v>
      </c>
      <c r="P292" s="0">
        <f>IF(COUNTA(B292:L292)=0,"",IF(L292="",IF(COUNTA(G292:J292)&gt;0,"DIMENSIONES","SIN LÍNEAS"),UPPER(TRIM(L292))))</f>
      </c>
      <c r="Q292" s="0">
        <f>IF(AND(O292&gt;0,LEN(TRIM(B292&amp;""))&gt;0,LEN(TRIM(C292&amp;""))&gt;0,LEN(TRIM(E292&amp;""))&gt;0,ISNUMBER(F292)),O292,"")</f>
      </c>
      <c r="R292" s="0" t="n">
        <f>IF(O292=0,0,IF(COUNTIFS($Q$13:$Q$512,O292)&gt;0,MATCH(O292,$Q$13:$Q$512,0),0))</f>
        <v>0</v>
      </c>
      <c r="S292" s="0">
        <f>IF(AB292="","",IF(SUMPRODUCT(--('LÉEME'!$B$65:$B$86=AC292))=1,INDEX('LÉEME'!$C$65:$C$86,MATCH(AC292,'LÉEME'!$B$65:$B$86,0)),UPPER(TRIM(AB292))))</f>
      </c>
      <c r="T292" s="0" t="n">
        <f>IF(R292=0,0,IF(OR(AND(LEN(TRIM(B292&amp;""))&gt;0,UPPER(TRIM(B292&amp;""))&lt;&gt;UPPER(TRIM(INDEX($B$13:$B$512,R292)&amp;""))),AND(LEN(TRIM(C292&amp;""))&gt;0,UPPER(TRIM(C292&amp;""))&lt;&gt;UPPER(TRIM(INDEX($C$13:$C$512,R292)&amp;""))),AND(LEN(TRIM(E292&amp;""))&gt;0,S292&lt;&gt;INDEX($S$13:$S$512,R292)),AND(F292&lt;&gt;"",NOT(ISNUMBER(F292)))),1,IF(ISNUMBER(F292),IF(ABS(F292-INDEX($F$13:$F$512,R292))&gt;0.00000001,1,0),0)))</f>
        <v>0</v>
      </c>
      <c r="U292" s="0" t="n">
        <f>IF(P292="DIRECTA",IF(AND(ISNUMBER(G292),COUNTA(H292:J292)=0),1,0),IF(P292="DIMENSIONES",IF(AND(COUNT(G292:J292)&gt;0,COUNTA(G292:J292)=COUNT(G292:J292)),1,0),0))</f>
        <v>0</v>
      </c>
      <c r="V292" s="0" t="n">
        <f>IF(O292=0,0,IF(COUNTIFS($O$13:O292,O292)=1,1,0))</f>
        <v>0</v>
      </c>
      <c r="W292" s="0">
        <f>IF(V292=1,COUNTIFS($V$13:V292,1),"")</f>
      </c>
      <c r="X292" s="0">
        <f>IF(COUNTA(B292:L292)=0,"",IF(OR(NOT(IF(ISNUMBER($E$6),AND($E$6&gt;=0,$E$6&lt;=6,$E$6=INT($E$6)),FALSE)),O292=0,R292=0,T292&gt;0,AND(P292&lt;&gt;"DIMENSIONES",P292&lt;&gt;"DIRECTA",P292&lt;&gt;"SIN LÍNEAS",P292&lt;&gt;"CABECERA"),AND(OR(P292="DIRECTA",P292="DIMENSIONES"),U292=0),AND(OR(P292="SIN LÍNEAS",P292="CABECERA"),COUNTA(G292:J292)&gt;0)),2,IF(OR(P292="SIN LÍNEAS",Y292&gt;0,Z292&gt;0,AA292&gt;0,SUMPRODUCT(--('LÉEME'!$B$65:$B$86=AC292))&lt;&gt;1),1,0)))</f>
      </c>
      <c r="Y292" s="0" t="n">
        <f>IF(AND(P292="DIMENSIONES",S292="m²",COUNT(H292:J292)=3),1,0)</f>
        <v>0</v>
      </c>
      <c r="Z292" s="0" t="n">
        <f>IF(IF(ISNUMBER($E$6),AND($E$6&gt;=0,$E$6&lt;=6,$E$6=INT($E$6)),FALSE),IF(SUM(IF(ISNUMBER(F292),IF(ABS(F292-ROUND(F292,$E$6))&gt;0.00000001,1,0),0),IF(ISNUMBER(G292),IF(ABS(G292-ROUND(G292,$E$6))&gt;0.00000001,1,0),0),IF(ISNUMBER(H292),IF(ABS(H292-ROUND(H292,$E$6))&gt;0.00000001,1,0),0),IF(ISNUMBER(I292),IF(ABS(I292-ROUND(I292,$E$6))&gt;0.00000001,1,0),0),IF(ISNUMBER(J292),IF(ABS(J292-ROUND(J292,$E$6))&gt;0.00000001,1,0),0),IF(ISNUMBER(M292),IF(ABS(M292-ROUND(M292,$E$6))&gt;0.00000001,1,0),0))&gt;0,1,0),0)</f>
        <v>0</v>
      </c>
      <c r="AA292" s="0" t="n">
        <f>IF(COUNTA(B292:L292)=0,0,IF(OR(AND(ISNUMBER(F292),F292&lt;0),AND(U292=1,OR(SUM(IF(ISNUMBER(G292),IF(G292=0,1,0),0),IF(ISNUMBER(H292),IF(H292=0,1,0),0),IF(ISNUMBER(I292),IF(I292=0,1,0),0),IF(ISNUMBER(J292),IF(J292=0,1,0),0))&gt;0,COUNTIFS(G292:J292,"&lt;0")&gt;0)),AND(P292="DIMENSIONES",U292=1,OR(AND(S292="m",COUNT(H292:J292)&lt;&gt;1),AND(S292="m²",COUNT(H292:J292)&lt;&gt;2,Y292=0),AND(S292="m³",COUNT(H292:J292)&lt;&gt;3),AND(S292="ud",COUNT(H292:J292)&gt;0))),AND(P292="DIRECTA",OR(S292="m",S292="m²",S292="m³"))),1,0))</f>
        <v>0</v>
      </c>
      <c r="AB292" s="0">
        <f>IF(LEN(TRIM(E292&amp;""))&gt;0,E292,IF(R292&gt;0,INDEX($E$13:$E$512,R292),""))</f>
      </c>
      <c r="AC292" s="0">
        <f>UPPER(SUBSTITUTE(SUBSTITUTE(SUBSTITUTE(SUBSTITUTE(SUBSTITUTE(TRIM(AB292),"²","2"),"³","3"),"^",""),".","")," ",""))</f>
      </c>
    </row>
    <row r="293" ht="35" customHeight="1">
      <c r="B293" s="35"/>
      <c r="C293" s="35"/>
      <c r="D293" s="37"/>
      <c r="E293" s="35"/>
      <c r="F293" s="38"/>
      <c r="G293" s="38"/>
      <c r="H293" s="38"/>
      <c r="I293" s="38"/>
      <c r="J293" s="38"/>
      <c r="K293" s="35"/>
      <c r="L293" s="35"/>
      <c r="M293" s="39">
        <f>IF(U293&lt;&gt;1,"",IF(P293="DIRECTA",G293,IF(ISNUMBER(G293),G293,1)*IF(ISNUMBER(H293),H293,1)*IF(ISNUMBER(I293),I293,1)*IF(ISNUMBER(J293),J293,1)))</f>
      </c>
      <c r="N293" s="30">
        <f>IF(COUNTA(B293:L293)=0,"",IF(X293=0,IF(P293="CABECERA","VERDE · Fila descriptiva; la suma usa las líneas del ID","VERDE · Datos numéricos interpretables"),IF(X293=2,"ROJO · ","ÁMBAR · ")&amp;IF(NOT(IF(ISNUMBER($E$6),AND($E$6&gt;=0,$E$6&lt;=6,$E$6=INT($E$6)),FALSE)),"Indicamos entre 0 y 6 decimales en E6. ","")&amp;IF(O293=0,"Falta un ID numérico. ","")&amp;IF(R293=0,"Faltan capítulo, código, unidad o total numérico del ID. ","")&amp;IF(T293&gt;0,"Los datos o el total del ID se contradicen. ","")&amp;IF(AND(P293&lt;&gt;"DIMENSIONES",P293&lt;&gt;"DIRECTA",P293&lt;&gt;"SIN LÍNEAS",P293&lt;&gt;"CABECERA"),"Tipo de fila no reconocido. ","")&amp;IF(AND(OR(P293="SIN LÍNEAS",P293="CABECERA"),COUNTA(G293:J293)&gt;0),"La fila dice que no mide, pero contiene medidas. ","")&amp;IF(AND(OR(P293="DIRECTA",P293="DIMENSIONES"),U293=0),"Línea incompleta o con medidas no numéricas. ","")&amp;IF(P293="SIN LÍNEAS","No constan medidas de esta fila. ","")&amp;IF(Y293&gt;0,"Parece m³: tres dimensiones bajo m². ","")&amp;IF(AND(AB293&lt;&gt;"",SUMPRODUCT(--('LÉEME'!$B$65:$B$86=AC293))&lt;&gt;1),"Revisamos el significado de la unidad. ","")&amp;IF(Z293&gt;0,"Más precisión que los decimales indicados: cotejamos el original. ","")&amp;IF(AA293&gt;0,"Revisamos dimensiones, cantidad directa, ceros o deducción. ","")))</f>
      </c>
      <c r="O293" s="0" t="n">
        <f>IF(ISNUMBER(K293),IF(AND(K293&gt;0,K293=INT(K293),K293&lt;=999999),K293,0),0)</f>
        <v>0</v>
      </c>
      <c r="P293" s="0">
        <f>IF(COUNTA(B293:L293)=0,"",IF(L293="",IF(COUNTA(G293:J293)&gt;0,"DIMENSIONES","SIN LÍNEAS"),UPPER(TRIM(L293))))</f>
      </c>
      <c r="Q293" s="0">
        <f>IF(AND(O293&gt;0,LEN(TRIM(B293&amp;""))&gt;0,LEN(TRIM(C293&amp;""))&gt;0,LEN(TRIM(E293&amp;""))&gt;0,ISNUMBER(F293)),O293,"")</f>
      </c>
      <c r="R293" s="0" t="n">
        <f>IF(O293=0,0,IF(COUNTIFS($Q$13:$Q$512,O293)&gt;0,MATCH(O293,$Q$13:$Q$512,0),0))</f>
        <v>0</v>
      </c>
      <c r="S293" s="0">
        <f>IF(AB293="","",IF(SUMPRODUCT(--('LÉEME'!$B$65:$B$86=AC293))=1,INDEX('LÉEME'!$C$65:$C$86,MATCH(AC293,'LÉEME'!$B$65:$B$86,0)),UPPER(TRIM(AB293))))</f>
      </c>
      <c r="T293" s="0" t="n">
        <f>IF(R293=0,0,IF(OR(AND(LEN(TRIM(B293&amp;""))&gt;0,UPPER(TRIM(B293&amp;""))&lt;&gt;UPPER(TRIM(INDEX($B$13:$B$512,R293)&amp;""))),AND(LEN(TRIM(C293&amp;""))&gt;0,UPPER(TRIM(C293&amp;""))&lt;&gt;UPPER(TRIM(INDEX($C$13:$C$512,R293)&amp;""))),AND(LEN(TRIM(E293&amp;""))&gt;0,S293&lt;&gt;INDEX($S$13:$S$512,R293)),AND(F293&lt;&gt;"",NOT(ISNUMBER(F293)))),1,IF(ISNUMBER(F293),IF(ABS(F293-INDEX($F$13:$F$512,R293))&gt;0.00000001,1,0),0)))</f>
        <v>0</v>
      </c>
      <c r="U293" s="0" t="n">
        <f>IF(P293="DIRECTA",IF(AND(ISNUMBER(G293),COUNTA(H293:J293)=0),1,0),IF(P293="DIMENSIONES",IF(AND(COUNT(G293:J293)&gt;0,COUNTA(G293:J293)=COUNT(G293:J293)),1,0),0))</f>
        <v>0</v>
      </c>
      <c r="V293" s="0" t="n">
        <f>IF(O293=0,0,IF(COUNTIFS($O$13:O293,O293)=1,1,0))</f>
        <v>0</v>
      </c>
      <c r="W293" s="0">
        <f>IF(V293=1,COUNTIFS($V$13:V293,1),"")</f>
      </c>
      <c r="X293" s="0">
        <f>IF(COUNTA(B293:L293)=0,"",IF(OR(NOT(IF(ISNUMBER($E$6),AND($E$6&gt;=0,$E$6&lt;=6,$E$6=INT($E$6)),FALSE)),O293=0,R293=0,T293&gt;0,AND(P293&lt;&gt;"DIMENSIONES",P293&lt;&gt;"DIRECTA",P293&lt;&gt;"SIN LÍNEAS",P293&lt;&gt;"CABECERA"),AND(OR(P293="DIRECTA",P293="DIMENSIONES"),U293=0),AND(OR(P293="SIN LÍNEAS",P293="CABECERA"),COUNTA(G293:J293)&gt;0)),2,IF(OR(P293="SIN LÍNEAS",Y293&gt;0,Z293&gt;0,AA293&gt;0,SUMPRODUCT(--('LÉEME'!$B$65:$B$86=AC293))&lt;&gt;1),1,0)))</f>
      </c>
      <c r="Y293" s="0" t="n">
        <f>IF(AND(P293="DIMENSIONES",S293="m²",COUNT(H293:J293)=3),1,0)</f>
        <v>0</v>
      </c>
      <c r="Z293" s="0" t="n">
        <f>IF(IF(ISNUMBER($E$6),AND($E$6&gt;=0,$E$6&lt;=6,$E$6=INT($E$6)),FALSE),IF(SUM(IF(ISNUMBER(F293),IF(ABS(F293-ROUND(F293,$E$6))&gt;0.00000001,1,0),0),IF(ISNUMBER(G293),IF(ABS(G293-ROUND(G293,$E$6))&gt;0.00000001,1,0),0),IF(ISNUMBER(H293),IF(ABS(H293-ROUND(H293,$E$6))&gt;0.00000001,1,0),0),IF(ISNUMBER(I293),IF(ABS(I293-ROUND(I293,$E$6))&gt;0.00000001,1,0),0),IF(ISNUMBER(J293),IF(ABS(J293-ROUND(J293,$E$6))&gt;0.00000001,1,0),0),IF(ISNUMBER(M293),IF(ABS(M293-ROUND(M293,$E$6))&gt;0.00000001,1,0),0))&gt;0,1,0),0)</f>
        <v>0</v>
      </c>
      <c r="AA293" s="0" t="n">
        <f>IF(COUNTA(B293:L293)=0,0,IF(OR(AND(ISNUMBER(F293),F293&lt;0),AND(U293=1,OR(SUM(IF(ISNUMBER(G293),IF(G293=0,1,0),0),IF(ISNUMBER(H293),IF(H293=0,1,0),0),IF(ISNUMBER(I293),IF(I293=0,1,0),0),IF(ISNUMBER(J293),IF(J293=0,1,0),0))&gt;0,COUNTIFS(G293:J293,"&lt;0")&gt;0)),AND(P293="DIMENSIONES",U293=1,OR(AND(S293="m",COUNT(H293:J293)&lt;&gt;1),AND(S293="m²",COUNT(H293:J293)&lt;&gt;2,Y293=0),AND(S293="m³",COUNT(H293:J293)&lt;&gt;3),AND(S293="ud",COUNT(H293:J293)&gt;0))),AND(P293="DIRECTA",OR(S293="m",S293="m²",S293="m³"))),1,0))</f>
        <v>0</v>
      </c>
      <c r="AB293" s="0">
        <f>IF(LEN(TRIM(E293&amp;""))&gt;0,E293,IF(R293&gt;0,INDEX($E$13:$E$512,R293),""))</f>
      </c>
      <c r="AC293" s="0">
        <f>UPPER(SUBSTITUTE(SUBSTITUTE(SUBSTITUTE(SUBSTITUTE(SUBSTITUTE(TRIM(AB293),"²","2"),"³","3"),"^",""),".","")," ",""))</f>
      </c>
    </row>
    <row r="294" ht="35" customHeight="1">
      <c r="B294" s="35"/>
      <c r="C294" s="35"/>
      <c r="D294" s="37"/>
      <c r="E294" s="35"/>
      <c r="F294" s="38"/>
      <c r="G294" s="38"/>
      <c r="H294" s="38"/>
      <c r="I294" s="38"/>
      <c r="J294" s="38"/>
      <c r="K294" s="35"/>
      <c r="L294" s="35"/>
      <c r="M294" s="39">
        <f>IF(U294&lt;&gt;1,"",IF(P294="DIRECTA",G294,IF(ISNUMBER(G294),G294,1)*IF(ISNUMBER(H294),H294,1)*IF(ISNUMBER(I294),I294,1)*IF(ISNUMBER(J294),J294,1)))</f>
      </c>
      <c r="N294" s="30">
        <f>IF(COUNTA(B294:L294)=0,"",IF(X294=0,IF(P294="CABECERA","VERDE · Fila descriptiva; la suma usa las líneas del ID","VERDE · Datos numéricos interpretables"),IF(X294=2,"ROJO · ","ÁMBAR · ")&amp;IF(NOT(IF(ISNUMBER($E$6),AND($E$6&gt;=0,$E$6&lt;=6,$E$6=INT($E$6)),FALSE)),"Indicamos entre 0 y 6 decimales en E6. ","")&amp;IF(O294=0,"Falta un ID numérico. ","")&amp;IF(R294=0,"Faltan capítulo, código, unidad o total numérico del ID. ","")&amp;IF(T294&gt;0,"Los datos o el total del ID se contradicen. ","")&amp;IF(AND(P294&lt;&gt;"DIMENSIONES",P294&lt;&gt;"DIRECTA",P294&lt;&gt;"SIN LÍNEAS",P294&lt;&gt;"CABECERA"),"Tipo de fila no reconocido. ","")&amp;IF(AND(OR(P294="SIN LÍNEAS",P294="CABECERA"),COUNTA(G294:J294)&gt;0),"La fila dice que no mide, pero contiene medidas. ","")&amp;IF(AND(OR(P294="DIRECTA",P294="DIMENSIONES"),U294=0),"Línea incompleta o con medidas no numéricas. ","")&amp;IF(P294="SIN LÍNEAS","No constan medidas de esta fila. ","")&amp;IF(Y294&gt;0,"Parece m³: tres dimensiones bajo m². ","")&amp;IF(AND(AB294&lt;&gt;"",SUMPRODUCT(--('LÉEME'!$B$65:$B$86=AC294))&lt;&gt;1),"Revisamos el significado de la unidad. ","")&amp;IF(Z294&gt;0,"Más precisión que los decimales indicados: cotejamos el original. ","")&amp;IF(AA294&gt;0,"Revisamos dimensiones, cantidad directa, ceros o deducción. ","")))</f>
      </c>
      <c r="O294" s="0" t="n">
        <f>IF(ISNUMBER(K294),IF(AND(K294&gt;0,K294=INT(K294),K294&lt;=999999),K294,0),0)</f>
        <v>0</v>
      </c>
      <c r="P294" s="0">
        <f>IF(COUNTA(B294:L294)=0,"",IF(L294="",IF(COUNTA(G294:J294)&gt;0,"DIMENSIONES","SIN LÍNEAS"),UPPER(TRIM(L294))))</f>
      </c>
      <c r="Q294" s="0">
        <f>IF(AND(O294&gt;0,LEN(TRIM(B294&amp;""))&gt;0,LEN(TRIM(C294&amp;""))&gt;0,LEN(TRIM(E294&amp;""))&gt;0,ISNUMBER(F294)),O294,"")</f>
      </c>
      <c r="R294" s="0" t="n">
        <f>IF(O294=0,0,IF(COUNTIFS($Q$13:$Q$512,O294)&gt;0,MATCH(O294,$Q$13:$Q$512,0),0))</f>
        <v>0</v>
      </c>
      <c r="S294" s="0">
        <f>IF(AB294="","",IF(SUMPRODUCT(--('LÉEME'!$B$65:$B$86=AC294))=1,INDEX('LÉEME'!$C$65:$C$86,MATCH(AC294,'LÉEME'!$B$65:$B$86,0)),UPPER(TRIM(AB294))))</f>
      </c>
      <c r="T294" s="0" t="n">
        <f>IF(R294=0,0,IF(OR(AND(LEN(TRIM(B294&amp;""))&gt;0,UPPER(TRIM(B294&amp;""))&lt;&gt;UPPER(TRIM(INDEX($B$13:$B$512,R294)&amp;""))),AND(LEN(TRIM(C294&amp;""))&gt;0,UPPER(TRIM(C294&amp;""))&lt;&gt;UPPER(TRIM(INDEX($C$13:$C$512,R294)&amp;""))),AND(LEN(TRIM(E294&amp;""))&gt;0,S294&lt;&gt;INDEX($S$13:$S$512,R294)),AND(F294&lt;&gt;"",NOT(ISNUMBER(F294)))),1,IF(ISNUMBER(F294),IF(ABS(F294-INDEX($F$13:$F$512,R294))&gt;0.00000001,1,0),0)))</f>
        <v>0</v>
      </c>
      <c r="U294" s="0" t="n">
        <f>IF(P294="DIRECTA",IF(AND(ISNUMBER(G294),COUNTA(H294:J294)=0),1,0),IF(P294="DIMENSIONES",IF(AND(COUNT(G294:J294)&gt;0,COUNTA(G294:J294)=COUNT(G294:J294)),1,0),0))</f>
        <v>0</v>
      </c>
      <c r="V294" s="0" t="n">
        <f>IF(O294=0,0,IF(COUNTIFS($O$13:O294,O294)=1,1,0))</f>
        <v>0</v>
      </c>
      <c r="W294" s="0">
        <f>IF(V294=1,COUNTIFS($V$13:V294,1),"")</f>
      </c>
      <c r="X294" s="0">
        <f>IF(COUNTA(B294:L294)=0,"",IF(OR(NOT(IF(ISNUMBER($E$6),AND($E$6&gt;=0,$E$6&lt;=6,$E$6=INT($E$6)),FALSE)),O294=0,R294=0,T294&gt;0,AND(P294&lt;&gt;"DIMENSIONES",P294&lt;&gt;"DIRECTA",P294&lt;&gt;"SIN LÍNEAS",P294&lt;&gt;"CABECERA"),AND(OR(P294="DIRECTA",P294="DIMENSIONES"),U294=0),AND(OR(P294="SIN LÍNEAS",P294="CABECERA"),COUNTA(G294:J294)&gt;0)),2,IF(OR(P294="SIN LÍNEAS",Y294&gt;0,Z294&gt;0,AA294&gt;0,SUMPRODUCT(--('LÉEME'!$B$65:$B$86=AC294))&lt;&gt;1),1,0)))</f>
      </c>
      <c r="Y294" s="0" t="n">
        <f>IF(AND(P294="DIMENSIONES",S294="m²",COUNT(H294:J294)=3),1,0)</f>
        <v>0</v>
      </c>
      <c r="Z294" s="0" t="n">
        <f>IF(IF(ISNUMBER($E$6),AND($E$6&gt;=0,$E$6&lt;=6,$E$6=INT($E$6)),FALSE),IF(SUM(IF(ISNUMBER(F294),IF(ABS(F294-ROUND(F294,$E$6))&gt;0.00000001,1,0),0),IF(ISNUMBER(G294),IF(ABS(G294-ROUND(G294,$E$6))&gt;0.00000001,1,0),0),IF(ISNUMBER(H294),IF(ABS(H294-ROUND(H294,$E$6))&gt;0.00000001,1,0),0),IF(ISNUMBER(I294),IF(ABS(I294-ROUND(I294,$E$6))&gt;0.00000001,1,0),0),IF(ISNUMBER(J294),IF(ABS(J294-ROUND(J294,$E$6))&gt;0.00000001,1,0),0),IF(ISNUMBER(M294),IF(ABS(M294-ROUND(M294,$E$6))&gt;0.00000001,1,0),0))&gt;0,1,0),0)</f>
        <v>0</v>
      </c>
      <c r="AA294" s="0" t="n">
        <f>IF(COUNTA(B294:L294)=0,0,IF(OR(AND(ISNUMBER(F294),F294&lt;0),AND(U294=1,OR(SUM(IF(ISNUMBER(G294),IF(G294=0,1,0),0),IF(ISNUMBER(H294),IF(H294=0,1,0),0),IF(ISNUMBER(I294),IF(I294=0,1,0),0),IF(ISNUMBER(J294),IF(J294=0,1,0),0))&gt;0,COUNTIFS(G294:J294,"&lt;0")&gt;0)),AND(P294="DIMENSIONES",U294=1,OR(AND(S294="m",COUNT(H294:J294)&lt;&gt;1),AND(S294="m²",COUNT(H294:J294)&lt;&gt;2,Y294=0),AND(S294="m³",COUNT(H294:J294)&lt;&gt;3),AND(S294="ud",COUNT(H294:J294)&gt;0))),AND(P294="DIRECTA",OR(S294="m",S294="m²",S294="m³"))),1,0))</f>
        <v>0</v>
      </c>
      <c r="AB294" s="0">
        <f>IF(LEN(TRIM(E294&amp;""))&gt;0,E294,IF(R294&gt;0,INDEX($E$13:$E$512,R294),""))</f>
      </c>
      <c r="AC294" s="0">
        <f>UPPER(SUBSTITUTE(SUBSTITUTE(SUBSTITUTE(SUBSTITUTE(SUBSTITUTE(TRIM(AB294),"²","2"),"³","3"),"^",""),".","")," ",""))</f>
      </c>
    </row>
    <row r="295" ht="35" customHeight="1">
      <c r="B295" s="35"/>
      <c r="C295" s="35"/>
      <c r="D295" s="37"/>
      <c r="E295" s="35"/>
      <c r="F295" s="38"/>
      <c r="G295" s="38"/>
      <c r="H295" s="38"/>
      <c r="I295" s="38"/>
      <c r="J295" s="38"/>
      <c r="K295" s="35"/>
      <c r="L295" s="35"/>
      <c r="M295" s="39">
        <f>IF(U295&lt;&gt;1,"",IF(P295="DIRECTA",G295,IF(ISNUMBER(G295),G295,1)*IF(ISNUMBER(H295),H295,1)*IF(ISNUMBER(I295),I295,1)*IF(ISNUMBER(J295),J295,1)))</f>
      </c>
      <c r="N295" s="30">
        <f>IF(COUNTA(B295:L295)=0,"",IF(X295=0,IF(P295="CABECERA","VERDE · Fila descriptiva; la suma usa las líneas del ID","VERDE · Datos numéricos interpretables"),IF(X295=2,"ROJO · ","ÁMBAR · ")&amp;IF(NOT(IF(ISNUMBER($E$6),AND($E$6&gt;=0,$E$6&lt;=6,$E$6=INT($E$6)),FALSE)),"Indicamos entre 0 y 6 decimales en E6. ","")&amp;IF(O295=0,"Falta un ID numérico. ","")&amp;IF(R295=0,"Faltan capítulo, código, unidad o total numérico del ID. ","")&amp;IF(T295&gt;0,"Los datos o el total del ID se contradicen. ","")&amp;IF(AND(P295&lt;&gt;"DIMENSIONES",P295&lt;&gt;"DIRECTA",P295&lt;&gt;"SIN LÍNEAS",P295&lt;&gt;"CABECERA"),"Tipo de fila no reconocido. ","")&amp;IF(AND(OR(P295="SIN LÍNEAS",P295="CABECERA"),COUNTA(G295:J295)&gt;0),"La fila dice que no mide, pero contiene medidas. ","")&amp;IF(AND(OR(P295="DIRECTA",P295="DIMENSIONES"),U295=0),"Línea incompleta o con medidas no numéricas. ","")&amp;IF(P295="SIN LÍNEAS","No constan medidas de esta fila. ","")&amp;IF(Y295&gt;0,"Parece m³: tres dimensiones bajo m². ","")&amp;IF(AND(AB295&lt;&gt;"",SUMPRODUCT(--('LÉEME'!$B$65:$B$86=AC295))&lt;&gt;1),"Revisamos el significado de la unidad. ","")&amp;IF(Z295&gt;0,"Más precisión que los decimales indicados: cotejamos el original. ","")&amp;IF(AA295&gt;0,"Revisamos dimensiones, cantidad directa, ceros o deducción. ","")))</f>
      </c>
      <c r="O295" s="0" t="n">
        <f>IF(ISNUMBER(K295),IF(AND(K295&gt;0,K295=INT(K295),K295&lt;=999999),K295,0),0)</f>
        <v>0</v>
      </c>
      <c r="P295" s="0">
        <f>IF(COUNTA(B295:L295)=0,"",IF(L295="",IF(COUNTA(G295:J295)&gt;0,"DIMENSIONES","SIN LÍNEAS"),UPPER(TRIM(L295))))</f>
      </c>
      <c r="Q295" s="0">
        <f>IF(AND(O295&gt;0,LEN(TRIM(B295&amp;""))&gt;0,LEN(TRIM(C295&amp;""))&gt;0,LEN(TRIM(E295&amp;""))&gt;0,ISNUMBER(F295)),O295,"")</f>
      </c>
      <c r="R295" s="0" t="n">
        <f>IF(O295=0,0,IF(COUNTIFS($Q$13:$Q$512,O295)&gt;0,MATCH(O295,$Q$13:$Q$512,0),0))</f>
        <v>0</v>
      </c>
      <c r="S295" s="0">
        <f>IF(AB295="","",IF(SUMPRODUCT(--('LÉEME'!$B$65:$B$86=AC295))=1,INDEX('LÉEME'!$C$65:$C$86,MATCH(AC295,'LÉEME'!$B$65:$B$86,0)),UPPER(TRIM(AB295))))</f>
      </c>
      <c r="T295" s="0" t="n">
        <f>IF(R295=0,0,IF(OR(AND(LEN(TRIM(B295&amp;""))&gt;0,UPPER(TRIM(B295&amp;""))&lt;&gt;UPPER(TRIM(INDEX($B$13:$B$512,R295)&amp;""))),AND(LEN(TRIM(C295&amp;""))&gt;0,UPPER(TRIM(C295&amp;""))&lt;&gt;UPPER(TRIM(INDEX($C$13:$C$512,R295)&amp;""))),AND(LEN(TRIM(E295&amp;""))&gt;0,S295&lt;&gt;INDEX($S$13:$S$512,R295)),AND(F295&lt;&gt;"",NOT(ISNUMBER(F295)))),1,IF(ISNUMBER(F295),IF(ABS(F295-INDEX($F$13:$F$512,R295))&gt;0.00000001,1,0),0)))</f>
        <v>0</v>
      </c>
      <c r="U295" s="0" t="n">
        <f>IF(P295="DIRECTA",IF(AND(ISNUMBER(G295),COUNTA(H295:J295)=0),1,0),IF(P295="DIMENSIONES",IF(AND(COUNT(G295:J295)&gt;0,COUNTA(G295:J295)=COUNT(G295:J295)),1,0),0))</f>
        <v>0</v>
      </c>
      <c r="V295" s="0" t="n">
        <f>IF(O295=0,0,IF(COUNTIFS($O$13:O295,O295)=1,1,0))</f>
        <v>0</v>
      </c>
      <c r="W295" s="0">
        <f>IF(V295=1,COUNTIFS($V$13:V295,1),"")</f>
      </c>
      <c r="X295" s="0">
        <f>IF(COUNTA(B295:L295)=0,"",IF(OR(NOT(IF(ISNUMBER($E$6),AND($E$6&gt;=0,$E$6&lt;=6,$E$6=INT($E$6)),FALSE)),O295=0,R295=0,T295&gt;0,AND(P295&lt;&gt;"DIMENSIONES",P295&lt;&gt;"DIRECTA",P295&lt;&gt;"SIN LÍNEAS",P295&lt;&gt;"CABECERA"),AND(OR(P295="DIRECTA",P295="DIMENSIONES"),U295=0),AND(OR(P295="SIN LÍNEAS",P295="CABECERA"),COUNTA(G295:J295)&gt;0)),2,IF(OR(P295="SIN LÍNEAS",Y295&gt;0,Z295&gt;0,AA295&gt;0,SUMPRODUCT(--('LÉEME'!$B$65:$B$86=AC295))&lt;&gt;1),1,0)))</f>
      </c>
      <c r="Y295" s="0" t="n">
        <f>IF(AND(P295="DIMENSIONES",S295="m²",COUNT(H295:J295)=3),1,0)</f>
        <v>0</v>
      </c>
      <c r="Z295" s="0" t="n">
        <f>IF(IF(ISNUMBER($E$6),AND($E$6&gt;=0,$E$6&lt;=6,$E$6=INT($E$6)),FALSE),IF(SUM(IF(ISNUMBER(F295),IF(ABS(F295-ROUND(F295,$E$6))&gt;0.00000001,1,0),0),IF(ISNUMBER(G295),IF(ABS(G295-ROUND(G295,$E$6))&gt;0.00000001,1,0),0),IF(ISNUMBER(H295),IF(ABS(H295-ROUND(H295,$E$6))&gt;0.00000001,1,0),0),IF(ISNUMBER(I295),IF(ABS(I295-ROUND(I295,$E$6))&gt;0.00000001,1,0),0),IF(ISNUMBER(J295),IF(ABS(J295-ROUND(J295,$E$6))&gt;0.00000001,1,0),0),IF(ISNUMBER(M295),IF(ABS(M295-ROUND(M295,$E$6))&gt;0.00000001,1,0),0))&gt;0,1,0),0)</f>
        <v>0</v>
      </c>
      <c r="AA295" s="0" t="n">
        <f>IF(COUNTA(B295:L295)=0,0,IF(OR(AND(ISNUMBER(F295),F295&lt;0),AND(U295=1,OR(SUM(IF(ISNUMBER(G295),IF(G295=0,1,0),0),IF(ISNUMBER(H295),IF(H295=0,1,0),0),IF(ISNUMBER(I295),IF(I295=0,1,0),0),IF(ISNUMBER(J295),IF(J295=0,1,0),0))&gt;0,COUNTIFS(G295:J295,"&lt;0")&gt;0)),AND(P295="DIMENSIONES",U295=1,OR(AND(S295="m",COUNT(H295:J295)&lt;&gt;1),AND(S295="m²",COUNT(H295:J295)&lt;&gt;2,Y295=0),AND(S295="m³",COUNT(H295:J295)&lt;&gt;3),AND(S295="ud",COUNT(H295:J295)&gt;0))),AND(P295="DIRECTA",OR(S295="m",S295="m²",S295="m³"))),1,0))</f>
        <v>0</v>
      </c>
      <c r="AB295" s="0">
        <f>IF(LEN(TRIM(E295&amp;""))&gt;0,E295,IF(R295&gt;0,INDEX($E$13:$E$512,R295),""))</f>
      </c>
      <c r="AC295" s="0">
        <f>UPPER(SUBSTITUTE(SUBSTITUTE(SUBSTITUTE(SUBSTITUTE(SUBSTITUTE(TRIM(AB295),"²","2"),"³","3"),"^",""),".","")," ",""))</f>
      </c>
    </row>
    <row r="296" ht="35" customHeight="1">
      <c r="B296" s="35"/>
      <c r="C296" s="35"/>
      <c r="D296" s="37"/>
      <c r="E296" s="35"/>
      <c r="F296" s="38"/>
      <c r="G296" s="38"/>
      <c r="H296" s="38"/>
      <c r="I296" s="38"/>
      <c r="J296" s="38"/>
      <c r="K296" s="35"/>
      <c r="L296" s="35"/>
      <c r="M296" s="39">
        <f>IF(U296&lt;&gt;1,"",IF(P296="DIRECTA",G296,IF(ISNUMBER(G296),G296,1)*IF(ISNUMBER(H296),H296,1)*IF(ISNUMBER(I296),I296,1)*IF(ISNUMBER(J296),J296,1)))</f>
      </c>
      <c r="N296" s="30">
        <f>IF(COUNTA(B296:L296)=0,"",IF(X296=0,IF(P296="CABECERA","VERDE · Fila descriptiva; la suma usa las líneas del ID","VERDE · Datos numéricos interpretables"),IF(X296=2,"ROJO · ","ÁMBAR · ")&amp;IF(NOT(IF(ISNUMBER($E$6),AND($E$6&gt;=0,$E$6&lt;=6,$E$6=INT($E$6)),FALSE)),"Indicamos entre 0 y 6 decimales en E6. ","")&amp;IF(O296=0,"Falta un ID numérico. ","")&amp;IF(R296=0,"Faltan capítulo, código, unidad o total numérico del ID. ","")&amp;IF(T296&gt;0,"Los datos o el total del ID se contradicen. ","")&amp;IF(AND(P296&lt;&gt;"DIMENSIONES",P296&lt;&gt;"DIRECTA",P296&lt;&gt;"SIN LÍNEAS",P296&lt;&gt;"CABECERA"),"Tipo de fila no reconocido. ","")&amp;IF(AND(OR(P296="SIN LÍNEAS",P296="CABECERA"),COUNTA(G296:J296)&gt;0),"La fila dice que no mide, pero contiene medidas. ","")&amp;IF(AND(OR(P296="DIRECTA",P296="DIMENSIONES"),U296=0),"Línea incompleta o con medidas no numéricas. ","")&amp;IF(P296="SIN LÍNEAS","No constan medidas de esta fila. ","")&amp;IF(Y296&gt;0,"Parece m³: tres dimensiones bajo m². ","")&amp;IF(AND(AB296&lt;&gt;"",SUMPRODUCT(--('LÉEME'!$B$65:$B$86=AC296))&lt;&gt;1),"Revisamos el significado de la unidad. ","")&amp;IF(Z296&gt;0,"Más precisión que los decimales indicados: cotejamos el original. ","")&amp;IF(AA296&gt;0,"Revisamos dimensiones, cantidad directa, ceros o deducción. ","")))</f>
      </c>
      <c r="O296" s="0" t="n">
        <f>IF(ISNUMBER(K296),IF(AND(K296&gt;0,K296=INT(K296),K296&lt;=999999),K296,0),0)</f>
        <v>0</v>
      </c>
      <c r="P296" s="0">
        <f>IF(COUNTA(B296:L296)=0,"",IF(L296="",IF(COUNTA(G296:J296)&gt;0,"DIMENSIONES","SIN LÍNEAS"),UPPER(TRIM(L296))))</f>
      </c>
      <c r="Q296" s="0">
        <f>IF(AND(O296&gt;0,LEN(TRIM(B296&amp;""))&gt;0,LEN(TRIM(C296&amp;""))&gt;0,LEN(TRIM(E296&amp;""))&gt;0,ISNUMBER(F296)),O296,"")</f>
      </c>
      <c r="R296" s="0" t="n">
        <f>IF(O296=0,0,IF(COUNTIFS($Q$13:$Q$512,O296)&gt;0,MATCH(O296,$Q$13:$Q$512,0),0))</f>
        <v>0</v>
      </c>
      <c r="S296" s="0">
        <f>IF(AB296="","",IF(SUMPRODUCT(--('LÉEME'!$B$65:$B$86=AC296))=1,INDEX('LÉEME'!$C$65:$C$86,MATCH(AC296,'LÉEME'!$B$65:$B$86,0)),UPPER(TRIM(AB296))))</f>
      </c>
      <c r="T296" s="0" t="n">
        <f>IF(R296=0,0,IF(OR(AND(LEN(TRIM(B296&amp;""))&gt;0,UPPER(TRIM(B296&amp;""))&lt;&gt;UPPER(TRIM(INDEX($B$13:$B$512,R296)&amp;""))),AND(LEN(TRIM(C296&amp;""))&gt;0,UPPER(TRIM(C296&amp;""))&lt;&gt;UPPER(TRIM(INDEX($C$13:$C$512,R296)&amp;""))),AND(LEN(TRIM(E296&amp;""))&gt;0,S296&lt;&gt;INDEX($S$13:$S$512,R296)),AND(F296&lt;&gt;"",NOT(ISNUMBER(F296)))),1,IF(ISNUMBER(F296),IF(ABS(F296-INDEX($F$13:$F$512,R296))&gt;0.00000001,1,0),0)))</f>
        <v>0</v>
      </c>
      <c r="U296" s="0" t="n">
        <f>IF(P296="DIRECTA",IF(AND(ISNUMBER(G296),COUNTA(H296:J296)=0),1,0),IF(P296="DIMENSIONES",IF(AND(COUNT(G296:J296)&gt;0,COUNTA(G296:J296)=COUNT(G296:J296)),1,0),0))</f>
        <v>0</v>
      </c>
      <c r="V296" s="0" t="n">
        <f>IF(O296=0,0,IF(COUNTIFS($O$13:O296,O296)=1,1,0))</f>
        <v>0</v>
      </c>
      <c r="W296" s="0">
        <f>IF(V296=1,COUNTIFS($V$13:V296,1),"")</f>
      </c>
      <c r="X296" s="0">
        <f>IF(COUNTA(B296:L296)=0,"",IF(OR(NOT(IF(ISNUMBER($E$6),AND($E$6&gt;=0,$E$6&lt;=6,$E$6=INT($E$6)),FALSE)),O296=0,R296=0,T296&gt;0,AND(P296&lt;&gt;"DIMENSIONES",P296&lt;&gt;"DIRECTA",P296&lt;&gt;"SIN LÍNEAS",P296&lt;&gt;"CABECERA"),AND(OR(P296="DIRECTA",P296="DIMENSIONES"),U296=0),AND(OR(P296="SIN LÍNEAS",P296="CABECERA"),COUNTA(G296:J296)&gt;0)),2,IF(OR(P296="SIN LÍNEAS",Y296&gt;0,Z296&gt;0,AA296&gt;0,SUMPRODUCT(--('LÉEME'!$B$65:$B$86=AC296))&lt;&gt;1),1,0)))</f>
      </c>
      <c r="Y296" s="0" t="n">
        <f>IF(AND(P296="DIMENSIONES",S296="m²",COUNT(H296:J296)=3),1,0)</f>
        <v>0</v>
      </c>
      <c r="Z296" s="0" t="n">
        <f>IF(IF(ISNUMBER($E$6),AND($E$6&gt;=0,$E$6&lt;=6,$E$6=INT($E$6)),FALSE),IF(SUM(IF(ISNUMBER(F296),IF(ABS(F296-ROUND(F296,$E$6))&gt;0.00000001,1,0),0),IF(ISNUMBER(G296),IF(ABS(G296-ROUND(G296,$E$6))&gt;0.00000001,1,0),0),IF(ISNUMBER(H296),IF(ABS(H296-ROUND(H296,$E$6))&gt;0.00000001,1,0),0),IF(ISNUMBER(I296),IF(ABS(I296-ROUND(I296,$E$6))&gt;0.00000001,1,0),0),IF(ISNUMBER(J296),IF(ABS(J296-ROUND(J296,$E$6))&gt;0.00000001,1,0),0),IF(ISNUMBER(M296),IF(ABS(M296-ROUND(M296,$E$6))&gt;0.00000001,1,0),0))&gt;0,1,0),0)</f>
        <v>0</v>
      </c>
      <c r="AA296" s="0" t="n">
        <f>IF(COUNTA(B296:L296)=0,0,IF(OR(AND(ISNUMBER(F296),F296&lt;0),AND(U296=1,OR(SUM(IF(ISNUMBER(G296),IF(G296=0,1,0),0),IF(ISNUMBER(H296),IF(H296=0,1,0),0),IF(ISNUMBER(I296),IF(I296=0,1,0),0),IF(ISNUMBER(J296),IF(J296=0,1,0),0))&gt;0,COUNTIFS(G296:J296,"&lt;0")&gt;0)),AND(P296="DIMENSIONES",U296=1,OR(AND(S296="m",COUNT(H296:J296)&lt;&gt;1),AND(S296="m²",COUNT(H296:J296)&lt;&gt;2,Y296=0),AND(S296="m³",COUNT(H296:J296)&lt;&gt;3),AND(S296="ud",COUNT(H296:J296)&gt;0))),AND(P296="DIRECTA",OR(S296="m",S296="m²",S296="m³"))),1,0))</f>
        <v>0</v>
      </c>
      <c r="AB296" s="0">
        <f>IF(LEN(TRIM(E296&amp;""))&gt;0,E296,IF(R296&gt;0,INDEX($E$13:$E$512,R296),""))</f>
      </c>
      <c r="AC296" s="0">
        <f>UPPER(SUBSTITUTE(SUBSTITUTE(SUBSTITUTE(SUBSTITUTE(SUBSTITUTE(TRIM(AB296),"²","2"),"³","3"),"^",""),".","")," ",""))</f>
      </c>
    </row>
    <row r="297" ht="35" customHeight="1">
      <c r="B297" s="35"/>
      <c r="C297" s="35"/>
      <c r="D297" s="37"/>
      <c r="E297" s="35"/>
      <c r="F297" s="38"/>
      <c r="G297" s="38"/>
      <c r="H297" s="38"/>
      <c r="I297" s="38"/>
      <c r="J297" s="38"/>
      <c r="K297" s="35"/>
      <c r="L297" s="35"/>
      <c r="M297" s="39">
        <f>IF(U297&lt;&gt;1,"",IF(P297="DIRECTA",G297,IF(ISNUMBER(G297),G297,1)*IF(ISNUMBER(H297),H297,1)*IF(ISNUMBER(I297),I297,1)*IF(ISNUMBER(J297),J297,1)))</f>
      </c>
      <c r="N297" s="30">
        <f>IF(COUNTA(B297:L297)=0,"",IF(X297=0,IF(P297="CABECERA","VERDE · Fila descriptiva; la suma usa las líneas del ID","VERDE · Datos numéricos interpretables"),IF(X297=2,"ROJO · ","ÁMBAR · ")&amp;IF(NOT(IF(ISNUMBER($E$6),AND($E$6&gt;=0,$E$6&lt;=6,$E$6=INT($E$6)),FALSE)),"Indicamos entre 0 y 6 decimales en E6. ","")&amp;IF(O297=0,"Falta un ID numérico. ","")&amp;IF(R297=0,"Faltan capítulo, código, unidad o total numérico del ID. ","")&amp;IF(T297&gt;0,"Los datos o el total del ID se contradicen. ","")&amp;IF(AND(P297&lt;&gt;"DIMENSIONES",P297&lt;&gt;"DIRECTA",P297&lt;&gt;"SIN LÍNEAS",P297&lt;&gt;"CABECERA"),"Tipo de fila no reconocido. ","")&amp;IF(AND(OR(P297="SIN LÍNEAS",P297="CABECERA"),COUNTA(G297:J297)&gt;0),"La fila dice que no mide, pero contiene medidas. ","")&amp;IF(AND(OR(P297="DIRECTA",P297="DIMENSIONES"),U297=0),"Línea incompleta o con medidas no numéricas. ","")&amp;IF(P297="SIN LÍNEAS","No constan medidas de esta fila. ","")&amp;IF(Y297&gt;0,"Parece m³: tres dimensiones bajo m². ","")&amp;IF(AND(AB297&lt;&gt;"",SUMPRODUCT(--('LÉEME'!$B$65:$B$86=AC297))&lt;&gt;1),"Revisamos el significado de la unidad. ","")&amp;IF(Z297&gt;0,"Más precisión que los decimales indicados: cotejamos el original. ","")&amp;IF(AA297&gt;0,"Revisamos dimensiones, cantidad directa, ceros o deducción. ","")))</f>
      </c>
      <c r="O297" s="0" t="n">
        <f>IF(ISNUMBER(K297),IF(AND(K297&gt;0,K297=INT(K297),K297&lt;=999999),K297,0),0)</f>
        <v>0</v>
      </c>
      <c r="P297" s="0">
        <f>IF(COUNTA(B297:L297)=0,"",IF(L297="",IF(COUNTA(G297:J297)&gt;0,"DIMENSIONES","SIN LÍNEAS"),UPPER(TRIM(L297))))</f>
      </c>
      <c r="Q297" s="0">
        <f>IF(AND(O297&gt;0,LEN(TRIM(B297&amp;""))&gt;0,LEN(TRIM(C297&amp;""))&gt;0,LEN(TRIM(E297&amp;""))&gt;0,ISNUMBER(F297)),O297,"")</f>
      </c>
      <c r="R297" s="0" t="n">
        <f>IF(O297=0,0,IF(COUNTIFS($Q$13:$Q$512,O297)&gt;0,MATCH(O297,$Q$13:$Q$512,0),0))</f>
        <v>0</v>
      </c>
      <c r="S297" s="0">
        <f>IF(AB297="","",IF(SUMPRODUCT(--('LÉEME'!$B$65:$B$86=AC297))=1,INDEX('LÉEME'!$C$65:$C$86,MATCH(AC297,'LÉEME'!$B$65:$B$86,0)),UPPER(TRIM(AB297))))</f>
      </c>
      <c r="T297" s="0" t="n">
        <f>IF(R297=0,0,IF(OR(AND(LEN(TRIM(B297&amp;""))&gt;0,UPPER(TRIM(B297&amp;""))&lt;&gt;UPPER(TRIM(INDEX($B$13:$B$512,R297)&amp;""))),AND(LEN(TRIM(C297&amp;""))&gt;0,UPPER(TRIM(C297&amp;""))&lt;&gt;UPPER(TRIM(INDEX($C$13:$C$512,R297)&amp;""))),AND(LEN(TRIM(E297&amp;""))&gt;0,S297&lt;&gt;INDEX($S$13:$S$512,R297)),AND(F297&lt;&gt;"",NOT(ISNUMBER(F297)))),1,IF(ISNUMBER(F297),IF(ABS(F297-INDEX($F$13:$F$512,R297))&gt;0.00000001,1,0),0)))</f>
        <v>0</v>
      </c>
      <c r="U297" s="0" t="n">
        <f>IF(P297="DIRECTA",IF(AND(ISNUMBER(G297),COUNTA(H297:J297)=0),1,0),IF(P297="DIMENSIONES",IF(AND(COUNT(G297:J297)&gt;0,COUNTA(G297:J297)=COUNT(G297:J297)),1,0),0))</f>
        <v>0</v>
      </c>
      <c r="V297" s="0" t="n">
        <f>IF(O297=0,0,IF(COUNTIFS($O$13:O297,O297)=1,1,0))</f>
        <v>0</v>
      </c>
      <c r="W297" s="0">
        <f>IF(V297=1,COUNTIFS($V$13:V297,1),"")</f>
      </c>
      <c r="X297" s="0">
        <f>IF(COUNTA(B297:L297)=0,"",IF(OR(NOT(IF(ISNUMBER($E$6),AND($E$6&gt;=0,$E$6&lt;=6,$E$6=INT($E$6)),FALSE)),O297=0,R297=0,T297&gt;0,AND(P297&lt;&gt;"DIMENSIONES",P297&lt;&gt;"DIRECTA",P297&lt;&gt;"SIN LÍNEAS",P297&lt;&gt;"CABECERA"),AND(OR(P297="DIRECTA",P297="DIMENSIONES"),U297=0),AND(OR(P297="SIN LÍNEAS",P297="CABECERA"),COUNTA(G297:J297)&gt;0)),2,IF(OR(P297="SIN LÍNEAS",Y297&gt;0,Z297&gt;0,AA297&gt;0,SUMPRODUCT(--('LÉEME'!$B$65:$B$86=AC297))&lt;&gt;1),1,0)))</f>
      </c>
      <c r="Y297" s="0" t="n">
        <f>IF(AND(P297="DIMENSIONES",S297="m²",COUNT(H297:J297)=3),1,0)</f>
        <v>0</v>
      </c>
      <c r="Z297" s="0" t="n">
        <f>IF(IF(ISNUMBER($E$6),AND($E$6&gt;=0,$E$6&lt;=6,$E$6=INT($E$6)),FALSE),IF(SUM(IF(ISNUMBER(F297),IF(ABS(F297-ROUND(F297,$E$6))&gt;0.00000001,1,0),0),IF(ISNUMBER(G297),IF(ABS(G297-ROUND(G297,$E$6))&gt;0.00000001,1,0),0),IF(ISNUMBER(H297),IF(ABS(H297-ROUND(H297,$E$6))&gt;0.00000001,1,0),0),IF(ISNUMBER(I297),IF(ABS(I297-ROUND(I297,$E$6))&gt;0.00000001,1,0),0),IF(ISNUMBER(J297),IF(ABS(J297-ROUND(J297,$E$6))&gt;0.00000001,1,0),0),IF(ISNUMBER(M297),IF(ABS(M297-ROUND(M297,$E$6))&gt;0.00000001,1,0),0))&gt;0,1,0),0)</f>
        <v>0</v>
      </c>
      <c r="AA297" s="0" t="n">
        <f>IF(COUNTA(B297:L297)=0,0,IF(OR(AND(ISNUMBER(F297),F297&lt;0),AND(U297=1,OR(SUM(IF(ISNUMBER(G297),IF(G297=0,1,0),0),IF(ISNUMBER(H297),IF(H297=0,1,0),0),IF(ISNUMBER(I297),IF(I297=0,1,0),0),IF(ISNUMBER(J297),IF(J297=0,1,0),0))&gt;0,COUNTIFS(G297:J297,"&lt;0")&gt;0)),AND(P297="DIMENSIONES",U297=1,OR(AND(S297="m",COUNT(H297:J297)&lt;&gt;1),AND(S297="m²",COUNT(H297:J297)&lt;&gt;2,Y297=0),AND(S297="m³",COUNT(H297:J297)&lt;&gt;3),AND(S297="ud",COUNT(H297:J297)&gt;0))),AND(P297="DIRECTA",OR(S297="m",S297="m²",S297="m³"))),1,0))</f>
        <v>0</v>
      </c>
      <c r="AB297" s="0">
        <f>IF(LEN(TRIM(E297&amp;""))&gt;0,E297,IF(R297&gt;0,INDEX($E$13:$E$512,R297),""))</f>
      </c>
      <c r="AC297" s="0">
        <f>UPPER(SUBSTITUTE(SUBSTITUTE(SUBSTITUTE(SUBSTITUTE(SUBSTITUTE(TRIM(AB297),"²","2"),"³","3"),"^",""),".","")," ",""))</f>
      </c>
    </row>
    <row r="298" ht="35" customHeight="1">
      <c r="B298" s="35"/>
      <c r="C298" s="35"/>
      <c r="D298" s="37"/>
      <c r="E298" s="35"/>
      <c r="F298" s="38"/>
      <c r="G298" s="38"/>
      <c r="H298" s="38"/>
      <c r="I298" s="38"/>
      <c r="J298" s="38"/>
      <c r="K298" s="35"/>
      <c r="L298" s="35"/>
      <c r="M298" s="39">
        <f>IF(U298&lt;&gt;1,"",IF(P298="DIRECTA",G298,IF(ISNUMBER(G298),G298,1)*IF(ISNUMBER(H298),H298,1)*IF(ISNUMBER(I298),I298,1)*IF(ISNUMBER(J298),J298,1)))</f>
      </c>
      <c r="N298" s="30">
        <f>IF(COUNTA(B298:L298)=0,"",IF(X298=0,IF(P298="CABECERA","VERDE · Fila descriptiva; la suma usa las líneas del ID","VERDE · Datos numéricos interpretables"),IF(X298=2,"ROJO · ","ÁMBAR · ")&amp;IF(NOT(IF(ISNUMBER($E$6),AND($E$6&gt;=0,$E$6&lt;=6,$E$6=INT($E$6)),FALSE)),"Indicamos entre 0 y 6 decimales en E6. ","")&amp;IF(O298=0,"Falta un ID numérico. ","")&amp;IF(R298=0,"Faltan capítulo, código, unidad o total numérico del ID. ","")&amp;IF(T298&gt;0,"Los datos o el total del ID se contradicen. ","")&amp;IF(AND(P298&lt;&gt;"DIMENSIONES",P298&lt;&gt;"DIRECTA",P298&lt;&gt;"SIN LÍNEAS",P298&lt;&gt;"CABECERA"),"Tipo de fila no reconocido. ","")&amp;IF(AND(OR(P298="SIN LÍNEAS",P298="CABECERA"),COUNTA(G298:J298)&gt;0),"La fila dice que no mide, pero contiene medidas. ","")&amp;IF(AND(OR(P298="DIRECTA",P298="DIMENSIONES"),U298=0),"Línea incompleta o con medidas no numéricas. ","")&amp;IF(P298="SIN LÍNEAS","No constan medidas de esta fila. ","")&amp;IF(Y298&gt;0,"Parece m³: tres dimensiones bajo m². ","")&amp;IF(AND(AB298&lt;&gt;"",SUMPRODUCT(--('LÉEME'!$B$65:$B$86=AC298))&lt;&gt;1),"Revisamos el significado de la unidad. ","")&amp;IF(Z298&gt;0,"Más precisión que los decimales indicados: cotejamos el original. ","")&amp;IF(AA298&gt;0,"Revisamos dimensiones, cantidad directa, ceros o deducción. ","")))</f>
      </c>
      <c r="O298" s="0" t="n">
        <f>IF(ISNUMBER(K298),IF(AND(K298&gt;0,K298=INT(K298),K298&lt;=999999),K298,0),0)</f>
        <v>0</v>
      </c>
      <c r="P298" s="0">
        <f>IF(COUNTA(B298:L298)=0,"",IF(L298="",IF(COUNTA(G298:J298)&gt;0,"DIMENSIONES","SIN LÍNEAS"),UPPER(TRIM(L298))))</f>
      </c>
      <c r="Q298" s="0">
        <f>IF(AND(O298&gt;0,LEN(TRIM(B298&amp;""))&gt;0,LEN(TRIM(C298&amp;""))&gt;0,LEN(TRIM(E298&amp;""))&gt;0,ISNUMBER(F298)),O298,"")</f>
      </c>
      <c r="R298" s="0" t="n">
        <f>IF(O298=0,0,IF(COUNTIFS($Q$13:$Q$512,O298)&gt;0,MATCH(O298,$Q$13:$Q$512,0),0))</f>
        <v>0</v>
      </c>
      <c r="S298" s="0">
        <f>IF(AB298="","",IF(SUMPRODUCT(--('LÉEME'!$B$65:$B$86=AC298))=1,INDEX('LÉEME'!$C$65:$C$86,MATCH(AC298,'LÉEME'!$B$65:$B$86,0)),UPPER(TRIM(AB298))))</f>
      </c>
      <c r="T298" s="0" t="n">
        <f>IF(R298=0,0,IF(OR(AND(LEN(TRIM(B298&amp;""))&gt;0,UPPER(TRIM(B298&amp;""))&lt;&gt;UPPER(TRIM(INDEX($B$13:$B$512,R298)&amp;""))),AND(LEN(TRIM(C298&amp;""))&gt;0,UPPER(TRIM(C298&amp;""))&lt;&gt;UPPER(TRIM(INDEX($C$13:$C$512,R298)&amp;""))),AND(LEN(TRIM(E298&amp;""))&gt;0,S298&lt;&gt;INDEX($S$13:$S$512,R298)),AND(F298&lt;&gt;"",NOT(ISNUMBER(F298)))),1,IF(ISNUMBER(F298),IF(ABS(F298-INDEX($F$13:$F$512,R298))&gt;0.00000001,1,0),0)))</f>
        <v>0</v>
      </c>
      <c r="U298" s="0" t="n">
        <f>IF(P298="DIRECTA",IF(AND(ISNUMBER(G298),COUNTA(H298:J298)=0),1,0),IF(P298="DIMENSIONES",IF(AND(COUNT(G298:J298)&gt;0,COUNTA(G298:J298)=COUNT(G298:J298)),1,0),0))</f>
        <v>0</v>
      </c>
      <c r="V298" s="0" t="n">
        <f>IF(O298=0,0,IF(COUNTIFS($O$13:O298,O298)=1,1,0))</f>
        <v>0</v>
      </c>
      <c r="W298" s="0">
        <f>IF(V298=1,COUNTIFS($V$13:V298,1),"")</f>
      </c>
      <c r="X298" s="0">
        <f>IF(COUNTA(B298:L298)=0,"",IF(OR(NOT(IF(ISNUMBER($E$6),AND($E$6&gt;=0,$E$6&lt;=6,$E$6=INT($E$6)),FALSE)),O298=0,R298=0,T298&gt;0,AND(P298&lt;&gt;"DIMENSIONES",P298&lt;&gt;"DIRECTA",P298&lt;&gt;"SIN LÍNEAS",P298&lt;&gt;"CABECERA"),AND(OR(P298="DIRECTA",P298="DIMENSIONES"),U298=0),AND(OR(P298="SIN LÍNEAS",P298="CABECERA"),COUNTA(G298:J298)&gt;0)),2,IF(OR(P298="SIN LÍNEAS",Y298&gt;0,Z298&gt;0,AA298&gt;0,SUMPRODUCT(--('LÉEME'!$B$65:$B$86=AC298))&lt;&gt;1),1,0)))</f>
      </c>
      <c r="Y298" s="0" t="n">
        <f>IF(AND(P298="DIMENSIONES",S298="m²",COUNT(H298:J298)=3),1,0)</f>
        <v>0</v>
      </c>
      <c r="Z298" s="0" t="n">
        <f>IF(IF(ISNUMBER($E$6),AND($E$6&gt;=0,$E$6&lt;=6,$E$6=INT($E$6)),FALSE),IF(SUM(IF(ISNUMBER(F298),IF(ABS(F298-ROUND(F298,$E$6))&gt;0.00000001,1,0),0),IF(ISNUMBER(G298),IF(ABS(G298-ROUND(G298,$E$6))&gt;0.00000001,1,0),0),IF(ISNUMBER(H298),IF(ABS(H298-ROUND(H298,$E$6))&gt;0.00000001,1,0),0),IF(ISNUMBER(I298),IF(ABS(I298-ROUND(I298,$E$6))&gt;0.00000001,1,0),0),IF(ISNUMBER(J298),IF(ABS(J298-ROUND(J298,$E$6))&gt;0.00000001,1,0),0),IF(ISNUMBER(M298),IF(ABS(M298-ROUND(M298,$E$6))&gt;0.00000001,1,0),0))&gt;0,1,0),0)</f>
        <v>0</v>
      </c>
      <c r="AA298" s="0" t="n">
        <f>IF(COUNTA(B298:L298)=0,0,IF(OR(AND(ISNUMBER(F298),F298&lt;0),AND(U298=1,OR(SUM(IF(ISNUMBER(G298),IF(G298=0,1,0),0),IF(ISNUMBER(H298),IF(H298=0,1,0),0),IF(ISNUMBER(I298),IF(I298=0,1,0),0),IF(ISNUMBER(J298),IF(J298=0,1,0),0))&gt;0,COUNTIFS(G298:J298,"&lt;0")&gt;0)),AND(P298="DIMENSIONES",U298=1,OR(AND(S298="m",COUNT(H298:J298)&lt;&gt;1),AND(S298="m²",COUNT(H298:J298)&lt;&gt;2,Y298=0),AND(S298="m³",COUNT(H298:J298)&lt;&gt;3),AND(S298="ud",COUNT(H298:J298)&gt;0))),AND(P298="DIRECTA",OR(S298="m",S298="m²",S298="m³"))),1,0))</f>
        <v>0</v>
      </c>
      <c r="AB298" s="0">
        <f>IF(LEN(TRIM(E298&amp;""))&gt;0,E298,IF(R298&gt;0,INDEX($E$13:$E$512,R298),""))</f>
      </c>
      <c r="AC298" s="0">
        <f>UPPER(SUBSTITUTE(SUBSTITUTE(SUBSTITUTE(SUBSTITUTE(SUBSTITUTE(TRIM(AB298),"²","2"),"³","3"),"^",""),".","")," ",""))</f>
      </c>
    </row>
    <row r="299" ht="35" customHeight="1">
      <c r="B299" s="35"/>
      <c r="C299" s="35"/>
      <c r="D299" s="37"/>
      <c r="E299" s="35"/>
      <c r="F299" s="38"/>
      <c r="G299" s="38"/>
      <c r="H299" s="38"/>
      <c r="I299" s="38"/>
      <c r="J299" s="38"/>
      <c r="K299" s="35"/>
      <c r="L299" s="35"/>
      <c r="M299" s="39">
        <f>IF(U299&lt;&gt;1,"",IF(P299="DIRECTA",G299,IF(ISNUMBER(G299),G299,1)*IF(ISNUMBER(H299),H299,1)*IF(ISNUMBER(I299),I299,1)*IF(ISNUMBER(J299),J299,1)))</f>
      </c>
      <c r="N299" s="30">
        <f>IF(COUNTA(B299:L299)=0,"",IF(X299=0,IF(P299="CABECERA","VERDE · Fila descriptiva; la suma usa las líneas del ID","VERDE · Datos numéricos interpretables"),IF(X299=2,"ROJO · ","ÁMBAR · ")&amp;IF(NOT(IF(ISNUMBER($E$6),AND($E$6&gt;=0,$E$6&lt;=6,$E$6=INT($E$6)),FALSE)),"Indicamos entre 0 y 6 decimales en E6. ","")&amp;IF(O299=0,"Falta un ID numérico. ","")&amp;IF(R299=0,"Faltan capítulo, código, unidad o total numérico del ID. ","")&amp;IF(T299&gt;0,"Los datos o el total del ID se contradicen. ","")&amp;IF(AND(P299&lt;&gt;"DIMENSIONES",P299&lt;&gt;"DIRECTA",P299&lt;&gt;"SIN LÍNEAS",P299&lt;&gt;"CABECERA"),"Tipo de fila no reconocido. ","")&amp;IF(AND(OR(P299="SIN LÍNEAS",P299="CABECERA"),COUNTA(G299:J299)&gt;0),"La fila dice que no mide, pero contiene medidas. ","")&amp;IF(AND(OR(P299="DIRECTA",P299="DIMENSIONES"),U299=0),"Línea incompleta o con medidas no numéricas. ","")&amp;IF(P299="SIN LÍNEAS","No constan medidas de esta fila. ","")&amp;IF(Y299&gt;0,"Parece m³: tres dimensiones bajo m². ","")&amp;IF(AND(AB299&lt;&gt;"",SUMPRODUCT(--('LÉEME'!$B$65:$B$86=AC299))&lt;&gt;1),"Revisamos el significado de la unidad. ","")&amp;IF(Z299&gt;0,"Más precisión que los decimales indicados: cotejamos el original. ","")&amp;IF(AA299&gt;0,"Revisamos dimensiones, cantidad directa, ceros o deducción. ","")))</f>
      </c>
      <c r="O299" s="0" t="n">
        <f>IF(ISNUMBER(K299),IF(AND(K299&gt;0,K299=INT(K299),K299&lt;=999999),K299,0),0)</f>
        <v>0</v>
      </c>
      <c r="P299" s="0">
        <f>IF(COUNTA(B299:L299)=0,"",IF(L299="",IF(COUNTA(G299:J299)&gt;0,"DIMENSIONES","SIN LÍNEAS"),UPPER(TRIM(L299))))</f>
      </c>
      <c r="Q299" s="0">
        <f>IF(AND(O299&gt;0,LEN(TRIM(B299&amp;""))&gt;0,LEN(TRIM(C299&amp;""))&gt;0,LEN(TRIM(E299&amp;""))&gt;0,ISNUMBER(F299)),O299,"")</f>
      </c>
      <c r="R299" s="0" t="n">
        <f>IF(O299=0,0,IF(COUNTIFS($Q$13:$Q$512,O299)&gt;0,MATCH(O299,$Q$13:$Q$512,0),0))</f>
        <v>0</v>
      </c>
      <c r="S299" s="0">
        <f>IF(AB299="","",IF(SUMPRODUCT(--('LÉEME'!$B$65:$B$86=AC299))=1,INDEX('LÉEME'!$C$65:$C$86,MATCH(AC299,'LÉEME'!$B$65:$B$86,0)),UPPER(TRIM(AB299))))</f>
      </c>
      <c r="T299" s="0" t="n">
        <f>IF(R299=0,0,IF(OR(AND(LEN(TRIM(B299&amp;""))&gt;0,UPPER(TRIM(B299&amp;""))&lt;&gt;UPPER(TRIM(INDEX($B$13:$B$512,R299)&amp;""))),AND(LEN(TRIM(C299&amp;""))&gt;0,UPPER(TRIM(C299&amp;""))&lt;&gt;UPPER(TRIM(INDEX($C$13:$C$512,R299)&amp;""))),AND(LEN(TRIM(E299&amp;""))&gt;0,S299&lt;&gt;INDEX($S$13:$S$512,R299)),AND(F299&lt;&gt;"",NOT(ISNUMBER(F299)))),1,IF(ISNUMBER(F299),IF(ABS(F299-INDEX($F$13:$F$512,R299))&gt;0.00000001,1,0),0)))</f>
        <v>0</v>
      </c>
      <c r="U299" s="0" t="n">
        <f>IF(P299="DIRECTA",IF(AND(ISNUMBER(G299),COUNTA(H299:J299)=0),1,0),IF(P299="DIMENSIONES",IF(AND(COUNT(G299:J299)&gt;0,COUNTA(G299:J299)=COUNT(G299:J299)),1,0),0))</f>
        <v>0</v>
      </c>
      <c r="V299" s="0" t="n">
        <f>IF(O299=0,0,IF(COUNTIFS($O$13:O299,O299)=1,1,0))</f>
        <v>0</v>
      </c>
      <c r="W299" s="0">
        <f>IF(V299=1,COUNTIFS($V$13:V299,1),"")</f>
      </c>
      <c r="X299" s="0">
        <f>IF(COUNTA(B299:L299)=0,"",IF(OR(NOT(IF(ISNUMBER($E$6),AND($E$6&gt;=0,$E$6&lt;=6,$E$6=INT($E$6)),FALSE)),O299=0,R299=0,T299&gt;0,AND(P299&lt;&gt;"DIMENSIONES",P299&lt;&gt;"DIRECTA",P299&lt;&gt;"SIN LÍNEAS",P299&lt;&gt;"CABECERA"),AND(OR(P299="DIRECTA",P299="DIMENSIONES"),U299=0),AND(OR(P299="SIN LÍNEAS",P299="CABECERA"),COUNTA(G299:J299)&gt;0)),2,IF(OR(P299="SIN LÍNEAS",Y299&gt;0,Z299&gt;0,AA299&gt;0,SUMPRODUCT(--('LÉEME'!$B$65:$B$86=AC299))&lt;&gt;1),1,0)))</f>
      </c>
      <c r="Y299" s="0" t="n">
        <f>IF(AND(P299="DIMENSIONES",S299="m²",COUNT(H299:J299)=3),1,0)</f>
        <v>0</v>
      </c>
      <c r="Z299" s="0" t="n">
        <f>IF(IF(ISNUMBER($E$6),AND($E$6&gt;=0,$E$6&lt;=6,$E$6=INT($E$6)),FALSE),IF(SUM(IF(ISNUMBER(F299),IF(ABS(F299-ROUND(F299,$E$6))&gt;0.00000001,1,0),0),IF(ISNUMBER(G299),IF(ABS(G299-ROUND(G299,$E$6))&gt;0.00000001,1,0),0),IF(ISNUMBER(H299),IF(ABS(H299-ROUND(H299,$E$6))&gt;0.00000001,1,0),0),IF(ISNUMBER(I299),IF(ABS(I299-ROUND(I299,$E$6))&gt;0.00000001,1,0),0),IF(ISNUMBER(J299),IF(ABS(J299-ROUND(J299,$E$6))&gt;0.00000001,1,0),0),IF(ISNUMBER(M299),IF(ABS(M299-ROUND(M299,$E$6))&gt;0.00000001,1,0),0))&gt;0,1,0),0)</f>
        <v>0</v>
      </c>
      <c r="AA299" s="0" t="n">
        <f>IF(COUNTA(B299:L299)=0,0,IF(OR(AND(ISNUMBER(F299),F299&lt;0),AND(U299=1,OR(SUM(IF(ISNUMBER(G299),IF(G299=0,1,0),0),IF(ISNUMBER(H299),IF(H299=0,1,0),0),IF(ISNUMBER(I299),IF(I299=0,1,0),0),IF(ISNUMBER(J299),IF(J299=0,1,0),0))&gt;0,COUNTIFS(G299:J299,"&lt;0")&gt;0)),AND(P299="DIMENSIONES",U299=1,OR(AND(S299="m",COUNT(H299:J299)&lt;&gt;1),AND(S299="m²",COUNT(H299:J299)&lt;&gt;2,Y299=0),AND(S299="m³",COUNT(H299:J299)&lt;&gt;3),AND(S299="ud",COUNT(H299:J299)&gt;0))),AND(P299="DIRECTA",OR(S299="m",S299="m²",S299="m³"))),1,0))</f>
        <v>0</v>
      </c>
      <c r="AB299" s="0">
        <f>IF(LEN(TRIM(E299&amp;""))&gt;0,E299,IF(R299&gt;0,INDEX($E$13:$E$512,R299),""))</f>
      </c>
      <c r="AC299" s="0">
        <f>UPPER(SUBSTITUTE(SUBSTITUTE(SUBSTITUTE(SUBSTITUTE(SUBSTITUTE(TRIM(AB299),"²","2"),"³","3"),"^",""),".","")," ",""))</f>
      </c>
    </row>
    <row r="300" ht="35" customHeight="1">
      <c r="B300" s="35"/>
      <c r="C300" s="35"/>
      <c r="D300" s="37"/>
      <c r="E300" s="35"/>
      <c r="F300" s="38"/>
      <c r="G300" s="38"/>
      <c r="H300" s="38"/>
      <c r="I300" s="38"/>
      <c r="J300" s="38"/>
      <c r="K300" s="35"/>
      <c r="L300" s="35"/>
      <c r="M300" s="39">
        <f>IF(U300&lt;&gt;1,"",IF(P300="DIRECTA",G300,IF(ISNUMBER(G300),G300,1)*IF(ISNUMBER(H300),H300,1)*IF(ISNUMBER(I300),I300,1)*IF(ISNUMBER(J300),J300,1)))</f>
      </c>
      <c r="N300" s="30">
        <f>IF(COUNTA(B300:L300)=0,"",IF(X300=0,IF(P300="CABECERA","VERDE · Fila descriptiva; la suma usa las líneas del ID","VERDE · Datos numéricos interpretables"),IF(X300=2,"ROJO · ","ÁMBAR · ")&amp;IF(NOT(IF(ISNUMBER($E$6),AND($E$6&gt;=0,$E$6&lt;=6,$E$6=INT($E$6)),FALSE)),"Indicamos entre 0 y 6 decimales en E6. ","")&amp;IF(O300=0,"Falta un ID numérico. ","")&amp;IF(R300=0,"Faltan capítulo, código, unidad o total numérico del ID. ","")&amp;IF(T300&gt;0,"Los datos o el total del ID se contradicen. ","")&amp;IF(AND(P300&lt;&gt;"DIMENSIONES",P300&lt;&gt;"DIRECTA",P300&lt;&gt;"SIN LÍNEAS",P300&lt;&gt;"CABECERA"),"Tipo de fila no reconocido. ","")&amp;IF(AND(OR(P300="SIN LÍNEAS",P300="CABECERA"),COUNTA(G300:J300)&gt;0),"La fila dice que no mide, pero contiene medidas. ","")&amp;IF(AND(OR(P300="DIRECTA",P300="DIMENSIONES"),U300=0),"Línea incompleta o con medidas no numéricas. ","")&amp;IF(P300="SIN LÍNEAS","No constan medidas de esta fila. ","")&amp;IF(Y300&gt;0,"Parece m³: tres dimensiones bajo m². ","")&amp;IF(AND(AB300&lt;&gt;"",SUMPRODUCT(--('LÉEME'!$B$65:$B$86=AC300))&lt;&gt;1),"Revisamos el significado de la unidad. ","")&amp;IF(Z300&gt;0,"Más precisión que los decimales indicados: cotejamos el original. ","")&amp;IF(AA300&gt;0,"Revisamos dimensiones, cantidad directa, ceros o deducción. ","")))</f>
      </c>
      <c r="O300" s="0" t="n">
        <f>IF(ISNUMBER(K300),IF(AND(K300&gt;0,K300=INT(K300),K300&lt;=999999),K300,0),0)</f>
        <v>0</v>
      </c>
      <c r="P300" s="0">
        <f>IF(COUNTA(B300:L300)=0,"",IF(L300="",IF(COUNTA(G300:J300)&gt;0,"DIMENSIONES","SIN LÍNEAS"),UPPER(TRIM(L300))))</f>
      </c>
      <c r="Q300" s="0">
        <f>IF(AND(O300&gt;0,LEN(TRIM(B300&amp;""))&gt;0,LEN(TRIM(C300&amp;""))&gt;0,LEN(TRIM(E300&amp;""))&gt;0,ISNUMBER(F300)),O300,"")</f>
      </c>
      <c r="R300" s="0" t="n">
        <f>IF(O300=0,0,IF(COUNTIFS($Q$13:$Q$512,O300)&gt;0,MATCH(O300,$Q$13:$Q$512,0),0))</f>
        <v>0</v>
      </c>
      <c r="S300" s="0">
        <f>IF(AB300="","",IF(SUMPRODUCT(--('LÉEME'!$B$65:$B$86=AC300))=1,INDEX('LÉEME'!$C$65:$C$86,MATCH(AC300,'LÉEME'!$B$65:$B$86,0)),UPPER(TRIM(AB300))))</f>
      </c>
      <c r="T300" s="0" t="n">
        <f>IF(R300=0,0,IF(OR(AND(LEN(TRIM(B300&amp;""))&gt;0,UPPER(TRIM(B300&amp;""))&lt;&gt;UPPER(TRIM(INDEX($B$13:$B$512,R300)&amp;""))),AND(LEN(TRIM(C300&amp;""))&gt;0,UPPER(TRIM(C300&amp;""))&lt;&gt;UPPER(TRIM(INDEX($C$13:$C$512,R300)&amp;""))),AND(LEN(TRIM(E300&amp;""))&gt;0,S300&lt;&gt;INDEX($S$13:$S$512,R300)),AND(F300&lt;&gt;"",NOT(ISNUMBER(F300)))),1,IF(ISNUMBER(F300),IF(ABS(F300-INDEX($F$13:$F$512,R300))&gt;0.00000001,1,0),0)))</f>
        <v>0</v>
      </c>
      <c r="U300" s="0" t="n">
        <f>IF(P300="DIRECTA",IF(AND(ISNUMBER(G300),COUNTA(H300:J300)=0),1,0),IF(P300="DIMENSIONES",IF(AND(COUNT(G300:J300)&gt;0,COUNTA(G300:J300)=COUNT(G300:J300)),1,0),0))</f>
        <v>0</v>
      </c>
      <c r="V300" s="0" t="n">
        <f>IF(O300=0,0,IF(COUNTIFS($O$13:O300,O300)=1,1,0))</f>
        <v>0</v>
      </c>
      <c r="W300" s="0">
        <f>IF(V300=1,COUNTIFS($V$13:V300,1),"")</f>
      </c>
      <c r="X300" s="0">
        <f>IF(COUNTA(B300:L300)=0,"",IF(OR(NOT(IF(ISNUMBER($E$6),AND($E$6&gt;=0,$E$6&lt;=6,$E$6=INT($E$6)),FALSE)),O300=0,R300=0,T300&gt;0,AND(P300&lt;&gt;"DIMENSIONES",P300&lt;&gt;"DIRECTA",P300&lt;&gt;"SIN LÍNEAS",P300&lt;&gt;"CABECERA"),AND(OR(P300="DIRECTA",P300="DIMENSIONES"),U300=0),AND(OR(P300="SIN LÍNEAS",P300="CABECERA"),COUNTA(G300:J300)&gt;0)),2,IF(OR(P300="SIN LÍNEAS",Y300&gt;0,Z300&gt;0,AA300&gt;0,SUMPRODUCT(--('LÉEME'!$B$65:$B$86=AC300))&lt;&gt;1),1,0)))</f>
      </c>
      <c r="Y300" s="0" t="n">
        <f>IF(AND(P300="DIMENSIONES",S300="m²",COUNT(H300:J300)=3),1,0)</f>
        <v>0</v>
      </c>
      <c r="Z300" s="0" t="n">
        <f>IF(IF(ISNUMBER($E$6),AND($E$6&gt;=0,$E$6&lt;=6,$E$6=INT($E$6)),FALSE),IF(SUM(IF(ISNUMBER(F300),IF(ABS(F300-ROUND(F300,$E$6))&gt;0.00000001,1,0),0),IF(ISNUMBER(G300),IF(ABS(G300-ROUND(G300,$E$6))&gt;0.00000001,1,0),0),IF(ISNUMBER(H300),IF(ABS(H300-ROUND(H300,$E$6))&gt;0.00000001,1,0),0),IF(ISNUMBER(I300),IF(ABS(I300-ROUND(I300,$E$6))&gt;0.00000001,1,0),0),IF(ISNUMBER(J300),IF(ABS(J300-ROUND(J300,$E$6))&gt;0.00000001,1,0),0),IF(ISNUMBER(M300),IF(ABS(M300-ROUND(M300,$E$6))&gt;0.00000001,1,0),0))&gt;0,1,0),0)</f>
        <v>0</v>
      </c>
      <c r="AA300" s="0" t="n">
        <f>IF(COUNTA(B300:L300)=0,0,IF(OR(AND(ISNUMBER(F300),F300&lt;0),AND(U300=1,OR(SUM(IF(ISNUMBER(G300),IF(G300=0,1,0),0),IF(ISNUMBER(H300),IF(H300=0,1,0),0),IF(ISNUMBER(I300),IF(I300=0,1,0),0),IF(ISNUMBER(J300),IF(J300=0,1,0),0))&gt;0,COUNTIFS(G300:J300,"&lt;0")&gt;0)),AND(P300="DIMENSIONES",U300=1,OR(AND(S300="m",COUNT(H300:J300)&lt;&gt;1),AND(S300="m²",COUNT(H300:J300)&lt;&gt;2,Y300=0),AND(S300="m³",COUNT(H300:J300)&lt;&gt;3),AND(S300="ud",COUNT(H300:J300)&gt;0))),AND(P300="DIRECTA",OR(S300="m",S300="m²",S300="m³"))),1,0))</f>
        <v>0</v>
      </c>
      <c r="AB300" s="0">
        <f>IF(LEN(TRIM(E300&amp;""))&gt;0,E300,IF(R300&gt;0,INDEX($E$13:$E$512,R300),""))</f>
      </c>
      <c r="AC300" s="0">
        <f>UPPER(SUBSTITUTE(SUBSTITUTE(SUBSTITUTE(SUBSTITUTE(SUBSTITUTE(TRIM(AB300),"²","2"),"³","3"),"^",""),".","")," ",""))</f>
      </c>
    </row>
    <row r="301" ht="35" customHeight="1">
      <c r="B301" s="35"/>
      <c r="C301" s="35"/>
      <c r="D301" s="37"/>
      <c r="E301" s="35"/>
      <c r="F301" s="38"/>
      <c r="G301" s="38"/>
      <c r="H301" s="38"/>
      <c r="I301" s="38"/>
      <c r="J301" s="38"/>
      <c r="K301" s="35"/>
      <c r="L301" s="35"/>
      <c r="M301" s="39">
        <f>IF(U301&lt;&gt;1,"",IF(P301="DIRECTA",G301,IF(ISNUMBER(G301),G301,1)*IF(ISNUMBER(H301),H301,1)*IF(ISNUMBER(I301),I301,1)*IF(ISNUMBER(J301),J301,1)))</f>
      </c>
      <c r="N301" s="30">
        <f>IF(COUNTA(B301:L301)=0,"",IF(X301=0,IF(P301="CABECERA","VERDE · Fila descriptiva; la suma usa las líneas del ID","VERDE · Datos numéricos interpretables"),IF(X301=2,"ROJO · ","ÁMBAR · ")&amp;IF(NOT(IF(ISNUMBER($E$6),AND($E$6&gt;=0,$E$6&lt;=6,$E$6=INT($E$6)),FALSE)),"Indicamos entre 0 y 6 decimales en E6. ","")&amp;IF(O301=0,"Falta un ID numérico. ","")&amp;IF(R301=0,"Faltan capítulo, código, unidad o total numérico del ID. ","")&amp;IF(T301&gt;0,"Los datos o el total del ID se contradicen. ","")&amp;IF(AND(P301&lt;&gt;"DIMENSIONES",P301&lt;&gt;"DIRECTA",P301&lt;&gt;"SIN LÍNEAS",P301&lt;&gt;"CABECERA"),"Tipo de fila no reconocido. ","")&amp;IF(AND(OR(P301="SIN LÍNEAS",P301="CABECERA"),COUNTA(G301:J301)&gt;0),"La fila dice que no mide, pero contiene medidas. ","")&amp;IF(AND(OR(P301="DIRECTA",P301="DIMENSIONES"),U301=0),"Línea incompleta o con medidas no numéricas. ","")&amp;IF(P301="SIN LÍNEAS","No constan medidas de esta fila. ","")&amp;IF(Y301&gt;0,"Parece m³: tres dimensiones bajo m². ","")&amp;IF(AND(AB301&lt;&gt;"",SUMPRODUCT(--('LÉEME'!$B$65:$B$86=AC301))&lt;&gt;1),"Revisamos el significado de la unidad. ","")&amp;IF(Z301&gt;0,"Más precisión que los decimales indicados: cotejamos el original. ","")&amp;IF(AA301&gt;0,"Revisamos dimensiones, cantidad directa, ceros o deducción. ","")))</f>
      </c>
      <c r="O301" s="0" t="n">
        <f>IF(ISNUMBER(K301),IF(AND(K301&gt;0,K301=INT(K301),K301&lt;=999999),K301,0),0)</f>
        <v>0</v>
      </c>
      <c r="P301" s="0">
        <f>IF(COUNTA(B301:L301)=0,"",IF(L301="",IF(COUNTA(G301:J301)&gt;0,"DIMENSIONES","SIN LÍNEAS"),UPPER(TRIM(L301))))</f>
      </c>
      <c r="Q301" s="0">
        <f>IF(AND(O301&gt;0,LEN(TRIM(B301&amp;""))&gt;0,LEN(TRIM(C301&amp;""))&gt;0,LEN(TRIM(E301&amp;""))&gt;0,ISNUMBER(F301)),O301,"")</f>
      </c>
      <c r="R301" s="0" t="n">
        <f>IF(O301=0,0,IF(COUNTIFS($Q$13:$Q$512,O301)&gt;0,MATCH(O301,$Q$13:$Q$512,0),0))</f>
        <v>0</v>
      </c>
      <c r="S301" s="0">
        <f>IF(AB301="","",IF(SUMPRODUCT(--('LÉEME'!$B$65:$B$86=AC301))=1,INDEX('LÉEME'!$C$65:$C$86,MATCH(AC301,'LÉEME'!$B$65:$B$86,0)),UPPER(TRIM(AB301))))</f>
      </c>
      <c r="T301" s="0" t="n">
        <f>IF(R301=0,0,IF(OR(AND(LEN(TRIM(B301&amp;""))&gt;0,UPPER(TRIM(B301&amp;""))&lt;&gt;UPPER(TRIM(INDEX($B$13:$B$512,R301)&amp;""))),AND(LEN(TRIM(C301&amp;""))&gt;0,UPPER(TRIM(C301&amp;""))&lt;&gt;UPPER(TRIM(INDEX($C$13:$C$512,R301)&amp;""))),AND(LEN(TRIM(E301&amp;""))&gt;0,S301&lt;&gt;INDEX($S$13:$S$512,R301)),AND(F301&lt;&gt;"",NOT(ISNUMBER(F301)))),1,IF(ISNUMBER(F301),IF(ABS(F301-INDEX($F$13:$F$512,R301))&gt;0.00000001,1,0),0)))</f>
        <v>0</v>
      </c>
      <c r="U301" s="0" t="n">
        <f>IF(P301="DIRECTA",IF(AND(ISNUMBER(G301),COUNTA(H301:J301)=0),1,0),IF(P301="DIMENSIONES",IF(AND(COUNT(G301:J301)&gt;0,COUNTA(G301:J301)=COUNT(G301:J301)),1,0),0))</f>
        <v>0</v>
      </c>
      <c r="V301" s="0" t="n">
        <f>IF(O301=0,0,IF(COUNTIFS($O$13:O301,O301)=1,1,0))</f>
        <v>0</v>
      </c>
      <c r="W301" s="0">
        <f>IF(V301=1,COUNTIFS($V$13:V301,1),"")</f>
      </c>
      <c r="X301" s="0">
        <f>IF(COUNTA(B301:L301)=0,"",IF(OR(NOT(IF(ISNUMBER($E$6),AND($E$6&gt;=0,$E$6&lt;=6,$E$6=INT($E$6)),FALSE)),O301=0,R301=0,T301&gt;0,AND(P301&lt;&gt;"DIMENSIONES",P301&lt;&gt;"DIRECTA",P301&lt;&gt;"SIN LÍNEAS",P301&lt;&gt;"CABECERA"),AND(OR(P301="DIRECTA",P301="DIMENSIONES"),U301=0),AND(OR(P301="SIN LÍNEAS",P301="CABECERA"),COUNTA(G301:J301)&gt;0)),2,IF(OR(P301="SIN LÍNEAS",Y301&gt;0,Z301&gt;0,AA301&gt;0,SUMPRODUCT(--('LÉEME'!$B$65:$B$86=AC301))&lt;&gt;1),1,0)))</f>
      </c>
      <c r="Y301" s="0" t="n">
        <f>IF(AND(P301="DIMENSIONES",S301="m²",COUNT(H301:J301)=3),1,0)</f>
        <v>0</v>
      </c>
      <c r="Z301" s="0" t="n">
        <f>IF(IF(ISNUMBER($E$6),AND($E$6&gt;=0,$E$6&lt;=6,$E$6=INT($E$6)),FALSE),IF(SUM(IF(ISNUMBER(F301),IF(ABS(F301-ROUND(F301,$E$6))&gt;0.00000001,1,0),0),IF(ISNUMBER(G301),IF(ABS(G301-ROUND(G301,$E$6))&gt;0.00000001,1,0),0),IF(ISNUMBER(H301),IF(ABS(H301-ROUND(H301,$E$6))&gt;0.00000001,1,0),0),IF(ISNUMBER(I301),IF(ABS(I301-ROUND(I301,$E$6))&gt;0.00000001,1,0),0),IF(ISNUMBER(J301),IF(ABS(J301-ROUND(J301,$E$6))&gt;0.00000001,1,0),0),IF(ISNUMBER(M301),IF(ABS(M301-ROUND(M301,$E$6))&gt;0.00000001,1,0),0))&gt;0,1,0),0)</f>
        <v>0</v>
      </c>
      <c r="AA301" s="0" t="n">
        <f>IF(COUNTA(B301:L301)=0,0,IF(OR(AND(ISNUMBER(F301),F301&lt;0),AND(U301=1,OR(SUM(IF(ISNUMBER(G301),IF(G301=0,1,0),0),IF(ISNUMBER(H301),IF(H301=0,1,0),0),IF(ISNUMBER(I301),IF(I301=0,1,0),0),IF(ISNUMBER(J301),IF(J301=0,1,0),0))&gt;0,COUNTIFS(G301:J301,"&lt;0")&gt;0)),AND(P301="DIMENSIONES",U301=1,OR(AND(S301="m",COUNT(H301:J301)&lt;&gt;1),AND(S301="m²",COUNT(H301:J301)&lt;&gt;2,Y301=0),AND(S301="m³",COUNT(H301:J301)&lt;&gt;3),AND(S301="ud",COUNT(H301:J301)&gt;0))),AND(P301="DIRECTA",OR(S301="m",S301="m²",S301="m³"))),1,0))</f>
        <v>0</v>
      </c>
      <c r="AB301" s="0">
        <f>IF(LEN(TRIM(E301&amp;""))&gt;0,E301,IF(R301&gt;0,INDEX($E$13:$E$512,R301),""))</f>
      </c>
      <c r="AC301" s="0">
        <f>UPPER(SUBSTITUTE(SUBSTITUTE(SUBSTITUTE(SUBSTITUTE(SUBSTITUTE(TRIM(AB301),"²","2"),"³","3"),"^",""),".","")," ",""))</f>
      </c>
    </row>
    <row r="302" ht="35" customHeight="1">
      <c r="B302" s="35"/>
      <c r="C302" s="35"/>
      <c r="D302" s="37"/>
      <c r="E302" s="35"/>
      <c r="F302" s="38"/>
      <c r="G302" s="38"/>
      <c r="H302" s="38"/>
      <c r="I302" s="38"/>
      <c r="J302" s="38"/>
      <c r="K302" s="35"/>
      <c r="L302" s="35"/>
      <c r="M302" s="39">
        <f>IF(U302&lt;&gt;1,"",IF(P302="DIRECTA",G302,IF(ISNUMBER(G302),G302,1)*IF(ISNUMBER(H302),H302,1)*IF(ISNUMBER(I302),I302,1)*IF(ISNUMBER(J302),J302,1)))</f>
      </c>
      <c r="N302" s="30">
        <f>IF(COUNTA(B302:L302)=0,"",IF(X302=0,IF(P302="CABECERA","VERDE · Fila descriptiva; la suma usa las líneas del ID","VERDE · Datos numéricos interpretables"),IF(X302=2,"ROJO · ","ÁMBAR · ")&amp;IF(NOT(IF(ISNUMBER($E$6),AND($E$6&gt;=0,$E$6&lt;=6,$E$6=INT($E$6)),FALSE)),"Indicamos entre 0 y 6 decimales en E6. ","")&amp;IF(O302=0,"Falta un ID numérico. ","")&amp;IF(R302=0,"Faltan capítulo, código, unidad o total numérico del ID. ","")&amp;IF(T302&gt;0,"Los datos o el total del ID se contradicen. ","")&amp;IF(AND(P302&lt;&gt;"DIMENSIONES",P302&lt;&gt;"DIRECTA",P302&lt;&gt;"SIN LÍNEAS",P302&lt;&gt;"CABECERA"),"Tipo de fila no reconocido. ","")&amp;IF(AND(OR(P302="SIN LÍNEAS",P302="CABECERA"),COUNTA(G302:J302)&gt;0),"La fila dice que no mide, pero contiene medidas. ","")&amp;IF(AND(OR(P302="DIRECTA",P302="DIMENSIONES"),U302=0),"Línea incompleta o con medidas no numéricas. ","")&amp;IF(P302="SIN LÍNEAS","No constan medidas de esta fila. ","")&amp;IF(Y302&gt;0,"Parece m³: tres dimensiones bajo m². ","")&amp;IF(AND(AB302&lt;&gt;"",SUMPRODUCT(--('LÉEME'!$B$65:$B$86=AC302))&lt;&gt;1),"Revisamos el significado de la unidad. ","")&amp;IF(Z302&gt;0,"Más precisión que los decimales indicados: cotejamos el original. ","")&amp;IF(AA302&gt;0,"Revisamos dimensiones, cantidad directa, ceros o deducción. ","")))</f>
      </c>
      <c r="O302" s="0" t="n">
        <f>IF(ISNUMBER(K302),IF(AND(K302&gt;0,K302=INT(K302),K302&lt;=999999),K302,0),0)</f>
        <v>0</v>
      </c>
      <c r="P302" s="0">
        <f>IF(COUNTA(B302:L302)=0,"",IF(L302="",IF(COUNTA(G302:J302)&gt;0,"DIMENSIONES","SIN LÍNEAS"),UPPER(TRIM(L302))))</f>
      </c>
      <c r="Q302" s="0">
        <f>IF(AND(O302&gt;0,LEN(TRIM(B302&amp;""))&gt;0,LEN(TRIM(C302&amp;""))&gt;0,LEN(TRIM(E302&amp;""))&gt;0,ISNUMBER(F302)),O302,"")</f>
      </c>
      <c r="R302" s="0" t="n">
        <f>IF(O302=0,0,IF(COUNTIFS($Q$13:$Q$512,O302)&gt;0,MATCH(O302,$Q$13:$Q$512,0),0))</f>
        <v>0</v>
      </c>
      <c r="S302" s="0">
        <f>IF(AB302="","",IF(SUMPRODUCT(--('LÉEME'!$B$65:$B$86=AC302))=1,INDEX('LÉEME'!$C$65:$C$86,MATCH(AC302,'LÉEME'!$B$65:$B$86,0)),UPPER(TRIM(AB302))))</f>
      </c>
      <c r="T302" s="0" t="n">
        <f>IF(R302=0,0,IF(OR(AND(LEN(TRIM(B302&amp;""))&gt;0,UPPER(TRIM(B302&amp;""))&lt;&gt;UPPER(TRIM(INDEX($B$13:$B$512,R302)&amp;""))),AND(LEN(TRIM(C302&amp;""))&gt;0,UPPER(TRIM(C302&amp;""))&lt;&gt;UPPER(TRIM(INDEX($C$13:$C$512,R302)&amp;""))),AND(LEN(TRIM(E302&amp;""))&gt;0,S302&lt;&gt;INDEX($S$13:$S$512,R302)),AND(F302&lt;&gt;"",NOT(ISNUMBER(F302)))),1,IF(ISNUMBER(F302),IF(ABS(F302-INDEX($F$13:$F$512,R302))&gt;0.00000001,1,0),0)))</f>
        <v>0</v>
      </c>
      <c r="U302" s="0" t="n">
        <f>IF(P302="DIRECTA",IF(AND(ISNUMBER(G302),COUNTA(H302:J302)=0),1,0),IF(P302="DIMENSIONES",IF(AND(COUNT(G302:J302)&gt;0,COUNTA(G302:J302)=COUNT(G302:J302)),1,0),0))</f>
        <v>0</v>
      </c>
      <c r="V302" s="0" t="n">
        <f>IF(O302=0,0,IF(COUNTIFS($O$13:O302,O302)=1,1,0))</f>
        <v>0</v>
      </c>
      <c r="W302" s="0">
        <f>IF(V302=1,COUNTIFS($V$13:V302,1),"")</f>
      </c>
      <c r="X302" s="0">
        <f>IF(COUNTA(B302:L302)=0,"",IF(OR(NOT(IF(ISNUMBER($E$6),AND($E$6&gt;=0,$E$6&lt;=6,$E$6=INT($E$6)),FALSE)),O302=0,R302=0,T302&gt;0,AND(P302&lt;&gt;"DIMENSIONES",P302&lt;&gt;"DIRECTA",P302&lt;&gt;"SIN LÍNEAS",P302&lt;&gt;"CABECERA"),AND(OR(P302="DIRECTA",P302="DIMENSIONES"),U302=0),AND(OR(P302="SIN LÍNEAS",P302="CABECERA"),COUNTA(G302:J302)&gt;0)),2,IF(OR(P302="SIN LÍNEAS",Y302&gt;0,Z302&gt;0,AA302&gt;0,SUMPRODUCT(--('LÉEME'!$B$65:$B$86=AC302))&lt;&gt;1),1,0)))</f>
      </c>
      <c r="Y302" s="0" t="n">
        <f>IF(AND(P302="DIMENSIONES",S302="m²",COUNT(H302:J302)=3),1,0)</f>
        <v>0</v>
      </c>
      <c r="Z302" s="0" t="n">
        <f>IF(IF(ISNUMBER($E$6),AND($E$6&gt;=0,$E$6&lt;=6,$E$6=INT($E$6)),FALSE),IF(SUM(IF(ISNUMBER(F302),IF(ABS(F302-ROUND(F302,$E$6))&gt;0.00000001,1,0),0),IF(ISNUMBER(G302),IF(ABS(G302-ROUND(G302,$E$6))&gt;0.00000001,1,0),0),IF(ISNUMBER(H302),IF(ABS(H302-ROUND(H302,$E$6))&gt;0.00000001,1,0),0),IF(ISNUMBER(I302),IF(ABS(I302-ROUND(I302,$E$6))&gt;0.00000001,1,0),0),IF(ISNUMBER(J302),IF(ABS(J302-ROUND(J302,$E$6))&gt;0.00000001,1,0),0),IF(ISNUMBER(M302),IF(ABS(M302-ROUND(M302,$E$6))&gt;0.00000001,1,0),0))&gt;0,1,0),0)</f>
        <v>0</v>
      </c>
      <c r="AA302" s="0" t="n">
        <f>IF(COUNTA(B302:L302)=0,0,IF(OR(AND(ISNUMBER(F302),F302&lt;0),AND(U302=1,OR(SUM(IF(ISNUMBER(G302),IF(G302=0,1,0),0),IF(ISNUMBER(H302),IF(H302=0,1,0),0),IF(ISNUMBER(I302),IF(I302=0,1,0),0),IF(ISNUMBER(J302),IF(J302=0,1,0),0))&gt;0,COUNTIFS(G302:J302,"&lt;0")&gt;0)),AND(P302="DIMENSIONES",U302=1,OR(AND(S302="m",COUNT(H302:J302)&lt;&gt;1),AND(S302="m²",COUNT(H302:J302)&lt;&gt;2,Y302=0),AND(S302="m³",COUNT(H302:J302)&lt;&gt;3),AND(S302="ud",COUNT(H302:J302)&gt;0))),AND(P302="DIRECTA",OR(S302="m",S302="m²",S302="m³"))),1,0))</f>
        <v>0</v>
      </c>
      <c r="AB302" s="0">
        <f>IF(LEN(TRIM(E302&amp;""))&gt;0,E302,IF(R302&gt;0,INDEX($E$13:$E$512,R302),""))</f>
      </c>
      <c r="AC302" s="0">
        <f>UPPER(SUBSTITUTE(SUBSTITUTE(SUBSTITUTE(SUBSTITUTE(SUBSTITUTE(TRIM(AB302),"²","2"),"³","3"),"^",""),".","")," ",""))</f>
      </c>
    </row>
    <row r="303" ht="35" customHeight="1">
      <c r="B303" s="35"/>
      <c r="C303" s="35"/>
      <c r="D303" s="37"/>
      <c r="E303" s="35"/>
      <c r="F303" s="38"/>
      <c r="G303" s="38"/>
      <c r="H303" s="38"/>
      <c r="I303" s="38"/>
      <c r="J303" s="38"/>
      <c r="K303" s="35"/>
      <c r="L303" s="35"/>
      <c r="M303" s="39">
        <f>IF(U303&lt;&gt;1,"",IF(P303="DIRECTA",G303,IF(ISNUMBER(G303),G303,1)*IF(ISNUMBER(H303),H303,1)*IF(ISNUMBER(I303),I303,1)*IF(ISNUMBER(J303),J303,1)))</f>
      </c>
      <c r="N303" s="30">
        <f>IF(COUNTA(B303:L303)=0,"",IF(X303=0,IF(P303="CABECERA","VERDE · Fila descriptiva; la suma usa las líneas del ID","VERDE · Datos numéricos interpretables"),IF(X303=2,"ROJO · ","ÁMBAR · ")&amp;IF(NOT(IF(ISNUMBER($E$6),AND($E$6&gt;=0,$E$6&lt;=6,$E$6=INT($E$6)),FALSE)),"Indicamos entre 0 y 6 decimales en E6. ","")&amp;IF(O303=0,"Falta un ID numérico. ","")&amp;IF(R303=0,"Faltan capítulo, código, unidad o total numérico del ID. ","")&amp;IF(T303&gt;0,"Los datos o el total del ID se contradicen. ","")&amp;IF(AND(P303&lt;&gt;"DIMENSIONES",P303&lt;&gt;"DIRECTA",P303&lt;&gt;"SIN LÍNEAS",P303&lt;&gt;"CABECERA"),"Tipo de fila no reconocido. ","")&amp;IF(AND(OR(P303="SIN LÍNEAS",P303="CABECERA"),COUNTA(G303:J303)&gt;0),"La fila dice que no mide, pero contiene medidas. ","")&amp;IF(AND(OR(P303="DIRECTA",P303="DIMENSIONES"),U303=0),"Línea incompleta o con medidas no numéricas. ","")&amp;IF(P303="SIN LÍNEAS","No constan medidas de esta fila. ","")&amp;IF(Y303&gt;0,"Parece m³: tres dimensiones bajo m². ","")&amp;IF(AND(AB303&lt;&gt;"",SUMPRODUCT(--('LÉEME'!$B$65:$B$86=AC303))&lt;&gt;1),"Revisamos el significado de la unidad. ","")&amp;IF(Z303&gt;0,"Más precisión que los decimales indicados: cotejamos el original. ","")&amp;IF(AA303&gt;0,"Revisamos dimensiones, cantidad directa, ceros o deducción. ","")))</f>
      </c>
      <c r="O303" s="0" t="n">
        <f>IF(ISNUMBER(K303),IF(AND(K303&gt;0,K303=INT(K303),K303&lt;=999999),K303,0),0)</f>
        <v>0</v>
      </c>
      <c r="P303" s="0">
        <f>IF(COUNTA(B303:L303)=0,"",IF(L303="",IF(COUNTA(G303:J303)&gt;0,"DIMENSIONES","SIN LÍNEAS"),UPPER(TRIM(L303))))</f>
      </c>
      <c r="Q303" s="0">
        <f>IF(AND(O303&gt;0,LEN(TRIM(B303&amp;""))&gt;0,LEN(TRIM(C303&amp;""))&gt;0,LEN(TRIM(E303&amp;""))&gt;0,ISNUMBER(F303)),O303,"")</f>
      </c>
      <c r="R303" s="0" t="n">
        <f>IF(O303=0,0,IF(COUNTIFS($Q$13:$Q$512,O303)&gt;0,MATCH(O303,$Q$13:$Q$512,0),0))</f>
        <v>0</v>
      </c>
      <c r="S303" s="0">
        <f>IF(AB303="","",IF(SUMPRODUCT(--('LÉEME'!$B$65:$B$86=AC303))=1,INDEX('LÉEME'!$C$65:$C$86,MATCH(AC303,'LÉEME'!$B$65:$B$86,0)),UPPER(TRIM(AB303))))</f>
      </c>
      <c r="T303" s="0" t="n">
        <f>IF(R303=0,0,IF(OR(AND(LEN(TRIM(B303&amp;""))&gt;0,UPPER(TRIM(B303&amp;""))&lt;&gt;UPPER(TRIM(INDEX($B$13:$B$512,R303)&amp;""))),AND(LEN(TRIM(C303&amp;""))&gt;0,UPPER(TRIM(C303&amp;""))&lt;&gt;UPPER(TRIM(INDEX($C$13:$C$512,R303)&amp;""))),AND(LEN(TRIM(E303&amp;""))&gt;0,S303&lt;&gt;INDEX($S$13:$S$512,R303)),AND(F303&lt;&gt;"",NOT(ISNUMBER(F303)))),1,IF(ISNUMBER(F303),IF(ABS(F303-INDEX($F$13:$F$512,R303))&gt;0.00000001,1,0),0)))</f>
        <v>0</v>
      </c>
      <c r="U303" s="0" t="n">
        <f>IF(P303="DIRECTA",IF(AND(ISNUMBER(G303),COUNTA(H303:J303)=0),1,0),IF(P303="DIMENSIONES",IF(AND(COUNT(G303:J303)&gt;0,COUNTA(G303:J303)=COUNT(G303:J303)),1,0),0))</f>
        <v>0</v>
      </c>
      <c r="V303" s="0" t="n">
        <f>IF(O303=0,0,IF(COUNTIFS($O$13:O303,O303)=1,1,0))</f>
        <v>0</v>
      </c>
      <c r="W303" s="0">
        <f>IF(V303=1,COUNTIFS($V$13:V303,1),"")</f>
      </c>
      <c r="X303" s="0">
        <f>IF(COUNTA(B303:L303)=0,"",IF(OR(NOT(IF(ISNUMBER($E$6),AND($E$6&gt;=0,$E$6&lt;=6,$E$6=INT($E$6)),FALSE)),O303=0,R303=0,T303&gt;0,AND(P303&lt;&gt;"DIMENSIONES",P303&lt;&gt;"DIRECTA",P303&lt;&gt;"SIN LÍNEAS",P303&lt;&gt;"CABECERA"),AND(OR(P303="DIRECTA",P303="DIMENSIONES"),U303=0),AND(OR(P303="SIN LÍNEAS",P303="CABECERA"),COUNTA(G303:J303)&gt;0)),2,IF(OR(P303="SIN LÍNEAS",Y303&gt;0,Z303&gt;0,AA303&gt;0,SUMPRODUCT(--('LÉEME'!$B$65:$B$86=AC303))&lt;&gt;1),1,0)))</f>
      </c>
      <c r="Y303" s="0" t="n">
        <f>IF(AND(P303="DIMENSIONES",S303="m²",COUNT(H303:J303)=3),1,0)</f>
        <v>0</v>
      </c>
      <c r="Z303" s="0" t="n">
        <f>IF(IF(ISNUMBER($E$6),AND($E$6&gt;=0,$E$6&lt;=6,$E$6=INT($E$6)),FALSE),IF(SUM(IF(ISNUMBER(F303),IF(ABS(F303-ROUND(F303,$E$6))&gt;0.00000001,1,0),0),IF(ISNUMBER(G303),IF(ABS(G303-ROUND(G303,$E$6))&gt;0.00000001,1,0),0),IF(ISNUMBER(H303),IF(ABS(H303-ROUND(H303,$E$6))&gt;0.00000001,1,0),0),IF(ISNUMBER(I303),IF(ABS(I303-ROUND(I303,$E$6))&gt;0.00000001,1,0),0),IF(ISNUMBER(J303),IF(ABS(J303-ROUND(J303,$E$6))&gt;0.00000001,1,0),0),IF(ISNUMBER(M303),IF(ABS(M303-ROUND(M303,$E$6))&gt;0.00000001,1,0),0))&gt;0,1,0),0)</f>
        <v>0</v>
      </c>
      <c r="AA303" s="0" t="n">
        <f>IF(COUNTA(B303:L303)=0,0,IF(OR(AND(ISNUMBER(F303),F303&lt;0),AND(U303=1,OR(SUM(IF(ISNUMBER(G303),IF(G303=0,1,0),0),IF(ISNUMBER(H303),IF(H303=0,1,0),0),IF(ISNUMBER(I303),IF(I303=0,1,0),0),IF(ISNUMBER(J303),IF(J303=0,1,0),0))&gt;0,COUNTIFS(G303:J303,"&lt;0")&gt;0)),AND(P303="DIMENSIONES",U303=1,OR(AND(S303="m",COUNT(H303:J303)&lt;&gt;1),AND(S303="m²",COUNT(H303:J303)&lt;&gt;2,Y303=0),AND(S303="m³",COUNT(H303:J303)&lt;&gt;3),AND(S303="ud",COUNT(H303:J303)&gt;0))),AND(P303="DIRECTA",OR(S303="m",S303="m²",S303="m³"))),1,0))</f>
        <v>0</v>
      </c>
      <c r="AB303" s="0">
        <f>IF(LEN(TRIM(E303&amp;""))&gt;0,E303,IF(R303&gt;0,INDEX($E$13:$E$512,R303),""))</f>
      </c>
      <c r="AC303" s="0">
        <f>UPPER(SUBSTITUTE(SUBSTITUTE(SUBSTITUTE(SUBSTITUTE(SUBSTITUTE(TRIM(AB303),"²","2"),"³","3"),"^",""),".","")," ",""))</f>
      </c>
    </row>
    <row r="304" ht="35" customHeight="1">
      <c r="B304" s="35"/>
      <c r="C304" s="35"/>
      <c r="D304" s="37"/>
      <c r="E304" s="35"/>
      <c r="F304" s="38"/>
      <c r="G304" s="38"/>
      <c r="H304" s="38"/>
      <c r="I304" s="38"/>
      <c r="J304" s="38"/>
      <c r="K304" s="35"/>
      <c r="L304" s="35"/>
      <c r="M304" s="39">
        <f>IF(U304&lt;&gt;1,"",IF(P304="DIRECTA",G304,IF(ISNUMBER(G304),G304,1)*IF(ISNUMBER(H304),H304,1)*IF(ISNUMBER(I304),I304,1)*IF(ISNUMBER(J304),J304,1)))</f>
      </c>
      <c r="N304" s="30">
        <f>IF(COUNTA(B304:L304)=0,"",IF(X304=0,IF(P304="CABECERA","VERDE · Fila descriptiva; la suma usa las líneas del ID","VERDE · Datos numéricos interpretables"),IF(X304=2,"ROJO · ","ÁMBAR · ")&amp;IF(NOT(IF(ISNUMBER($E$6),AND($E$6&gt;=0,$E$6&lt;=6,$E$6=INT($E$6)),FALSE)),"Indicamos entre 0 y 6 decimales en E6. ","")&amp;IF(O304=0,"Falta un ID numérico. ","")&amp;IF(R304=0,"Faltan capítulo, código, unidad o total numérico del ID. ","")&amp;IF(T304&gt;0,"Los datos o el total del ID se contradicen. ","")&amp;IF(AND(P304&lt;&gt;"DIMENSIONES",P304&lt;&gt;"DIRECTA",P304&lt;&gt;"SIN LÍNEAS",P304&lt;&gt;"CABECERA"),"Tipo de fila no reconocido. ","")&amp;IF(AND(OR(P304="SIN LÍNEAS",P304="CABECERA"),COUNTA(G304:J304)&gt;0),"La fila dice que no mide, pero contiene medidas. ","")&amp;IF(AND(OR(P304="DIRECTA",P304="DIMENSIONES"),U304=0),"Línea incompleta o con medidas no numéricas. ","")&amp;IF(P304="SIN LÍNEAS","No constan medidas de esta fila. ","")&amp;IF(Y304&gt;0,"Parece m³: tres dimensiones bajo m². ","")&amp;IF(AND(AB304&lt;&gt;"",SUMPRODUCT(--('LÉEME'!$B$65:$B$86=AC304))&lt;&gt;1),"Revisamos el significado de la unidad. ","")&amp;IF(Z304&gt;0,"Más precisión que los decimales indicados: cotejamos el original. ","")&amp;IF(AA304&gt;0,"Revisamos dimensiones, cantidad directa, ceros o deducción. ","")))</f>
      </c>
      <c r="O304" s="0" t="n">
        <f>IF(ISNUMBER(K304),IF(AND(K304&gt;0,K304=INT(K304),K304&lt;=999999),K304,0),0)</f>
        <v>0</v>
      </c>
      <c r="P304" s="0">
        <f>IF(COUNTA(B304:L304)=0,"",IF(L304="",IF(COUNTA(G304:J304)&gt;0,"DIMENSIONES","SIN LÍNEAS"),UPPER(TRIM(L304))))</f>
      </c>
      <c r="Q304" s="0">
        <f>IF(AND(O304&gt;0,LEN(TRIM(B304&amp;""))&gt;0,LEN(TRIM(C304&amp;""))&gt;0,LEN(TRIM(E304&amp;""))&gt;0,ISNUMBER(F304)),O304,"")</f>
      </c>
      <c r="R304" s="0" t="n">
        <f>IF(O304=0,0,IF(COUNTIFS($Q$13:$Q$512,O304)&gt;0,MATCH(O304,$Q$13:$Q$512,0),0))</f>
        <v>0</v>
      </c>
      <c r="S304" s="0">
        <f>IF(AB304="","",IF(SUMPRODUCT(--('LÉEME'!$B$65:$B$86=AC304))=1,INDEX('LÉEME'!$C$65:$C$86,MATCH(AC304,'LÉEME'!$B$65:$B$86,0)),UPPER(TRIM(AB304))))</f>
      </c>
      <c r="T304" s="0" t="n">
        <f>IF(R304=0,0,IF(OR(AND(LEN(TRIM(B304&amp;""))&gt;0,UPPER(TRIM(B304&amp;""))&lt;&gt;UPPER(TRIM(INDEX($B$13:$B$512,R304)&amp;""))),AND(LEN(TRIM(C304&amp;""))&gt;0,UPPER(TRIM(C304&amp;""))&lt;&gt;UPPER(TRIM(INDEX($C$13:$C$512,R304)&amp;""))),AND(LEN(TRIM(E304&amp;""))&gt;0,S304&lt;&gt;INDEX($S$13:$S$512,R304)),AND(F304&lt;&gt;"",NOT(ISNUMBER(F304)))),1,IF(ISNUMBER(F304),IF(ABS(F304-INDEX($F$13:$F$512,R304))&gt;0.00000001,1,0),0)))</f>
        <v>0</v>
      </c>
      <c r="U304" s="0" t="n">
        <f>IF(P304="DIRECTA",IF(AND(ISNUMBER(G304),COUNTA(H304:J304)=0),1,0),IF(P304="DIMENSIONES",IF(AND(COUNT(G304:J304)&gt;0,COUNTA(G304:J304)=COUNT(G304:J304)),1,0),0))</f>
        <v>0</v>
      </c>
      <c r="V304" s="0" t="n">
        <f>IF(O304=0,0,IF(COUNTIFS($O$13:O304,O304)=1,1,0))</f>
        <v>0</v>
      </c>
      <c r="W304" s="0">
        <f>IF(V304=1,COUNTIFS($V$13:V304,1),"")</f>
      </c>
      <c r="X304" s="0">
        <f>IF(COUNTA(B304:L304)=0,"",IF(OR(NOT(IF(ISNUMBER($E$6),AND($E$6&gt;=0,$E$6&lt;=6,$E$6=INT($E$6)),FALSE)),O304=0,R304=0,T304&gt;0,AND(P304&lt;&gt;"DIMENSIONES",P304&lt;&gt;"DIRECTA",P304&lt;&gt;"SIN LÍNEAS",P304&lt;&gt;"CABECERA"),AND(OR(P304="DIRECTA",P304="DIMENSIONES"),U304=0),AND(OR(P304="SIN LÍNEAS",P304="CABECERA"),COUNTA(G304:J304)&gt;0)),2,IF(OR(P304="SIN LÍNEAS",Y304&gt;0,Z304&gt;0,AA304&gt;0,SUMPRODUCT(--('LÉEME'!$B$65:$B$86=AC304))&lt;&gt;1),1,0)))</f>
      </c>
      <c r="Y304" s="0" t="n">
        <f>IF(AND(P304="DIMENSIONES",S304="m²",COUNT(H304:J304)=3),1,0)</f>
        <v>0</v>
      </c>
      <c r="Z304" s="0" t="n">
        <f>IF(IF(ISNUMBER($E$6),AND($E$6&gt;=0,$E$6&lt;=6,$E$6=INT($E$6)),FALSE),IF(SUM(IF(ISNUMBER(F304),IF(ABS(F304-ROUND(F304,$E$6))&gt;0.00000001,1,0),0),IF(ISNUMBER(G304),IF(ABS(G304-ROUND(G304,$E$6))&gt;0.00000001,1,0),0),IF(ISNUMBER(H304),IF(ABS(H304-ROUND(H304,$E$6))&gt;0.00000001,1,0),0),IF(ISNUMBER(I304),IF(ABS(I304-ROUND(I304,$E$6))&gt;0.00000001,1,0),0),IF(ISNUMBER(J304),IF(ABS(J304-ROUND(J304,$E$6))&gt;0.00000001,1,0),0),IF(ISNUMBER(M304),IF(ABS(M304-ROUND(M304,$E$6))&gt;0.00000001,1,0),0))&gt;0,1,0),0)</f>
        <v>0</v>
      </c>
      <c r="AA304" s="0" t="n">
        <f>IF(COUNTA(B304:L304)=0,0,IF(OR(AND(ISNUMBER(F304),F304&lt;0),AND(U304=1,OR(SUM(IF(ISNUMBER(G304),IF(G304=0,1,0),0),IF(ISNUMBER(H304),IF(H304=0,1,0),0),IF(ISNUMBER(I304),IF(I304=0,1,0),0),IF(ISNUMBER(J304),IF(J304=0,1,0),0))&gt;0,COUNTIFS(G304:J304,"&lt;0")&gt;0)),AND(P304="DIMENSIONES",U304=1,OR(AND(S304="m",COUNT(H304:J304)&lt;&gt;1),AND(S304="m²",COUNT(H304:J304)&lt;&gt;2,Y304=0),AND(S304="m³",COUNT(H304:J304)&lt;&gt;3),AND(S304="ud",COUNT(H304:J304)&gt;0))),AND(P304="DIRECTA",OR(S304="m",S304="m²",S304="m³"))),1,0))</f>
        <v>0</v>
      </c>
      <c r="AB304" s="0">
        <f>IF(LEN(TRIM(E304&amp;""))&gt;0,E304,IF(R304&gt;0,INDEX($E$13:$E$512,R304),""))</f>
      </c>
      <c r="AC304" s="0">
        <f>UPPER(SUBSTITUTE(SUBSTITUTE(SUBSTITUTE(SUBSTITUTE(SUBSTITUTE(TRIM(AB304),"²","2"),"³","3"),"^",""),".","")," ",""))</f>
      </c>
    </row>
    <row r="305" ht="35" customHeight="1">
      <c r="B305" s="35"/>
      <c r="C305" s="35"/>
      <c r="D305" s="37"/>
      <c r="E305" s="35"/>
      <c r="F305" s="38"/>
      <c r="G305" s="38"/>
      <c r="H305" s="38"/>
      <c r="I305" s="38"/>
      <c r="J305" s="38"/>
      <c r="K305" s="35"/>
      <c r="L305" s="35"/>
      <c r="M305" s="39">
        <f>IF(U305&lt;&gt;1,"",IF(P305="DIRECTA",G305,IF(ISNUMBER(G305),G305,1)*IF(ISNUMBER(H305),H305,1)*IF(ISNUMBER(I305),I305,1)*IF(ISNUMBER(J305),J305,1)))</f>
      </c>
      <c r="N305" s="30">
        <f>IF(COUNTA(B305:L305)=0,"",IF(X305=0,IF(P305="CABECERA","VERDE · Fila descriptiva; la suma usa las líneas del ID","VERDE · Datos numéricos interpretables"),IF(X305=2,"ROJO · ","ÁMBAR · ")&amp;IF(NOT(IF(ISNUMBER($E$6),AND($E$6&gt;=0,$E$6&lt;=6,$E$6=INT($E$6)),FALSE)),"Indicamos entre 0 y 6 decimales en E6. ","")&amp;IF(O305=0,"Falta un ID numérico. ","")&amp;IF(R305=0,"Faltan capítulo, código, unidad o total numérico del ID. ","")&amp;IF(T305&gt;0,"Los datos o el total del ID se contradicen. ","")&amp;IF(AND(P305&lt;&gt;"DIMENSIONES",P305&lt;&gt;"DIRECTA",P305&lt;&gt;"SIN LÍNEAS",P305&lt;&gt;"CABECERA"),"Tipo de fila no reconocido. ","")&amp;IF(AND(OR(P305="SIN LÍNEAS",P305="CABECERA"),COUNTA(G305:J305)&gt;0),"La fila dice que no mide, pero contiene medidas. ","")&amp;IF(AND(OR(P305="DIRECTA",P305="DIMENSIONES"),U305=0),"Línea incompleta o con medidas no numéricas. ","")&amp;IF(P305="SIN LÍNEAS","No constan medidas de esta fila. ","")&amp;IF(Y305&gt;0,"Parece m³: tres dimensiones bajo m². ","")&amp;IF(AND(AB305&lt;&gt;"",SUMPRODUCT(--('LÉEME'!$B$65:$B$86=AC305))&lt;&gt;1),"Revisamos el significado de la unidad. ","")&amp;IF(Z305&gt;0,"Más precisión que los decimales indicados: cotejamos el original. ","")&amp;IF(AA305&gt;0,"Revisamos dimensiones, cantidad directa, ceros o deducción. ","")))</f>
      </c>
      <c r="O305" s="0" t="n">
        <f>IF(ISNUMBER(K305),IF(AND(K305&gt;0,K305=INT(K305),K305&lt;=999999),K305,0),0)</f>
        <v>0</v>
      </c>
      <c r="P305" s="0">
        <f>IF(COUNTA(B305:L305)=0,"",IF(L305="",IF(COUNTA(G305:J305)&gt;0,"DIMENSIONES","SIN LÍNEAS"),UPPER(TRIM(L305))))</f>
      </c>
      <c r="Q305" s="0">
        <f>IF(AND(O305&gt;0,LEN(TRIM(B305&amp;""))&gt;0,LEN(TRIM(C305&amp;""))&gt;0,LEN(TRIM(E305&amp;""))&gt;0,ISNUMBER(F305)),O305,"")</f>
      </c>
      <c r="R305" s="0" t="n">
        <f>IF(O305=0,0,IF(COUNTIFS($Q$13:$Q$512,O305)&gt;0,MATCH(O305,$Q$13:$Q$512,0),0))</f>
        <v>0</v>
      </c>
      <c r="S305" s="0">
        <f>IF(AB305="","",IF(SUMPRODUCT(--('LÉEME'!$B$65:$B$86=AC305))=1,INDEX('LÉEME'!$C$65:$C$86,MATCH(AC305,'LÉEME'!$B$65:$B$86,0)),UPPER(TRIM(AB305))))</f>
      </c>
      <c r="T305" s="0" t="n">
        <f>IF(R305=0,0,IF(OR(AND(LEN(TRIM(B305&amp;""))&gt;0,UPPER(TRIM(B305&amp;""))&lt;&gt;UPPER(TRIM(INDEX($B$13:$B$512,R305)&amp;""))),AND(LEN(TRIM(C305&amp;""))&gt;0,UPPER(TRIM(C305&amp;""))&lt;&gt;UPPER(TRIM(INDEX($C$13:$C$512,R305)&amp;""))),AND(LEN(TRIM(E305&amp;""))&gt;0,S305&lt;&gt;INDEX($S$13:$S$512,R305)),AND(F305&lt;&gt;"",NOT(ISNUMBER(F305)))),1,IF(ISNUMBER(F305),IF(ABS(F305-INDEX($F$13:$F$512,R305))&gt;0.00000001,1,0),0)))</f>
        <v>0</v>
      </c>
      <c r="U305" s="0" t="n">
        <f>IF(P305="DIRECTA",IF(AND(ISNUMBER(G305),COUNTA(H305:J305)=0),1,0),IF(P305="DIMENSIONES",IF(AND(COUNT(G305:J305)&gt;0,COUNTA(G305:J305)=COUNT(G305:J305)),1,0),0))</f>
        <v>0</v>
      </c>
      <c r="V305" s="0" t="n">
        <f>IF(O305=0,0,IF(COUNTIFS($O$13:O305,O305)=1,1,0))</f>
        <v>0</v>
      </c>
      <c r="W305" s="0">
        <f>IF(V305=1,COUNTIFS($V$13:V305,1),"")</f>
      </c>
      <c r="X305" s="0">
        <f>IF(COUNTA(B305:L305)=0,"",IF(OR(NOT(IF(ISNUMBER($E$6),AND($E$6&gt;=0,$E$6&lt;=6,$E$6=INT($E$6)),FALSE)),O305=0,R305=0,T305&gt;0,AND(P305&lt;&gt;"DIMENSIONES",P305&lt;&gt;"DIRECTA",P305&lt;&gt;"SIN LÍNEAS",P305&lt;&gt;"CABECERA"),AND(OR(P305="DIRECTA",P305="DIMENSIONES"),U305=0),AND(OR(P305="SIN LÍNEAS",P305="CABECERA"),COUNTA(G305:J305)&gt;0)),2,IF(OR(P305="SIN LÍNEAS",Y305&gt;0,Z305&gt;0,AA305&gt;0,SUMPRODUCT(--('LÉEME'!$B$65:$B$86=AC305))&lt;&gt;1),1,0)))</f>
      </c>
      <c r="Y305" s="0" t="n">
        <f>IF(AND(P305="DIMENSIONES",S305="m²",COUNT(H305:J305)=3),1,0)</f>
        <v>0</v>
      </c>
      <c r="Z305" s="0" t="n">
        <f>IF(IF(ISNUMBER($E$6),AND($E$6&gt;=0,$E$6&lt;=6,$E$6=INT($E$6)),FALSE),IF(SUM(IF(ISNUMBER(F305),IF(ABS(F305-ROUND(F305,$E$6))&gt;0.00000001,1,0),0),IF(ISNUMBER(G305),IF(ABS(G305-ROUND(G305,$E$6))&gt;0.00000001,1,0),0),IF(ISNUMBER(H305),IF(ABS(H305-ROUND(H305,$E$6))&gt;0.00000001,1,0),0),IF(ISNUMBER(I305),IF(ABS(I305-ROUND(I305,$E$6))&gt;0.00000001,1,0),0),IF(ISNUMBER(J305),IF(ABS(J305-ROUND(J305,$E$6))&gt;0.00000001,1,0),0),IF(ISNUMBER(M305),IF(ABS(M305-ROUND(M305,$E$6))&gt;0.00000001,1,0),0))&gt;0,1,0),0)</f>
        <v>0</v>
      </c>
      <c r="AA305" s="0" t="n">
        <f>IF(COUNTA(B305:L305)=0,0,IF(OR(AND(ISNUMBER(F305),F305&lt;0),AND(U305=1,OR(SUM(IF(ISNUMBER(G305),IF(G305=0,1,0),0),IF(ISNUMBER(H305),IF(H305=0,1,0),0),IF(ISNUMBER(I305),IF(I305=0,1,0),0),IF(ISNUMBER(J305),IF(J305=0,1,0),0))&gt;0,COUNTIFS(G305:J305,"&lt;0")&gt;0)),AND(P305="DIMENSIONES",U305=1,OR(AND(S305="m",COUNT(H305:J305)&lt;&gt;1),AND(S305="m²",COUNT(H305:J305)&lt;&gt;2,Y305=0),AND(S305="m³",COUNT(H305:J305)&lt;&gt;3),AND(S305="ud",COUNT(H305:J305)&gt;0))),AND(P305="DIRECTA",OR(S305="m",S305="m²",S305="m³"))),1,0))</f>
        <v>0</v>
      </c>
      <c r="AB305" s="0">
        <f>IF(LEN(TRIM(E305&amp;""))&gt;0,E305,IF(R305&gt;0,INDEX($E$13:$E$512,R305),""))</f>
      </c>
      <c r="AC305" s="0">
        <f>UPPER(SUBSTITUTE(SUBSTITUTE(SUBSTITUTE(SUBSTITUTE(SUBSTITUTE(TRIM(AB305),"²","2"),"³","3"),"^",""),".","")," ",""))</f>
      </c>
    </row>
    <row r="306" ht="35" customHeight="1">
      <c r="B306" s="35"/>
      <c r="C306" s="35"/>
      <c r="D306" s="37"/>
      <c r="E306" s="35"/>
      <c r="F306" s="38"/>
      <c r="G306" s="38"/>
      <c r="H306" s="38"/>
      <c r="I306" s="38"/>
      <c r="J306" s="38"/>
      <c r="K306" s="35"/>
      <c r="L306" s="35"/>
      <c r="M306" s="39">
        <f>IF(U306&lt;&gt;1,"",IF(P306="DIRECTA",G306,IF(ISNUMBER(G306),G306,1)*IF(ISNUMBER(H306),H306,1)*IF(ISNUMBER(I306),I306,1)*IF(ISNUMBER(J306),J306,1)))</f>
      </c>
      <c r="N306" s="30">
        <f>IF(COUNTA(B306:L306)=0,"",IF(X306=0,IF(P306="CABECERA","VERDE · Fila descriptiva; la suma usa las líneas del ID","VERDE · Datos numéricos interpretables"),IF(X306=2,"ROJO · ","ÁMBAR · ")&amp;IF(NOT(IF(ISNUMBER($E$6),AND($E$6&gt;=0,$E$6&lt;=6,$E$6=INT($E$6)),FALSE)),"Indicamos entre 0 y 6 decimales en E6. ","")&amp;IF(O306=0,"Falta un ID numérico. ","")&amp;IF(R306=0,"Faltan capítulo, código, unidad o total numérico del ID. ","")&amp;IF(T306&gt;0,"Los datos o el total del ID se contradicen. ","")&amp;IF(AND(P306&lt;&gt;"DIMENSIONES",P306&lt;&gt;"DIRECTA",P306&lt;&gt;"SIN LÍNEAS",P306&lt;&gt;"CABECERA"),"Tipo de fila no reconocido. ","")&amp;IF(AND(OR(P306="SIN LÍNEAS",P306="CABECERA"),COUNTA(G306:J306)&gt;0),"La fila dice que no mide, pero contiene medidas. ","")&amp;IF(AND(OR(P306="DIRECTA",P306="DIMENSIONES"),U306=0),"Línea incompleta o con medidas no numéricas. ","")&amp;IF(P306="SIN LÍNEAS","No constan medidas de esta fila. ","")&amp;IF(Y306&gt;0,"Parece m³: tres dimensiones bajo m². ","")&amp;IF(AND(AB306&lt;&gt;"",SUMPRODUCT(--('LÉEME'!$B$65:$B$86=AC306))&lt;&gt;1),"Revisamos el significado de la unidad. ","")&amp;IF(Z306&gt;0,"Más precisión que los decimales indicados: cotejamos el original. ","")&amp;IF(AA306&gt;0,"Revisamos dimensiones, cantidad directa, ceros o deducción. ","")))</f>
      </c>
      <c r="O306" s="0" t="n">
        <f>IF(ISNUMBER(K306),IF(AND(K306&gt;0,K306=INT(K306),K306&lt;=999999),K306,0),0)</f>
        <v>0</v>
      </c>
      <c r="P306" s="0">
        <f>IF(COUNTA(B306:L306)=0,"",IF(L306="",IF(COUNTA(G306:J306)&gt;0,"DIMENSIONES","SIN LÍNEAS"),UPPER(TRIM(L306))))</f>
      </c>
      <c r="Q306" s="0">
        <f>IF(AND(O306&gt;0,LEN(TRIM(B306&amp;""))&gt;0,LEN(TRIM(C306&amp;""))&gt;0,LEN(TRIM(E306&amp;""))&gt;0,ISNUMBER(F306)),O306,"")</f>
      </c>
      <c r="R306" s="0" t="n">
        <f>IF(O306=0,0,IF(COUNTIFS($Q$13:$Q$512,O306)&gt;0,MATCH(O306,$Q$13:$Q$512,0),0))</f>
        <v>0</v>
      </c>
      <c r="S306" s="0">
        <f>IF(AB306="","",IF(SUMPRODUCT(--('LÉEME'!$B$65:$B$86=AC306))=1,INDEX('LÉEME'!$C$65:$C$86,MATCH(AC306,'LÉEME'!$B$65:$B$86,0)),UPPER(TRIM(AB306))))</f>
      </c>
      <c r="T306" s="0" t="n">
        <f>IF(R306=0,0,IF(OR(AND(LEN(TRIM(B306&amp;""))&gt;0,UPPER(TRIM(B306&amp;""))&lt;&gt;UPPER(TRIM(INDEX($B$13:$B$512,R306)&amp;""))),AND(LEN(TRIM(C306&amp;""))&gt;0,UPPER(TRIM(C306&amp;""))&lt;&gt;UPPER(TRIM(INDEX($C$13:$C$512,R306)&amp;""))),AND(LEN(TRIM(E306&amp;""))&gt;0,S306&lt;&gt;INDEX($S$13:$S$512,R306)),AND(F306&lt;&gt;"",NOT(ISNUMBER(F306)))),1,IF(ISNUMBER(F306),IF(ABS(F306-INDEX($F$13:$F$512,R306))&gt;0.00000001,1,0),0)))</f>
        <v>0</v>
      </c>
      <c r="U306" s="0" t="n">
        <f>IF(P306="DIRECTA",IF(AND(ISNUMBER(G306),COUNTA(H306:J306)=0),1,0),IF(P306="DIMENSIONES",IF(AND(COUNT(G306:J306)&gt;0,COUNTA(G306:J306)=COUNT(G306:J306)),1,0),0))</f>
        <v>0</v>
      </c>
      <c r="V306" s="0" t="n">
        <f>IF(O306=0,0,IF(COUNTIFS($O$13:O306,O306)=1,1,0))</f>
        <v>0</v>
      </c>
      <c r="W306" s="0">
        <f>IF(V306=1,COUNTIFS($V$13:V306,1),"")</f>
      </c>
      <c r="X306" s="0">
        <f>IF(COUNTA(B306:L306)=0,"",IF(OR(NOT(IF(ISNUMBER($E$6),AND($E$6&gt;=0,$E$6&lt;=6,$E$6=INT($E$6)),FALSE)),O306=0,R306=0,T306&gt;0,AND(P306&lt;&gt;"DIMENSIONES",P306&lt;&gt;"DIRECTA",P306&lt;&gt;"SIN LÍNEAS",P306&lt;&gt;"CABECERA"),AND(OR(P306="DIRECTA",P306="DIMENSIONES"),U306=0),AND(OR(P306="SIN LÍNEAS",P306="CABECERA"),COUNTA(G306:J306)&gt;0)),2,IF(OR(P306="SIN LÍNEAS",Y306&gt;0,Z306&gt;0,AA306&gt;0,SUMPRODUCT(--('LÉEME'!$B$65:$B$86=AC306))&lt;&gt;1),1,0)))</f>
      </c>
      <c r="Y306" s="0" t="n">
        <f>IF(AND(P306="DIMENSIONES",S306="m²",COUNT(H306:J306)=3),1,0)</f>
        <v>0</v>
      </c>
      <c r="Z306" s="0" t="n">
        <f>IF(IF(ISNUMBER($E$6),AND($E$6&gt;=0,$E$6&lt;=6,$E$6=INT($E$6)),FALSE),IF(SUM(IF(ISNUMBER(F306),IF(ABS(F306-ROUND(F306,$E$6))&gt;0.00000001,1,0),0),IF(ISNUMBER(G306),IF(ABS(G306-ROUND(G306,$E$6))&gt;0.00000001,1,0),0),IF(ISNUMBER(H306),IF(ABS(H306-ROUND(H306,$E$6))&gt;0.00000001,1,0),0),IF(ISNUMBER(I306),IF(ABS(I306-ROUND(I306,$E$6))&gt;0.00000001,1,0),0),IF(ISNUMBER(J306),IF(ABS(J306-ROUND(J306,$E$6))&gt;0.00000001,1,0),0),IF(ISNUMBER(M306),IF(ABS(M306-ROUND(M306,$E$6))&gt;0.00000001,1,0),0))&gt;0,1,0),0)</f>
        <v>0</v>
      </c>
      <c r="AA306" s="0" t="n">
        <f>IF(COUNTA(B306:L306)=0,0,IF(OR(AND(ISNUMBER(F306),F306&lt;0),AND(U306=1,OR(SUM(IF(ISNUMBER(G306),IF(G306=0,1,0),0),IF(ISNUMBER(H306),IF(H306=0,1,0),0),IF(ISNUMBER(I306),IF(I306=0,1,0),0),IF(ISNUMBER(J306),IF(J306=0,1,0),0))&gt;0,COUNTIFS(G306:J306,"&lt;0")&gt;0)),AND(P306="DIMENSIONES",U306=1,OR(AND(S306="m",COUNT(H306:J306)&lt;&gt;1),AND(S306="m²",COUNT(H306:J306)&lt;&gt;2,Y306=0),AND(S306="m³",COUNT(H306:J306)&lt;&gt;3),AND(S306="ud",COUNT(H306:J306)&gt;0))),AND(P306="DIRECTA",OR(S306="m",S306="m²",S306="m³"))),1,0))</f>
        <v>0</v>
      </c>
      <c r="AB306" s="0">
        <f>IF(LEN(TRIM(E306&amp;""))&gt;0,E306,IF(R306&gt;0,INDEX($E$13:$E$512,R306),""))</f>
      </c>
      <c r="AC306" s="0">
        <f>UPPER(SUBSTITUTE(SUBSTITUTE(SUBSTITUTE(SUBSTITUTE(SUBSTITUTE(TRIM(AB306),"²","2"),"³","3"),"^",""),".","")," ",""))</f>
      </c>
    </row>
    <row r="307" ht="35" customHeight="1">
      <c r="B307" s="35"/>
      <c r="C307" s="35"/>
      <c r="D307" s="37"/>
      <c r="E307" s="35"/>
      <c r="F307" s="38"/>
      <c r="G307" s="38"/>
      <c r="H307" s="38"/>
      <c r="I307" s="38"/>
      <c r="J307" s="38"/>
      <c r="K307" s="35"/>
      <c r="L307" s="35"/>
      <c r="M307" s="39">
        <f>IF(U307&lt;&gt;1,"",IF(P307="DIRECTA",G307,IF(ISNUMBER(G307),G307,1)*IF(ISNUMBER(H307),H307,1)*IF(ISNUMBER(I307),I307,1)*IF(ISNUMBER(J307),J307,1)))</f>
      </c>
      <c r="N307" s="30">
        <f>IF(COUNTA(B307:L307)=0,"",IF(X307=0,IF(P307="CABECERA","VERDE · Fila descriptiva; la suma usa las líneas del ID","VERDE · Datos numéricos interpretables"),IF(X307=2,"ROJO · ","ÁMBAR · ")&amp;IF(NOT(IF(ISNUMBER($E$6),AND($E$6&gt;=0,$E$6&lt;=6,$E$6=INT($E$6)),FALSE)),"Indicamos entre 0 y 6 decimales en E6. ","")&amp;IF(O307=0,"Falta un ID numérico. ","")&amp;IF(R307=0,"Faltan capítulo, código, unidad o total numérico del ID. ","")&amp;IF(T307&gt;0,"Los datos o el total del ID se contradicen. ","")&amp;IF(AND(P307&lt;&gt;"DIMENSIONES",P307&lt;&gt;"DIRECTA",P307&lt;&gt;"SIN LÍNEAS",P307&lt;&gt;"CABECERA"),"Tipo de fila no reconocido. ","")&amp;IF(AND(OR(P307="SIN LÍNEAS",P307="CABECERA"),COUNTA(G307:J307)&gt;0),"La fila dice que no mide, pero contiene medidas. ","")&amp;IF(AND(OR(P307="DIRECTA",P307="DIMENSIONES"),U307=0),"Línea incompleta o con medidas no numéricas. ","")&amp;IF(P307="SIN LÍNEAS","No constan medidas de esta fila. ","")&amp;IF(Y307&gt;0,"Parece m³: tres dimensiones bajo m². ","")&amp;IF(AND(AB307&lt;&gt;"",SUMPRODUCT(--('LÉEME'!$B$65:$B$86=AC307))&lt;&gt;1),"Revisamos el significado de la unidad. ","")&amp;IF(Z307&gt;0,"Más precisión que los decimales indicados: cotejamos el original. ","")&amp;IF(AA307&gt;0,"Revisamos dimensiones, cantidad directa, ceros o deducción. ","")))</f>
      </c>
      <c r="O307" s="0" t="n">
        <f>IF(ISNUMBER(K307),IF(AND(K307&gt;0,K307=INT(K307),K307&lt;=999999),K307,0),0)</f>
        <v>0</v>
      </c>
      <c r="P307" s="0">
        <f>IF(COUNTA(B307:L307)=0,"",IF(L307="",IF(COUNTA(G307:J307)&gt;0,"DIMENSIONES","SIN LÍNEAS"),UPPER(TRIM(L307))))</f>
      </c>
      <c r="Q307" s="0">
        <f>IF(AND(O307&gt;0,LEN(TRIM(B307&amp;""))&gt;0,LEN(TRIM(C307&amp;""))&gt;0,LEN(TRIM(E307&amp;""))&gt;0,ISNUMBER(F307)),O307,"")</f>
      </c>
      <c r="R307" s="0" t="n">
        <f>IF(O307=0,0,IF(COUNTIFS($Q$13:$Q$512,O307)&gt;0,MATCH(O307,$Q$13:$Q$512,0),0))</f>
        <v>0</v>
      </c>
      <c r="S307" s="0">
        <f>IF(AB307="","",IF(SUMPRODUCT(--('LÉEME'!$B$65:$B$86=AC307))=1,INDEX('LÉEME'!$C$65:$C$86,MATCH(AC307,'LÉEME'!$B$65:$B$86,0)),UPPER(TRIM(AB307))))</f>
      </c>
      <c r="T307" s="0" t="n">
        <f>IF(R307=0,0,IF(OR(AND(LEN(TRIM(B307&amp;""))&gt;0,UPPER(TRIM(B307&amp;""))&lt;&gt;UPPER(TRIM(INDEX($B$13:$B$512,R307)&amp;""))),AND(LEN(TRIM(C307&amp;""))&gt;0,UPPER(TRIM(C307&amp;""))&lt;&gt;UPPER(TRIM(INDEX($C$13:$C$512,R307)&amp;""))),AND(LEN(TRIM(E307&amp;""))&gt;0,S307&lt;&gt;INDEX($S$13:$S$512,R307)),AND(F307&lt;&gt;"",NOT(ISNUMBER(F307)))),1,IF(ISNUMBER(F307),IF(ABS(F307-INDEX($F$13:$F$512,R307))&gt;0.00000001,1,0),0)))</f>
        <v>0</v>
      </c>
      <c r="U307" s="0" t="n">
        <f>IF(P307="DIRECTA",IF(AND(ISNUMBER(G307),COUNTA(H307:J307)=0),1,0),IF(P307="DIMENSIONES",IF(AND(COUNT(G307:J307)&gt;0,COUNTA(G307:J307)=COUNT(G307:J307)),1,0),0))</f>
        <v>0</v>
      </c>
      <c r="V307" s="0" t="n">
        <f>IF(O307=0,0,IF(COUNTIFS($O$13:O307,O307)=1,1,0))</f>
        <v>0</v>
      </c>
      <c r="W307" s="0">
        <f>IF(V307=1,COUNTIFS($V$13:V307,1),"")</f>
      </c>
      <c r="X307" s="0">
        <f>IF(COUNTA(B307:L307)=0,"",IF(OR(NOT(IF(ISNUMBER($E$6),AND($E$6&gt;=0,$E$6&lt;=6,$E$6=INT($E$6)),FALSE)),O307=0,R307=0,T307&gt;0,AND(P307&lt;&gt;"DIMENSIONES",P307&lt;&gt;"DIRECTA",P307&lt;&gt;"SIN LÍNEAS",P307&lt;&gt;"CABECERA"),AND(OR(P307="DIRECTA",P307="DIMENSIONES"),U307=0),AND(OR(P307="SIN LÍNEAS",P307="CABECERA"),COUNTA(G307:J307)&gt;0)),2,IF(OR(P307="SIN LÍNEAS",Y307&gt;0,Z307&gt;0,AA307&gt;0,SUMPRODUCT(--('LÉEME'!$B$65:$B$86=AC307))&lt;&gt;1),1,0)))</f>
      </c>
      <c r="Y307" s="0" t="n">
        <f>IF(AND(P307="DIMENSIONES",S307="m²",COUNT(H307:J307)=3),1,0)</f>
        <v>0</v>
      </c>
      <c r="Z307" s="0" t="n">
        <f>IF(IF(ISNUMBER($E$6),AND($E$6&gt;=0,$E$6&lt;=6,$E$6=INT($E$6)),FALSE),IF(SUM(IF(ISNUMBER(F307),IF(ABS(F307-ROUND(F307,$E$6))&gt;0.00000001,1,0),0),IF(ISNUMBER(G307),IF(ABS(G307-ROUND(G307,$E$6))&gt;0.00000001,1,0),0),IF(ISNUMBER(H307),IF(ABS(H307-ROUND(H307,$E$6))&gt;0.00000001,1,0),0),IF(ISNUMBER(I307),IF(ABS(I307-ROUND(I307,$E$6))&gt;0.00000001,1,0),0),IF(ISNUMBER(J307),IF(ABS(J307-ROUND(J307,$E$6))&gt;0.00000001,1,0),0),IF(ISNUMBER(M307),IF(ABS(M307-ROUND(M307,$E$6))&gt;0.00000001,1,0),0))&gt;0,1,0),0)</f>
        <v>0</v>
      </c>
      <c r="AA307" s="0" t="n">
        <f>IF(COUNTA(B307:L307)=0,0,IF(OR(AND(ISNUMBER(F307),F307&lt;0),AND(U307=1,OR(SUM(IF(ISNUMBER(G307),IF(G307=0,1,0),0),IF(ISNUMBER(H307),IF(H307=0,1,0),0),IF(ISNUMBER(I307),IF(I307=0,1,0),0),IF(ISNUMBER(J307),IF(J307=0,1,0),0))&gt;0,COUNTIFS(G307:J307,"&lt;0")&gt;0)),AND(P307="DIMENSIONES",U307=1,OR(AND(S307="m",COUNT(H307:J307)&lt;&gt;1),AND(S307="m²",COUNT(H307:J307)&lt;&gt;2,Y307=0),AND(S307="m³",COUNT(H307:J307)&lt;&gt;3),AND(S307="ud",COUNT(H307:J307)&gt;0))),AND(P307="DIRECTA",OR(S307="m",S307="m²",S307="m³"))),1,0))</f>
        <v>0</v>
      </c>
      <c r="AB307" s="0">
        <f>IF(LEN(TRIM(E307&amp;""))&gt;0,E307,IF(R307&gt;0,INDEX($E$13:$E$512,R307),""))</f>
      </c>
      <c r="AC307" s="0">
        <f>UPPER(SUBSTITUTE(SUBSTITUTE(SUBSTITUTE(SUBSTITUTE(SUBSTITUTE(TRIM(AB307),"²","2"),"³","3"),"^",""),".","")," ",""))</f>
      </c>
    </row>
    <row r="308" ht="35" customHeight="1">
      <c r="B308" s="35"/>
      <c r="C308" s="35"/>
      <c r="D308" s="37"/>
      <c r="E308" s="35"/>
      <c r="F308" s="38"/>
      <c r="G308" s="38"/>
      <c r="H308" s="38"/>
      <c r="I308" s="38"/>
      <c r="J308" s="38"/>
      <c r="K308" s="35"/>
      <c r="L308" s="35"/>
      <c r="M308" s="39">
        <f>IF(U308&lt;&gt;1,"",IF(P308="DIRECTA",G308,IF(ISNUMBER(G308),G308,1)*IF(ISNUMBER(H308),H308,1)*IF(ISNUMBER(I308),I308,1)*IF(ISNUMBER(J308),J308,1)))</f>
      </c>
      <c r="N308" s="30">
        <f>IF(COUNTA(B308:L308)=0,"",IF(X308=0,IF(P308="CABECERA","VERDE · Fila descriptiva; la suma usa las líneas del ID","VERDE · Datos numéricos interpretables"),IF(X308=2,"ROJO · ","ÁMBAR · ")&amp;IF(NOT(IF(ISNUMBER($E$6),AND($E$6&gt;=0,$E$6&lt;=6,$E$6=INT($E$6)),FALSE)),"Indicamos entre 0 y 6 decimales en E6. ","")&amp;IF(O308=0,"Falta un ID numérico. ","")&amp;IF(R308=0,"Faltan capítulo, código, unidad o total numérico del ID. ","")&amp;IF(T308&gt;0,"Los datos o el total del ID se contradicen. ","")&amp;IF(AND(P308&lt;&gt;"DIMENSIONES",P308&lt;&gt;"DIRECTA",P308&lt;&gt;"SIN LÍNEAS",P308&lt;&gt;"CABECERA"),"Tipo de fila no reconocido. ","")&amp;IF(AND(OR(P308="SIN LÍNEAS",P308="CABECERA"),COUNTA(G308:J308)&gt;0),"La fila dice que no mide, pero contiene medidas. ","")&amp;IF(AND(OR(P308="DIRECTA",P308="DIMENSIONES"),U308=0),"Línea incompleta o con medidas no numéricas. ","")&amp;IF(P308="SIN LÍNEAS","No constan medidas de esta fila. ","")&amp;IF(Y308&gt;0,"Parece m³: tres dimensiones bajo m². ","")&amp;IF(AND(AB308&lt;&gt;"",SUMPRODUCT(--('LÉEME'!$B$65:$B$86=AC308))&lt;&gt;1),"Revisamos el significado de la unidad. ","")&amp;IF(Z308&gt;0,"Más precisión que los decimales indicados: cotejamos el original. ","")&amp;IF(AA308&gt;0,"Revisamos dimensiones, cantidad directa, ceros o deducción. ","")))</f>
      </c>
      <c r="O308" s="0" t="n">
        <f>IF(ISNUMBER(K308),IF(AND(K308&gt;0,K308=INT(K308),K308&lt;=999999),K308,0),0)</f>
        <v>0</v>
      </c>
      <c r="P308" s="0">
        <f>IF(COUNTA(B308:L308)=0,"",IF(L308="",IF(COUNTA(G308:J308)&gt;0,"DIMENSIONES","SIN LÍNEAS"),UPPER(TRIM(L308))))</f>
      </c>
      <c r="Q308" s="0">
        <f>IF(AND(O308&gt;0,LEN(TRIM(B308&amp;""))&gt;0,LEN(TRIM(C308&amp;""))&gt;0,LEN(TRIM(E308&amp;""))&gt;0,ISNUMBER(F308)),O308,"")</f>
      </c>
      <c r="R308" s="0" t="n">
        <f>IF(O308=0,0,IF(COUNTIFS($Q$13:$Q$512,O308)&gt;0,MATCH(O308,$Q$13:$Q$512,0),0))</f>
        <v>0</v>
      </c>
      <c r="S308" s="0">
        <f>IF(AB308="","",IF(SUMPRODUCT(--('LÉEME'!$B$65:$B$86=AC308))=1,INDEX('LÉEME'!$C$65:$C$86,MATCH(AC308,'LÉEME'!$B$65:$B$86,0)),UPPER(TRIM(AB308))))</f>
      </c>
      <c r="T308" s="0" t="n">
        <f>IF(R308=0,0,IF(OR(AND(LEN(TRIM(B308&amp;""))&gt;0,UPPER(TRIM(B308&amp;""))&lt;&gt;UPPER(TRIM(INDEX($B$13:$B$512,R308)&amp;""))),AND(LEN(TRIM(C308&amp;""))&gt;0,UPPER(TRIM(C308&amp;""))&lt;&gt;UPPER(TRIM(INDEX($C$13:$C$512,R308)&amp;""))),AND(LEN(TRIM(E308&amp;""))&gt;0,S308&lt;&gt;INDEX($S$13:$S$512,R308)),AND(F308&lt;&gt;"",NOT(ISNUMBER(F308)))),1,IF(ISNUMBER(F308),IF(ABS(F308-INDEX($F$13:$F$512,R308))&gt;0.00000001,1,0),0)))</f>
        <v>0</v>
      </c>
      <c r="U308" s="0" t="n">
        <f>IF(P308="DIRECTA",IF(AND(ISNUMBER(G308),COUNTA(H308:J308)=0),1,0),IF(P308="DIMENSIONES",IF(AND(COUNT(G308:J308)&gt;0,COUNTA(G308:J308)=COUNT(G308:J308)),1,0),0))</f>
        <v>0</v>
      </c>
      <c r="V308" s="0" t="n">
        <f>IF(O308=0,0,IF(COUNTIFS($O$13:O308,O308)=1,1,0))</f>
        <v>0</v>
      </c>
      <c r="W308" s="0">
        <f>IF(V308=1,COUNTIFS($V$13:V308,1),"")</f>
      </c>
      <c r="X308" s="0">
        <f>IF(COUNTA(B308:L308)=0,"",IF(OR(NOT(IF(ISNUMBER($E$6),AND($E$6&gt;=0,$E$6&lt;=6,$E$6=INT($E$6)),FALSE)),O308=0,R308=0,T308&gt;0,AND(P308&lt;&gt;"DIMENSIONES",P308&lt;&gt;"DIRECTA",P308&lt;&gt;"SIN LÍNEAS",P308&lt;&gt;"CABECERA"),AND(OR(P308="DIRECTA",P308="DIMENSIONES"),U308=0),AND(OR(P308="SIN LÍNEAS",P308="CABECERA"),COUNTA(G308:J308)&gt;0)),2,IF(OR(P308="SIN LÍNEAS",Y308&gt;0,Z308&gt;0,AA308&gt;0,SUMPRODUCT(--('LÉEME'!$B$65:$B$86=AC308))&lt;&gt;1),1,0)))</f>
      </c>
      <c r="Y308" s="0" t="n">
        <f>IF(AND(P308="DIMENSIONES",S308="m²",COUNT(H308:J308)=3),1,0)</f>
        <v>0</v>
      </c>
      <c r="Z308" s="0" t="n">
        <f>IF(IF(ISNUMBER($E$6),AND($E$6&gt;=0,$E$6&lt;=6,$E$6=INT($E$6)),FALSE),IF(SUM(IF(ISNUMBER(F308),IF(ABS(F308-ROUND(F308,$E$6))&gt;0.00000001,1,0),0),IF(ISNUMBER(G308),IF(ABS(G308-ROUND(G308,$E$6))&gt;0.00000001,1,0),0),IF(ISNUMBER(H308),IF(ABS(H308-ROUND(H308,$E$6))&gt;0.00000001,1,0),0),IF(ISNUMBER(I308),IF(ABS(I308-ROUND(I308,$E$6))&gt;0.00000001,1,0),0),IF(ISNUMBER(J308),IF(ABS(J308-ROUND(J308,$E$6))&gt;0.00000001,1,0),0),IF(ISNUMBER(M308),IF(ABS(M308-ROUND(M308,$E$6))&gt;0.00000001,1,0),0))&gt;0,1,0),0)</f>
        <v>0</v>
      </c>
      <c r="AA308" s="0" t="n">
        <f>IF(COUNTA(B308:L308)=0,0,IF(OR(AND(ISNUMBER(F308),F308&lt;0),AND(U308=1,OR(SUM(IF(ISNUMBER(G308),IF(G308=0,1,0),0),IF(ISNUMBER(H308),IF(H308=0,1,0),0),IF(ISNUMBER(I308),IF(I308=0,1,0),0),IF(ISNUMBER(J308),IF(J308=0,1,0),0))&gt;0,COUNTIFS(G308:J308,"&lt;0")&gt;0)),AND(P308="DIMENSIONES",U308=1,OR(AND(S308="m",COUNT(H308:J308)&lt;&gt;1),AND(S308="m²",COUNT(H308:J308)&lt;&gt;2,Y308=0),AND(S308="m³",COUNT(H308:J308)&lt;&gt;3),AND(S308="ud",COUNT(H308:J308)&gt;0))),AND(P308="DIRECTA",OR(S308="m",S308="m²",S308="m³"))),1,0))</f>
        <v>0</v>
      </c>
      <c r="AB308" s="0">
        <f>IF(LEN(TRIM(E308&amp;""))&gt;0,E308,IF(R308&gt;0,INDEX($E$13:$E$512,R308),""))</f>
      </c>
      <c r="AC308" s="0">
        <f>UPPER(SUBSTITUTE(SUBSTITUTE(SUBSTITUTE(SUBSTITUTE(SUBSTITUTE(TRIM(AB308),"²","2"),"³","3"),"^",""),".","")," ",""))</f>
      </c>
    </row>
    <row r="309" ht="35" customHeight="1">
      <c r="B309" s="35"/>
      <c r="C309" s="35"/>
      <c r="D309" s="37"/>
      <c r="E309" s="35"/>
      <c r="F309" s="38"/>
      <c r="G309" s="38"/>
      <c r="H309" s="38"/>
      <c r="I309" s="38"/>
      <c r="J309" s="38"/>
      <c r="K309" s="35"/>
      <c r="L309" s="35"/>
      <c r="M309" s="39">
        <f>IF(U309&lt;&gt;1,"",IF(P309="DIRECTA",G309,IF(ISNUMBER(G309),G309,1)*IF(ISNUMBER(H309),H309,1)*IF(ISNUMBER(I309),I309,1)*IF(ISNUMBER(J309),J309,1)))</f>
      </c>
      <c r="N309" s="30">
        <f>IF(COUNTA(B309:L309)=0,"",IF(X309=0,IF(P309="CABECERA","VERDE · Fila descriptiva; la suma usa las líneas del ID","VERDE · Datos numéricos interpretables"),IF(X309=2,"ROJO · ","ÁMBAR · ")&amp;IF(NOT(IF(ISNUMBER($E$6),AND($E$6&gt;=0,$E$6&lt;=6,$E$6=INT($E$6)),FALSE)),"Indicamos entre 0 y 6 decimales en E6. ","")&amp;IF(O309=0,"Falta un ID numérico. ","")&amp;IF(R309=0,"Faltan capítulo, código, unidad o total numérico del ID. ","")&amp;IF(T309&gt;0,"Los datos o el total del ID se contradicen. ","")&amp;IF(AND(P309&lt;&gt;"DIMENSIONES",P309&lt;&gt;"DIRECTA",P309&lt;&gt;"SIN LÍNEAS",P309&lt;&gt;"CABECERA"),"Tipo de fila no reconocido. ","")&amp;IF(AND(OR(P309="SIN LÍNEAS",P309="CABECERA"),COUNTA(G309:J309)&gt;0),"La fila dice que no mide, pero contiene medidas. ","")&amp;IF(AND(OR(P309="DIRECTA",P309="DIMENSIONES"),U309=0),"Línea incompleta o con medidas no numéricas. ","")&amp;IF(P309="SIN LÍNEAS","No constan medidas de esta fila. ","")&amp;IF(Y309&gt;0,"Parece m³: tres dimensiones bajo m². ","")&amp;IF(AND(AB309&lt;&gt;"",SUMPRODUCT(--('LÉEME'!$B$65:$B$86=AC309))&lt;&gt;1),"Revisamos el significado de la unidad. ","")&amp;IF(Z309&gt;0,"Más precisión que los decimales indicados: cotejamos el original. ","")&amp;IF(AA309&gt;0,"Revisamos dimensiones, cantidad directa, ceros o deducción. ","")))</f>
      </c>
      <c r="O309" s="0" t="n">
        <f>IF(ISNUMBER(K309),IF(AND(K309&gt;0,K309=INT(K309),K309&lt;=999999),K309,0),0)</f>
        <v>0</v>
      </c>
      <c r="P309" s="0">
        <f>IF(COUNTA(B309:L309)=0,"",IF(L309="",IF(COUNTA(G309:J309)&gt;0,"DIMENSIONES","SIN LÍNEAS"),UPPER(TRIM(L309))))</f>
      </c>
      <c r="Q309" s="0">
        <f>IF(AND(O309&gt;0,LEN(TRIM(B309&amp;""))&gt;0,LEN(TRIM(C309&amp;""))&gt;0,LEN(TRIM(E309&amp;""))&gt;0,ISNUMBER(F309)),O309,"")</f>
      </c>
      <c r="R309" s="0" t="n">
        <f>IF(O309=0,0,IF(COUNTIFS($Q$13:$Q$512,O309)&gt;0,MATCH(O309,$Q$13:$Q$512,0),0))</f>
        <v>0</v>
      </c>
      <c r="S309" s="0">
        <f>IF(AB309="","",IF(SUMPRODUCT(--('LÉEME'!$B$65:$B$86=AC309))=1,INDEX('LÉEME'!$C$65:$C$86,MATCH(AC309,'LÉEME'!$B$65:$B$86,0)),UPPER(TRIM(AB309))))</f>
      </c>
      <c r="T309" s="0" t="n">
        <f>IF(R309=0,0,IF(OR(AND(LEN(TRIM(B309&amp;""))&gt;0,UPPER(TRIM(B309&amp;""))&lt;&gt;UPPER(TRIM(INDEX($B$13:$B$512,R309)&amp;""))),AND(LEN(TRIM(C309&amp;""))&gt;0,UPPER(TRIM(C309&amp;""))&lt;&gt;UPPER(TRIM(INDEX($C$13:$C$512,R309)&amp;""))),AND(LEN(TRIM(E309&amp;""))&gt;0,S309&lt;&gt;INDEX($S$13:$S$512,R309)),AND(F309&lt;&gt;"",NOT(ISNUMBER(F309)))),1,IF(ISNUMBER(F309),IF(ABS(F309-INDEX($F$13:$F$512,R309))&gt;0.00000001,1,0),0)))</f>
        <v>0</v>
      </c>
      <c r="U309" s="0" t="n">
        <f>IF(P309="DIRECTA",IF(AND(ISNUMBER(G309),COUNTA(H309:J309)=0),1,0),IF(P309="DIMENSIONES",IF(AND(COUNT(G309:J309)&gt;0,COUNTA(G309:J309)=COUNT(G309:J309)),1,0),0))</f>
        <v>0</v>
      </c>
      <c r="V309" s="0" t="n">
        <f>IF(O309=0,0,IF(COUNTIFS($O$13:O309,O309)=1,1,0))</f>
        <v>0</v>
      </c>
      <c r="W309" s="0">
        <f>IF(V309=1,COUNTIFS($V$13:V309,1),"")</f>
      </c>
      <c r="X309" s="0">
        <f>IF(COUNTA(B309:L309)=0,"",IF(OR(NOT(IF(ISNUMBER($E$6),AND($E$6&gt;=0,$E$6&lt;=6,$E$6=INT($E$6)),FALSE)),O309=0,R309=0,T309&gt;0,AND(P309&lt;&gt;"DIMENSIONES",P309&lt;&gt;"DIRECTA",P309&lt;&gt;"SIN LÍNEAS",P309&lt;&gt;"CABECERA"),AND(OR(P309="DIRECTA",P309="DIMENSIONES"),U309=0),AND(OR(P309="SIN LÍNEAS",P309="CABECERA"),COUNTA(G309:J309)&gt;0)),2,IF(OR(P309="SIN LÍNEAS",Y309&gt;0,Z309&gt;0,AA309&gt;0,SUMPRODUCT(--('LÉEME'!$B$65:$B$86=AC309))&lt;&gt;1),1,0)))</f>
      </c>
      <c r="Y309" s="0" t="n">
        <f>IF(AND(P309="DIMENSIONES",S309="m²",COUNT(H309:J309)=3),1,0)</f>
        <v>0</v>
      </c>
      <c r="Z309" s="0" t="n">
        <f>IF(IF(ISNUMBER($E$6),AND($E$6&gt;=0,$E$6&lt;=6,$E$6=INT($E$6)),FALSE),IF(SUM(IF(ISNUMBER(F309),IF(ABS(F309-ROUND(F309,$E$6))&gt;0.00000001,1,0),0),IF(ISNUMBER(G309),IF(ABS(G309-ROUND(G309,$E$6))&gt;0.00000001,1,0),0),IF(ISNUMBER(H309),IF(ABS(H309-ROUND(H309,$E$6))&gt;0.00000001,1,0),0),IF(ISNUMBER(I309),IF(ABS(I309-ROUND(I309,$E$6))&gt;0.00000001,1,0),0),IF(ISNUMBER(J309),IF(ABS(J309-ROUND(J309,$E$6))&gt;0.00000001,1,0),0),IF(ISNUMBER(M309),IF(ABS(M309-ROUND(M309,$E$6))&gt;0.00000001,1,0),0))&gt;0,1,0),0)</f>
        <v>0</v>
      </c>
      <c r="AA309" s="0" t="n">
        <f>IF(COUNTA(B309:L309)=0,0,IF(OR(AND(ISNUMBER(F309),F309&lt;0),AND(U309=1,OR(SUM(IF(ISNUMBER(G309),IF(G309=0,1,0),0),IF(ISNUMBER(H309),IF(H309=0,1,0),0),IF(ISNUMBER(I309),IF(I309=0,1,0),0),IF(ISNUMBER(J309),IF(J309=0,1,0),0))&gt;0,COUNTIFS(G309:J309,"&lt;0")&gt;0)),AND(P309="DIMENSIONES",U309=1,OR(AND(S309="m",COUNT(H309:J309)&lt;&gt;1),AND(S309="m²",COUNT(H309:J309)&lt;&gt;2,Y309=0),AND(S309="m³",COUNT(H309:J309)&lt;&gt;3),AND(S309="ud",COUNT(H309:J309)&gt;0))),AND(P309="DIRECTA",OR(S309="m",S309="m²",S309="m³"))),1,0))</f>
        <v>0</v>
      </c>
      <c r="AB309" s="0">
        <f>IF(LEN(TRIM(E309&amp;""))&gt;0,E309,IF(R309&gt;0,INDEX($E$13:$E$512,R309),""))</f>
      </c>
      <c r="AC309" s="0">
        <f>UPPER(SUBSTITUTE(SUBSTITUTE(SUBSTITUTE(SUBSTITUTE(SUBSTITUTE(TRIM(AB309),"²","2"),"³","3"),"^",""),".","")," ",""))</f>
      </c>
    </row>
    <row r="310" ht="35" customHeight="1">
      <c r="B310" s="35"/>
      <c r="C310" s="35"/>
      <c r="D310" s="37"/>
      <c r="E310" s="35"/>
      <c r="F310" s="38"/>
      <c r="G310" s="38"/>
      <c r="H310" s="38"/>
      <c r="I310" s="38"/>
      <c r="J310" s="38"/>
      <c r="K310" s="35"/>
      <c r="L310" s="35"/>
      <c r="M310" s="39">
        <f>IF(U310&lt;&gt;1,"",IF(P310="DIRECTA",G310,IF(ISNUMBER(G310),G310,1)*IF(ISNUMBER(H310),H310,1)*IF(ISNUMBER(I310),I310,1)*IF(ISNUMBER(J310),J310,1)))</f>
      </c>
      <c r="N310" s="30">
        <f>IF(COUNTA(B310:L310)=0,"",IF(X310=0,IF(P310="CABECERA","VERDE · Fila descriptiva; la suma usa las líneas del ID","VERDE · Datos numéricos interpretables"),IF(X310=2,"ROJO · ","ÁMBAR · ")&amp;IF(NOT(IF(ISNUMBER($E$6),AND($E$6&gt;=0,$E$6&lt;=6,$E$6=INT($E$6)),FALSE)),"Indicamos entre 0 y 6 decimales en E6. ","")&amp;IF(O310=0,"Falta un ID numérico. ","")&amp;IF(R310=0,"Faltan capítulo, código, unidad o total numérico del ID. ","")&amp;IF(T310&gt;0,"Los datos o el total del ID se contradicen. ","")&amp;IF(AND(P310&lt;&gt;"DIMENSIONES",P310&lt;&gt;"DIRECTA",P310&lt;&gt;"SIN LÍNEAS",P310&lt;&gt;"CABECERA"),"Tipo de fila no reconocido. ","")&amp;IF(AND(OR(P310="SIN LÍNEAS",P310="CABECERA"),COUNTA(G310:J310)&gt;0),"La fila dice que no mide, pero contiene medidas. ","")&amp;IF(AND(OR(P310="DIRECTA",P310="DIMENSIONES"),U310=0),"Línea incompleta o con medidas no numéricas. ","")&amp;IF(P310="SIN LÍNEAS","No constan medidas de esta fila. ","")&amp;IF(Y310&gt;0,"Parece m³: tres dimensiones bajo m². ","")&amp;IF(AND(AB310&lt;&gt;"",SUMPRODUCT(--('LÉEME'!$B$65:$B$86=AC310))&lt;&gt;1),"Revisamos el significado de la unidad. ","")&amp;IF(Z310&gt;0,"Más precisión que los decimales indicados: cotejamos el original. ","")&amp;IF(AA310&gt;0,"Revisamos dimensiones, cantidad directa, ceros o deducción. ","")))</f>
      </c>
      <c r="O310" s="0" t="n">
        <f>IF(ISNUMBER(K310),IF(AND(K310&gt;0,K310=INT(K310),K310&lt;=999999),K310,0),0)</f>
        <v>0</v>
      </c>
      <c r="P310" s="0">
        <f>IF(COUNTA(B310:L310)=0,"",IF(L310="",IF(COUNTA(G310:J310)&gt;0,"DIMENSIONES","SIN LÍNEAS"),UPPER(TRIM(L310))))</f>
      </c>
      <c r="Q310" s="0">
        <f>IF(AND(O310&gt;0,LEN(TRIM(B310&amp;""))&gt;0,LEN(TRIM(C310&amp;""))&gt;0,LEN(TRIM(E310&amp;""))&gt;0,ISNUMBER(F310)),O310,"")</f>
      </c>
      <c r="R310" s="0" t="n">
        <f>IF(O310=0,0,IF(COUNTIFS($Q$13:$Q$512,O310)&gt;0,MATCH(O310,$Q$13:$Q$512,0),0))</f>
        <v>0</v>
      </c>
      <c r="S310" s="0">
        <f>IF(AB310="","",IF(SUMPRODUCT(--('LÉEME'!$B$65:$B$86=AC310))=1,INDEX('LÉEME'!$C$65:$C$86,MATCH(AC310,'LÉEME'!$B$65:$B$86,0)),UPPER(TRIM(AB310))))</f>
      </c>
      <c r="T310" s="0" t="n">
        <f>IF(R310=0,0,IF(OR(AND(LEN(TRIM(B310&amp;""))&gt;0,UPPER(TRIM(B310&amp;""))&lt;&gt;UPPER(TRIM(INDEX($B$13:$B$512,R310)&amp;""))),AND(LEN(TRIM(C310&amp;""))&gt;0,UPPER(TRIM(C310&amp;""))&lt;&gt;UPPER(TRIM(INDEX($C$13:$C$512,R310)&amp;""))),AND(LEN(TRIM(E310&amp;""))&gt;0,S310&lt;&gt;INDEX($S$13:$S$512,R310)),AND(F310&lt;&gt;"",NOT(ISNUMBER(F310)))),1,IF(ISNUMBER(F310),IF(ABS(F310-INDEX($F$13:$F$512,R310))&gt;0.00000001,1,0),0)))</f>
        <v>0</v>
      </c>
      <c r="U310" s="0" t="n">
        <f>IF(P310="DIRECTA",IF(AND(ISNUMBER(G310),COUNTA(H310:J310)=0),1,0),IF(P310="DIMENSIONES",IF(AND(COUNT(G310:J310)&gt;0,COUNTA(G310:J310)=COUNT(G310:J310)),1,0),0))</f>
        <v>0</v>
      </c>
      <c r="V310" s="0" t="n">
        <f>IF(O310=0,0,IF(COUNTIFS($O$13:O310,O310)=1,1,0))</f>
        <v>0</v>
      </c>
      <c r="W310" s="0">
        <f>IF(V310=1,COUNTIFS($V$13:V310,1),"")</f>
      </c>
      <c r="X310" s="0">
        <f>IF(COUNTA(B310:L310)=0,"",IF(OR(NOT(IF(ISNUMBER($E$6),AND($E$6&gt;=0,$E$6&lt;=6,$E$6=INT($E$6)),FALSE)),O310=0,R310=0,T310&gt;0,AND(P310&lt;&gt;"DIMENSIONES",P310&lt;&gt;"DIRECTA",P310&lt;&gt;"SIN LÍNEAS",P310&lt;&gt;"CABECERA"),AND(OR(P310="DIRECTA",P310="DIMENSIONES"),U310=0),AND(OR(P310="SIN LÍNEAS",P310="CABECERA"),COUNTA(G310:J310)&gt;0)),2,IF(OR(P310="SIN LÍNEAS",Y310&gt;0,Z310&gt;0,AA310&gt;0,SUMPRODUCT(--('LÉEME'!$B$65:$B$86=AC310))&lt;&gt;1),1,0)))</f>
      </c>
      <c r="Y310" s="0" t="n">
        <f>IF(AND(P310="DIMENSIONES",S310="m²",COUNT(H310:J310)=3),1,0)</f>
        <v>0</v>
      </c>
      <c r="Z310" s="0" t="n">
        <f>IF(IF(ISNUMBER($E$6),AND($E$6&gt;=0,$E$6&lt;=6,$E$6=INT($E$6)),FALSE),IF(SUM(IF(ISNUMBER(F310),IF(ABS(F310-ROUND(F310,$E$6))&gt;0.00000001,1,0),0),IF(ISNUMBER(G310),IF(ABS(G310-ROUND(G310,$E$6))&gt;0.00000001,1,0),0),IF(ISNUMBER(H310),IF(ABS(H310-ROUND(H310,$E$6))&gt;0.00000001,1,0),0),IF(ISNUMBER(I310),IF(ABS(I310-ROUND(I310,$E$6))&gt;0.00000001,1,0),0),IF(ISNUMBER(J310),IF(ABS(J310-ROUND(J310,$E$6))&gt;0.00000001,1,0),0),IF(ISNUMBER(M310),IF(ABS(M310-ROUND(M310,$E$6))&gt;0.00000001,1,0),0))&gt;0,1,0),0)</f>
        <v>0</v>
      </c>
      <c r="AA310" s="0" t="n">
        <f>IF(COUNTA(B310:L310)=0,0,IF(OR(AND(ISNUMBER(F310),F310&lt;0),AND(U310=1,OR(SUM(IF(ISNUMBER(G310),IF(G310=0,1,0),0),IF(ISNUMBER(H310),IF(H310=0,1,0),0),IF(ISNUMBER(I310),IF(I310=0,1,0),0),IF(ISNUMBER(J310),IF(J310=0,1,0),0))&gt;0,COUNTIFS(G310:J310,"&lt;0")&gt;0)),AND(P310="DIMENSIONES",U310=1,OR(AND(S310="m",COUNT(H310:J310)&lt;&gt;1),AND(S310="m²",COUNT(H310:J310)&lt;&gt;2,Y310=0),AND(S310="m³",COUNT(H310:J310)&lt;&gt;3),AND(S310="ud",COUNT(H310:J310)&gt;0))),AND(P310="DIRECTA",OR(S310="m",S310="m²",S310="m³"))),1,0))</f>
        <v>0</v>
      </c>
      <c r="AB310" s="0">
        <f>IF(LEN(TRIM(E310&amp;""))&gt;0,E310,IF(R310&gt;0,INDEX($E$13:$E$512,R310),""))</f>
      </c>
      <c r="AC310" s="0">
        <f>UPPER(SUBSTITUTE(SUBSTITUTE(SUBSTITUTE(SUBSTITUTE(SUBSTITUTE(TRIM(AB310),"²","2"),"³","3"),"^",""),".","")," ",""))</f>
      </c>
    </row>
    <row r="311" ht="35" customHeight="1">
      <c r="B311" s="35"/>
      <c r="C311" s="35"/>
      <c r="D311" s="37"/>
      <c r="E311" s="35"/>
      <c r="F311" s="38"/>
      <c r="G311" s="38"/>
      <c r="H311" s="38"/>
      <c r="I311" s="38"/>
      <c r="J311" s="38"/>
      <c r="K311" s="35"/>
      <c r="L311" s="35"/>
      <c r="M311" s="39">
        <f>IF(U311&lt;&gt;1,"",IF(P311="DIRECTA",G311,IF(ISNUMBER(G311),G311,1)*IF(ISNUMBER(H311),H311,1)*IF(ISNUMBER(I311),I311,1)*IF(ISNUMBER(J311),J311,1)))</f>
      </c>
      <c r="N311" s="30">
        <f>IF(COUNTA(B311:L311)=0,"",IF(X311=0,IF(P311="CABECERA","VERDE · Fila descriptiva; la suma usa las líneas del ID","VERDE · Datos numéricos interpretables"),IF(X311=2,"ROJO · ","ÁMBAR · ")&amp;IF(NOT(IF(ISNUMBER($E$6),AND($E$6&gt;=0,$E$6&lt;=6,$E$6=INT($E$6)),FALSE)),"Indicamos entre 0 y 6 decimales en E6. ","")&amp;IF(O311=0,"Falta un ID numérico. ","")&amp;IF(R311=0,"Faltan capítulo, código, unidad o total numérico del ID. ","")&amp;IF(T311&gt;0,"Los datos o el total del ID se contradicen. ","")&amp;IF(AND(P311&lt;&gt;"DIMENSIONES",P311&lt;&gt;"DIRECTA",P311&lt;&gt;"SIN LÍNEAS",P311&lt;&gt;"CABECERA"),"Tipo de fila no reconocido. ","")&amp;IF(AND(OR(P311="SIN LÍNEAS",P311="CABECERA"),COUNTA(G311:J311)&gt;0),"La fila dice que no mide, pero contiene medidas. ","")&amp;IF(AND(OR(P311="DIRECTA",P311="DIMENSIONES"),U311=0),"Línea incompleta o con medidas no numéricas. ","")&amp;IF(P311="SIN LÍNEAS","No constan medidas de esta fila. ","")&amp;IF(Y311&gt;0,"Parece m³: tres dimensiones bajo m². ","")&amp;IF(AND(AB311&lt;&gt;"",SUMPRODUCT(--('LÉEME'!$B$65:$B$86=AC311))&lt;&gt;1),"Revisamos el significado de la unidad. ","")&amp;IF(Z311&gt;0,"Más precisión que los decimales indicados: cotejamos el original. ","")&amp;IF(AA311&gt;0,"Revisamos dimensiones, cantidad directa, ceros o deducción. ","")))</f>
      </c>
      <c r="O311" s="0" t="n">
        <f>IF(ISNUMBER(K311),IF(AND(K311&gt;0,K311=INT(K311),K311&lt;=999999),K311,0),0)</f>
        <v>0</v>
      </c>
      <c r="P311" s="0">
        <f>IF(COUNTA(B311:L311)=0,"",IF(L311="",IF(COUNTA(G311:J311)&gt;0,"DIMENSIONES","SIN LÍNEAS"),UPPER(TRIM(L311))))</f>
      </c>
      <c r="Q311" s="0">
        <f>IF(AND(O311&gt;0,LEN(TRIM(B311&amp;""))&gt;0,LEN(TRIM(C311&amp;""))&gt;0,LEN(TRIM(E311&amp;""))&gt;0,ISNUMBER(F311)),O311,"")</f>
      </c>
      <c r="R311" s="0" t="n">
        <f>IF(O311=0,0,IF(COUNTIFS($Q$13:$Q$512,O311)&gt;0,MATCH(O311,$Q$13:$Q$512,0),0))</f>
        <v>0</v>
      </c>
      <c r="S311" s="0">
        <f>IF(AB311="","",IF(SUMPRODUCT(--('LÉEME'!$B$65:$B$86=AC311))=1,INDEX('LÉEME'!$C$65:$C$86,MATCH(AC311,'LÉEME'!$B$65:$B$86,0)),UPPER(TRIM(AB311))))</f>
      </c>
      <c r="T311" s="0" t="n">
        <f>IF(R311=0,0,IF(OR(AND(LEN(TRIM(B311&amp;""))&gt;0,UPPER(TRIM(B311&amp;""))&lt;&gt;UPPER(TRIM(INDEX($B$13:$B$512,R311)&amp;""))),AND(LEN(TRIM(C311&amp;""))&gt;0,UPPER(TRIM(C311&amp;""))&lt;&gt;UPPER(TRIM(INDEX($C$13:$C$512,R311)&amp;""))),AND(LEN(TRIM(E311&amp;""))&gt;0,S311&lt;&gt;INDEX($S$13:$S$512,R311)),AND(F311&lt;&gt;"",NOT(ISNUMBER(F311)))),1,IF(ISNUMBER(F311),IF(ABS(F311-INDEX($F$13:$F$512,R311))&gt;0.00000001,1,0),0)))</f>
        <v>0</v>
      </c>
      <c r="U311" s="0" t="n">
        <f>IF(P311="DIRECTA",IF(AND(ISNUMBER(G311),COUNTA(H311:J311)=0),1,0),IF(P311="DIMENSIONES",IF(AND(COUNT(G311:J311)&gt;0,COUNTA(G311:J311)=COUNT(G311:J311)),1,0),0))</f>
        <v>0</v>
      </c>
      <c r="V311" s="0" t="n">
        <f>IF(O311=0,0,IF(COUNTIFS($O$13:O311,O311)=1,1,0))</f>
        <v>0</v>
      </c>
      <c r="W311" s="0">
        <f>IF(V311=1,COUNTIFS($V$13:V311,1),"")</f>
      </c>
      <c r="X311" s="0">
        <f>IF(COUNTA(B311:L311)=0,"",IF(OR(NOT(IF(ISNUMBER($E$6),AND($E$6&gt;=0,$E$6&lt;=6,$E$6=INT($E$6)),FALSE)),O311=0,R311=0,T311&gt;0,AND(P311&lt;&gt;"DIMENSIONES",P311&lt;&gt;"DIRECTA",P311&lt;&gt;"SIN LÍNEAS",P311&lt;&gt;"CABECERA"),AND(OR(P311="DIRECTA",P311="DIMENSIONES"),U311=0),AND(OR(P311="SIN LÍNEAS",P311="CABECERA"),COUNTA(G311:J311)&gt;0)),2,IF(OR(P311="SIN LÍNEAS",Y311&gt;0,Z311&gt;0,AA311&gt;0,SUMPRODUCT(--('LÉEME'!$B$65:$B$86=AC311))&lt;&gt;1),1,0)))</f>
      </c>
      <c r="Y311" s="0" t="n">
        <f>IF(AND(P311="DIMENSIONES",S311="m²",COUNT(H311:J311)=3),1,0)</f>
        <v>0</v>
      </c>
      <c r="Z311" s="0" t="n">
        <f>IF(IF(ISNUMBER($E$6),AND($E$6&gt;=0,$E$6&lt;=6,$E$6=INT($E$6)),FALSE),IF(SUM(IF(ISNUMBER(F311),IF(ABS(F311-ROUND(F311,$E$6))&gt;0.00000001,1,0),0),IF(ISNUMBER(G311),IF(ABS(G311-ROUND(G311,$E$6))&gt;0.00000001,1,0),0),IF(ISNUMBER(H311),IF(ABS(H311-ROUND(H311,$E$6))&gt;0.00000001,1,0),0),IF(ISNUMBER(I311),IF(ABS(I311-ROUND(I311,$E$6))&gt;0.00000001,1,0),0),IF(ISNUMBER(J311),IF(ABS(J311-ROUND(J311,$E$6))&gt;0.00000001,1,0),0),IF(ISNUMBER(M311),IF(ABS(M311-ROUND(M311,$E$6))&gt;0.00000001,1,0),0))&gt;0,1,0),0)</f>
        <v>0</v>
      </c>
      <c r="AA311" s="0" t="n">
        <f>IF(COUNTA(B311:L311)=0,0,IF(OR(AND(ISNUMBER(F311),F311&lt;0),AND(U311=1,OR(SUM(IF(ISNUMBER(G311),IF(G311=0,1,0),0),IF(ISNUMBER(H311),IF(H311=0,1,0),0),IF(ISNUMBER(I311),IF(I311=0,1,0),0),IF(ISNUMBER(J311),IF(J311=0,1,0),0))&gt;0,COUNTIFS(G311:J311,"&lt;0")&gt;0)),AND(P311="DIMENSIONES",U311=1,OR(AND(S311="m",COUNT(H311:J311)&lt;&gt;1),AND(S311="m²",COUNT(H311:J311)&lt;&gt;2,Y311=0),AND(S311="m³",COUNT(H311:J311)&lt;&gt;3),AND(S311="ud",COUNT(H311:J311)&gt;0))),AND(P311="DIRECTA",OR(S311="m",S311="m²",S311="m³"))),1,0))</f>
        <v>0</v>
      </c>
      <c r="AB311" s="0">
        <f>IF(LEN(TRIM(E311&amp;""))&gt;0,E311,IF(R311&gt;0,INDEX($E$13:$E$512,R311),""))</f>
      </c>
      <c r="AC311" s="0">
        <f>UPPER(SUBSTITUTE(SUBSTITUTE(SUBSTITUTE(SUBSTITUTE(SUBSTITUTE(TRIM(AB311),"²","2"),"³","3"),"^",""),".","")," ",""))</f>
      </c>
    </row>
    <row r="312" ht="35" customHeight="1">
      <c r="B312" s="35"/>
      <c r="C312" s="35"/>
      <c r="D312" s="37"/>
      <c r="E312" s="35"/>
      <c r="F312" s="38"/>
      <c r="G312" s="38"/>
      <c r="H312" s="38"/>
      <c r="I312" s="38"/>
      <c r="J312" s="38"/>
      <c r="K312" s="35"/>
      <c r="L312" s="35"/>
      <c r="M312" s="39">
        <f>IF(U312&lt;&gt;1,"",IF(P312="DIRECTA",G312,IF(ISNUMBER(G312),G312,1)*IF(ISNUMBER(H312),H312,1)*IF(ISNUMBER(I312),I312,1)*IF(ISNUMBER(J312),J312,1)))</f>
      </c>
      <c r="N312" s="30">
        <f>IF(COUNTA(B312:L312)=0,"",IF(X312=0,IF(P312="CABECERA","VERDE · Fila descriptiva; la suma usa las líneas del ID","VERDE · Datos numéricos interpretables"),IF(X312=2,"ROJO · ","ÁMBAR · ")&amp;IF(NOT(IF(ISNUMBER($E$6),AND($E$6&gt;=0,$E$6&lt;=6,$E$6=INT($E$6)),FALSE)),"Indicamos entre 0 y 6 decimales en E6. ","")&amp;IF(O312=0,"Falta un ID numérico. ","")&amp;IF(R312=0,"Faltan capítulo, código, unidad o total numérico del ID. ","")&amp;IF(T312&gt;0,"Los datos o el total del ID se contradicen. ","")&amp;IF(AND(P312&lt;&gt;"DIMENSIONES",P312&lt;&gt;"DIRECTA",P312&lt;&gt;"SIN LÍNEAS",P312&lt;&gt;"CABECERA"),"Tipo de fila no reconocido. ","")&amp;IF(AND(OR(P312="SIN LÍNEAS",P312="CABECERA"),COUNTA(G312:J312)&gt;0),"La fila dice que no mide, pero contiene medidas. ","")&amp;IF(AND(OR(P312="DIRECTA",P312="DIMENSIONES"),U312=0),"Línea incompleta o con medidas no numéricas. ","")&amp;IF(P312="SIN LÍNEAS","No constan medidas de esta fila. ","")&amp;IF(Y312&gt;0,"Parece m³: tres dimensiones bajo m². ","")&amp;IF(AND(AB312&lt;&gt;"",SUMPRODUCT(--('LÉEME'!$B$65:$B$86=AC312))&lt;&gt;1),"Revisamos el significado de la unidad. ","")&amp;IF(Z312&gt;0,"Más precisión que los decimales indicados: cotejamos el original. ","")&amp;IF(AA312&gt;0,"Revisamos dimensiones, cantidad directa, ceros o deducción. ","")))</f>
      </c>
      <c r="O312" s="0" t="n">
        <f>IF(ISNUMBER(K312),IF(AND(K312&gt;0,K312=INT(K312),K312&lt;=999999),K312,0),0)</f>
        <v>0</v>
      </c>
      <c r="P312" s="0">
        <f>IF(COUNTA(B312:L312)=0,"",IF(L312="",IF(COUNTA(G312:J312)&gt;0,"DIMENSIONES","SIN LÍNEAS"),UPPER(TRIM(L312))))</f>
      </c>
      <c r="Q312" s="0">
        <f>IF(AND(O312&gt;0,LEN(TRIM(B312&amp;""))&gt;0,LEN(TRIM(C312&amp;""))&gt;0,LEN(TRIM(E312&amp;""))&gt;0,ISNUMBER(F312)),O312,"")</f>
      </c>
      <c r="R312" s="0" t="n">
        <f>IF(O312=0,0,IF(COUNTIFS($Q$13:$Q$512,O312)&gt;0,MATCH(O312,$Q$13:$Q$512,0),0))</f>
        <v>0</v>
      </c>
      <c r="S312" s="0">
        <f>IF(AB312="","",IF(SUMPRODUCT(--('LÉEME'!$B$65:$B$86=AC312))=1,INDEX('LÉEME'!$C$65:$C$86,MATCH(AC312,'LÉEME'!$B$65:$B$86,0)),UPPER(TRIM(AB312))))</f>
      </c>
      <c r="T312" s="0" t="n">
        <f>IF(R312=0,0,IF(OR(AND(LEN(TRIM(B312&amp;""))&gt;0,UPPER(TRIM(B312&amp;""))&lt;&gt;UPPER(TRIM(INDEX($B$13:$B$512,R312)&amp;""))),AND(LEN(TRIM(C312&amp;""))&gt;0,UPPER(TRIM(C312&amp;""))&lt;&gt;UPPER(TRIM(INDEX($C$13:$C$512,R312)&amp;""))),AND(LEN(TRIM(E312&amp;""))&gt;0,S312&lt;&gt;INDEX($S$13:$S$512,R312)),AND(F312&lt;&gt;"",NOT(ISNUMBER(F312)))),1,IF(ISNUMBER(F312),IF(ABS(F312-INDEX($F$13:$F$512,R312))&gt;0.00000001,1,0),0)))</f>
        <v>0</v>
      </c>
      <c r="U312" s="0" t="n">
        <f>IF(P312="DIRECTA",IF(AND(ISNUMBER(G312),COUNTA(H312:J312)=0),1,0),IF(P312="DIMENSIONES",IF(AND(COUNT(G312:J312)&gt;0,COUNTA(G312:J312)=COUNT(G312:J312)),1,0),0))</f>
        <v>0</v>
      </c>
      <c r="V312" s="0" t="n">
        <f>IF(O312=0,0,IF(COUNTIFS($O$13:O312,O312)=1,1,0))</f>
        <v>0</v>
      </c>
      <c r="W312" s="0">
        <f>IF(V312=1,COUNTIFS($V$13:V312,1),"")</f>
      </c>
      <c r="X312" s="0">
        <f>IF(COUNTA(B312:L312)=0,"",IF(OR(NOT(IF(ISNUMBER($E$6),AND($E$6&gt;=0,$E$6&lt;=6,$E$6=INT($E$6)),FALSE)),O312=0,R312=0,T312&gt;0,AND(P312&lt;&gt;"DIMENSIONES",P312&lt;&gt;"DIRECTA",P312&lt;&gt;"SIN LÍNEAS",P312&lt;&gt;"CABECERA"),AND(OR(P312="DIRECTA",P312="DIMENSIONES"),U312=0),AND(OR(P312="SIN LÍNEAS",P312="CABECERA"),COUNTA(G312:J312)&gt;0)),2,IF(OR(P312="SIN LÍNEAS",Y312&gt;0,Z312&gt;0,AA312&gt;0,SUMPRODUCT(--('LÉEME'!$B$65:$B$86=AC312))&lt;&gt;1),1,0)))</f>
      </c>
      <c r="Y312" s="0" t="n">
        <f>IF(AND(P312="DIMENSIONES",S312="m²",COUNT(H312:J312)=3),1,0)</f>
        <v>0</v>
      </c>
      <c r="Z312" s="0" t="n">
        <f>IF(IF(ISNUMBER($E$6),AND($E$6&gt;=0,$E$6&lt;=6,$E$6=INT($E$6)),FALSE),IF(SUM(IF(ISNUMBER(F312),IF(ABS(F312-ROUND(F312,$E$6))&gt;0.00000001,1,0),0),IF(ISNUMBER(G312),IF(ABS(G312-ROUND(G312,$E$6))&gt;0.00000001,1,0),0),IF(ISNUMBER(H312),IF(ABS(H312-ROUND(H312,$E$6))&gt;0.00000001,1,0),0),IF(ISNUMBER(I312),IF(ABS(I312-ROUND(I312,$E$6))&gt;0.00000001,1,0),0),IF(ISNUMBER(J312),IF(ABS(J312-ROUND(J312,$E$6))&gt;0.00000001,1,0),0),IF(ISNUMBER(M312),IF(ABS(M312-ROUND(M312,$E$6))&gt;0.00000001,1,0),0))&gt;0,1,0),0)</f>
        <v>0</v>
      </c>
      <c r="AA312" s="0" t="n">
        <f>IF(COUNTA(B312:L312)=0,0,IF(OR(AND(ISNUMBER(F312),F312&lt;0),AND(U312=1,OR(SUM(IF(ISNUMBER(G312),IF(G312=0,1,0),0),IF(ISNUMBER(H312),IF(H312=0,1,0),0),IF(ISNUMBER(I312),IF(I312=0,1,0),0),IF(ISNUMBER(J312),IF(J312=0,1,0),0))&gt;0,COUNTIFS(G312:J312,"&lt;0")&gt;0)),AND(P312="DIMENSIONES",U312=1,OR(AND(S312="m",COUNT(H312:J312)&lt;&gt;1),AND(S312="m²",COUNT(H312:J312)&lt;&gt;2,Y312=0),AND(S312="m³",COUNT(H312:J312)&lt;&gt;3),AND(S312="ud",COUNT(H312:J312)&gt;0))),AND(P312="DIRECTA",OR(S312="m",S312="m²",S312="m³"))),1,0))</f>
        <v>0</v>
      </c>
      <c r="AB312" s="0">
        <f>IF(LEN(TRIM(E312&amp;""))&gt;0,E312,IF(R312&gt;0,INDEX($E$13:$E$512,R312),""))</f>
      </c>
      <c r="AC312" s="0">
        <f>UPPER(SUBSTITUTE(SUBSTITUTE(SUBSTITUTE(SUBSTITUTE(SUBSTITUTE(TRIM(AB312),"²","2"),"³","3"),"^",""),".","")," ",""))</f>
      </c>
    </row>
    <row r="313" ht="35" customHeight="1">
      <c r="B313" s="35"/>
      <c r="C313" s="35"/>
      <c r="D313" s="37"/>
      <c r="E313" s="35"/>
      <c r="F313" s="38"/>
      <c r="G313" s="38"/>
      <c r="H313" s="38"/>
      <c r="I313" s="38"/>
      <c r="J313" s="38"/>
      <c r="K313" s="35"/>
      <c r="L313" s="35"/>
      <c r="M313" s="39">
        <f>IF(U313&lt;&gt;1,"",IF(P313="DIRECTA",G313,IF(ISNUMBER(G313),G313,1)*IF(ISNUMBER(H313),H313,1)*IF(ISNUMBER(I313),I313,1)*IF(ISNUMBER(J313),J313,1)))</f>
      </c>
      <c r="N313" s="30">
        <f>IF(COUNTA(B313:L313)=0,"",IF(X313=0,IF(P313="CABECERA","VERDE · Fila descriptiva; la suma usa las líneas del ID","VERDE · Datos numéricos interpretables"),IF(X313=2,"ROJO · ","ÁMBAR · ")&amp;IF(NOT(IF(ISNUMBER($E$6),AND($E$6&gt;=0,$E$6&lt;=6,$E$6=INT($E$6)),FALSE)),"Indicamos entre 0 y 6 decimales en E6. ","")&amp;IF(O313=0,"Falta un ID numérico. ","")&amp;IF(R313=0,"Faltan capítulo, código, unidad o total numérico del ID. ","")&amp;IF(T313&gt;0,"Los datos o el total del ID se contradicen. ","")&amp;IF(AND(P313&lt;&gt;"DIMENSIONES",P313&lt;&gt;"DIRECTA",P313&lt;&gt;"SIN LÍNEAS",P313&lt;&gt;"CABECERA"),"Tipo de fila no reconocido. ","")&amp;IF(AND(OR(P313="SIN LÍNEAS",P313="CABECERA"),COUNTA(G313:J313)&gt;0),"La fila dice que no mide, pero contiene medidas. ","")&amp;IF(AND(OR(P313="DIRECTA",P313="DIMENSIONES"),U313=0),"Línea incompleta o con medidas no numéricas. ","")&amp;IF(P313="SIN LÍNEAS","No constan medidas de esta fila. ","")&amp;IF(Y313&gt;0,"Parece m³: tres dimensiones bajo m². ","")&amp;IF(AND(AB313&lt;&gt;"",SUMPRODUCT(--('LÉEME'!$B$65:$B$86=AC313))&lt;&gt;1),"Revisamos el significado de la unidad. ","")&amp;IF(Z313&gt;0,"Más precisión que los decimales indicados: cotejamos el original. ","")&amp;IF(AA313&gt;0,"Revisamos dimensiones, cantidad directa, ceros o deducción. ","")))</f>
      </c>
      <c r="O313" s="0" t="n">
        <f>IF(ISNUMBER(K313),IF(AND(K313&gt;0,K313=INT(K313),K313&lt;=999999),K313,0),0)</f>
        <v>0</v>
      </c>
      <c r="P313" s="0">
        <f>IF(COUNTA(B313:L313)=0,"",IF(L313="",IF(COUNTA(G313:J313)&gt;0,"DIMENSIONES","SIN LÍNEAS"),UPPER(TRIM(L313))))</f>
      </c>
      <c r="Q313" s="0">
        <f>IF(AND(O313&gt;0,LEN(TRIM(B313&amp;""))&gt;0,LEN(TRIM(C313&amp;""))&gt;0,LEN(TRIM(E313&amp;""))&gt;0,ISNUMBER(F313)),O313,"")</f>
      </c>
      <c r="R313" s="0" t="n">
        <f>IF(O313=0,0,IF(COUNTIFS($Q$13:$Q$512,O313)&gt;0,MATCH(O313,$Q$13:$Q$512,0),0))</f>
        <v>0</v>
      </c>
      <c r="S313" s="0">
        <f>IF(AB313="","",IF(SUMPRODUCT(--('LÉEME'!$B$65:$B$86=AC313))=1,INDEX('LÉEME'!$C$65:$C$86,MATCH(AC313,'LÉEME'!$B$65:$B$86,0)),UPPER(TRIM(AB313))))</f>
      </c>
      <c r="T313" s="0" t="n">
        <f>IF(R313=0,0,IF(OR(AND(LEN(TRIM(B313&amp;""))&gt;0,UPPER(TRIM(B313&amp;""))&lt;&gt;UPPER(TRIM(INDEX($B$13:$B$512,R313)&amp;""))),AND(LEN(TRIM(C313&amp;""))&gt;0,UPPER(TRIM(C313&amp;""))&lt;&gt;UPPER(TRIM(INDEX($C$13:$C$512,R313)&amp;""))),AND(LEN(TRIM(E313&amp;""))&gt;0,S313&lt;&gt;INDEX($S$13:$S$512,R313)),AND(F313&lt;&gt;"",NOT(ISNUMBER(F313)))),1,IF(ISNUMBER(F313),IF(ABS(F313-INDEX($F$13:$F$512,R313))&gt;0.00000001,1,0),0)))</f>
        <v>0</v>
      </c>
      <c r="U313" s="0" t="n">
        <f>IF(P313="DIRECTA",IF(AND(ISNUMBER(G313),COUNTA(H313:J313)=0),1,0),IF(P313="DIMENSIONES",IF(AND(COUNT(G313:J313)&gt;0,COUNTA(G313:J313)=COUNT(G313:J313)),1,0),0))</f>
        <v>0</v>
      </c>
      <c r="V313" s="0" t="n">
        <f>IF(O313=0,0,IF(COUNTIFS($O$13:O313,O313)=1,1,0))</f>
        <v>0</v>
      </c>
      <c r="W313" s="0">
        <f>IF(V313=1,COUNTIFS($V$13:V313,1),"")</f>
      </c>
      <c r="X313" s="0">
        <f>IF(COUNTA(B313:L313)=0,"",IF(OR(NOT(IF(ISNUMBER($E$6),AND($E$6&gt;=0,$E$6&lt;=6,$E$6=INT($E$6)),FALSE)),O313=0,R313=0,T313&gt;0,AND(P313&lt;&gt;"DIMENSIONES",P313&lt;&gt;"DIRECTA",P313&lt;&gt;"SIN LÍNEAS",P313&lt;&gt;"CABECERA"),AND(OR(P313="DIRECTA",P313="DIMENSIONES"),U313=0),AND(OR(P313="SIN LÍNEAS",P313="CABECERA"),COUNTA(G313:J313)&gt;0)),2,IF(OR(P313="SIN LÍNEAS",Y313&gt;0,Z313&gt;0,AA313&gt;0,SUMPRODUCT(--('LÉEME'!$B$65:$B$86=AC313))&lt;&gt;1),1,0)))</f>
      </c>
      <c r="Y313" s="0" t="n">
        <f>IF(AND(P313="DIMENSIONES",S313="m²",COUNT(H313:J313)=3),1,0)</f>
        <v>0</v>
      </c>
      <c r="Z313" s="0" t="n">
        <f>IF(IF(ISNUMBER($E$6),AND($E$6&gt;=0,$E$6&lt;=6,$E$6=INT($E$6)),FALSE),IF(SUM(IF(ISNUMBER(F313),IF(ABS(F313-ROUND(F313,$E$6))&gt;0.00000001,1,0),0),IF(ISNUMBER(G313),IF(ABS(G313-ROUND(G313,$E$6))&gt;0.00000001,1,0),0),IF(ISNUMBER(H313),IF(ABS(H313-ROUND(H313,$E$6))&gt;0.00000001,1,0),0),IF(ISNUMBER(I313),IF(ABS(I313-ROUND(I313,$E$6))&gt;0.00000001,1,0),0),IF(ISNUMBER(J313),IF(ABS(J313-ROUND(J313,$E$6))&gt;0.00000001,1,0),0),IF(ISNUMBER(M313),IF(ABS(M313-ROUND(M313,$E$6))&gt;0.00000001,1,0),0))&gt;0,1,0),0)</f>
        <v>0</v>
      </c>
      <c r="AA313" s="0" t="n">
        <f>IF(COUNTA(B313:L313)=0,0,IF(OR(AND(ISNUMBER(F313),F313&lt;0),AND(U313=1,OR(SUM(IF(ISNUMBER(G313),IF(G313=0,1,0),0),IF(ISNUMBER(H313),IF(H313=0,1,0),0),IF(ISNUMBER(I313),IF(I313=0,1,0),0),IF(ISNUMBER(J313),IF(J313=0,1,0),0))&gt;0,COUNTIFS(G313:J313,"&lt;0")&gt;0)),AND(P313="DIMENSIONES",U313=1,OR(AND(S313="m",COUNT(H313:J313)&lt;&gt;1),AND(S313="m²",COUNT(H313:J313)&lt;&gt;2,Y313=0),AND(S313="m³",COUNT(H313:J313)&lt;&gt;3),AND(S313="ud",COUNT(H313:J313)&gt;0))),AND(P313="DIRECTA",OR(S313="m",S313="m²",S313="m³"))),1,0))</f>
        <v>0</v>
      </c>
      <c r="AB313" s="0">
        <f>IF(LEN(TRIM(E313&amp;""))&gt;0,E313,IF(R313&gt;0,INDEX($E$13:$E$512,R313),""))</f>
      </c>
      <c r="AC313" s="0">
        <f>UPPER(SUBSTITUTE(SUBSTITUTE(SUBSTITUTE(SUBSTITUTE(SUBSTITUTE(TRIM(AB313),"²","2"),"³","3"),"^",""),".","")," ",""))</f>
      </c>
    </row>
    <row r="314" ht="35" customHeight="1">
      <c r="B314" s="35"/>
      <c r="C314" s="35"/>
      <c r="D314" s="37"/>
      <c r="E314" s="35"/>
      <c r="F314" s="38"/>
      <c r="G314" s="38"/>
      <c r="H314" s="38"/>
      <c r="I314" s="38"/>
      <c r="J314" s="38"/>
      <c r="K314" s="35"/>
      <c r="L314" s="35"/>
      <c r="M314" s="39">
        <f>IF(U314&lt;&gt;1,"",IF(P314="DIRECTA",G314,IF(ISNUMBER(G314),G314,1)*IF(ISNUMBER(H314),H314,1)*IF(ISNUMBER(I314),I314,1)*IF(ISNUMBER(J314),J314,1)))</f>
      </c>
      <c r="N314" s="30">
        <f>IF(COUNTA(B314:L314)=0,"",IF(X314=0,IF(P314="CABECERA","VERDE · Fila descriptiva; la suma usa las líneas del ID","VERDE · Datos numéricos interpretables"),IF(X314=2,"ROJO · ","ÁMBAR · ")&amp;IF(NOT(IF(ISNUMBER($E$6),AND($E$6&gt;=0,$E$6&lt;=6,$E$6=INT($E$6)),FALSE)),"Indicamos entre 0 y 6 decimales en E6. ","")&amp;IF(O314=0,"Falta un ID numérico. ","")&amp;IF(R314=0,"Faltan capítulo, código, unidad o total numérico del ID. ","")&amp;IF(T314&gt;0,"Los datos o el total del ID se contradicen. ","")&amp;IF(AND(P314&lt;&gt;"DIMENSIONES",P314&lt;&gt;"DIRECTA",P314&lt;&gt;"SIN LÍNEAS",P314&lt;&gt;"CABECERA"),"Tipo de fila no reconocido. ","")&amp;IF(AND(OR(P314="SIN LÍNEAS",P314="CABECERA"),COUNTA(G314:J314)&gt;0),"La fila dice que no mide, pero contiene medidas. ","")&amp;IF(AND(OR(P314="DIRECTA",P314="DIMENSIONES"),U314=0),"Línea incompleta o con medidas no numéricas. ","")&amp;IF(P314="SIN LÍNEAS","No constan medidas de esta fila. ","")&amp;IF(Y314&gt;0,"Parece m³: tres dimensiones bajo m². ","")&amp;IF(AND(AB314&lt;&gt;"",SUMPRODUCT(--('LÉEME'!$B$65:$B$86=AC314))&lt;&gt;1),"Revisamos el significado de la unidad. ","")&amp;IF(Z314&gt;0,"Más precisión que los decimales indicados: cotejamos el original. ","")&amp;IF(AA314&gt;0,"Revisamos dimensiones, cantidad directa, ceros o deducción. ","")))</f>
      </c>
      <c r="O314" s="0" t="n">
        <f>IF(ISNUMBER(K314),IF(AND(K314&gt;0,K314=INT(K314),K314&lt;=999999),K314,0),0)</f>
        <v>0</v>
      </c>
      <c r="P314" s="0">
        <f>IF(COUNTA(B314:L314)=0,"",IF(L314="",IF(COUNTA(G314:J314)&gt;0,"DIMENSIONES","SIN LÍNEAS"),UPPER(TRIM(L314))))</f>
      </c>
      <c r="Q314" s="0">
        <f>IF(AND(O314&gt;0,LEN(TRIM(B314&amp;""))&gt;0,LEN(TRIM(C314&amp;""))&gt;0,LEN(TRIM(E314&amp;""))&gt;0,ISNUMBER(F314)),O314,"")</f>
      </c>
      <c r="R314" s="0" t="n">
        <f>IF(O314=0,0,IF(COUNTIFS($Q$13:$Q$512,O314)&gt;0,MATCH(O314,$Q$13:$Q$512,0),0))</f>
        <v>0</v>
      </c>
      <c r="S314" s="0">
        <f>IF(AB314="","",IF(SUMPRODUCT(--('LÉEME'!$B$65:$B$86=AC314))=1,INDEX('LÉEME'!$C$65:$C$86,MATCH(AC314,'LÉEME'!$B$65:$B$86,0)),UPPER(TRIM(AB314))))</f>
      </c>
      <c r="T314" s="0" t="n">
        <f>IF(R314=0,0,IF(OR(AND(LEN(TRIM(B314&amp;""))&gt;0,UPPER(TRIM(B314&amp;""))&lt;&gt;UPPER(TRIM(INDEX($B$13:$B$512,R314)&amp;""))),AND(LEN(TRIM(C314&amp;""))&gt;0,UPPER(TRIM(C314&amp;""))&lt;&gt;UPPER(TRIM(INDEX($C$13:$C$512,R314)&amp;""))),AND(LEN(TRIM(E314&amp;""))&gt;0,S314&lt;&gt;INDEX($S$13:$S$512,R314)),AND(F314&lt;&gt;"",NOT(ISNUMBER(F314)))),1,IF(ISNUMBER(F314),IF(ABS(F314-INDEX($F$13:$F$512,R314))&gt;0.00000001,1,0),0)))</f>
        <v>0</v>
      </c>
      <c r="U314" s="0" t="n">
        <f>IF(P314="DIRECTA",IF(AND(ISNUMBER(G314),COUNTA(H314:J314)=0),1,0),IF(P314="DIMENSIONES",IF(AND(COUNT(G314:J314)&gt;0,COUNTA(G314:J314)=COUNT(G314:J314)),1,0),0))</f>
        <v>0</v>
      </c>
      <c r="V314" s="0" t="n">
        <f>IF(O314=0,0,IF(COUNTIFS($O$13:O314,O314)=1,1,0))</f>
        <v>0</v>
      </c>
      <c r="W314" s="0">
        <f>IF(V314=1,COUNTIFS($V$13:V314,1),"")</f>
      </c>
      <c r="X314" s="0">
        <f>IF(COUNTA(B314:L314)=0,"",IF(OR(NOT(IF(ISNUMBER($E$6),AND($E$6&gt;=0,$E$6&lt;=6,$E$6=INT($E$6)),FALSE)),O314=0,R314=0,T314&gt;0,AND(P314&lt;&gt;"DIMENSIONES",P314&lt;&gt;"DIRECTA",P314&lt;&gt;"SIN LÍNEAS",P314&lt;&gt;"CABECERA"),AND(OR(P314="DIRECTA",P314="DIMENSIONES"),U314=0),AND(OR(P314="SIN LÍNEAS",P314="CABECERA"),COUNTA(G314:J314)&gt;0)),2,IF(OR(P314="SIN LÍNEAS",Y314&gt;0,Z314&gt;0,AA314&gt;0,SUMPRODUCT(--('LÉEME'!$B$65:$B$86=AC314))&lt;&gt;1),1,0)))</f>
      </c>
      <c r="Y314" s="0" t="n">
        <f>IF(AND(P314="DIMENSIONES",S314="m²",COUNT(H314:J314)=3),1,0)</f>
        <v>0</v>
      </c>
      <c r="Z314" s="0" t="n">
        <f>IF(IF(ISNUMBER($E$6),AND($E$6&gt;=0,$E$6&lt;=6,$E$6=INT($E$6)),FALSE),IF(SUM(IF(ISNUMBER(F314),IF(ABS(F314-ROUND(F314,$E$6))&gt;0.00000001,1,0),0),IF(ISNUMBER(G314),IF(ABS(G314-ROUND(G314,$E$6))&gt;0.00000001,1,0),0),IF(ISNUMBER(H314),IF(ABS(H314-ROUND(H314,$E$6))&gt;0.00000001,1,0),0),IF(ISNUMBER(I314),IF(ABS(I314-ROUND(I314,$E$6))&gt;0.00000001,1,0),0),IF(ISNUMBER(J314),IF(ABS(J314-ROUND(J314,$E$6))&gt;0.00000001,1,0),0),IF(ISNUMBER(M314),IF(ABS(M314-ROUND(M314,$E$6))&gt;0.00000001,1,0),0))&gt;0,1,0),0)</f>
        <v>0</v>
      </c>
      <c r="AA314" s="0" t="n">
        <f>IF(COUNTA(B314:L314)=0,0,IF(OR(AND(ISNUMBER(F314),F314&lt;0),AND(U314=1,OR(SUM(IF(ISNUMBER(G314),IF(G314=0,1,0),0),IF(ISNUMBER(H314),IF(H314=0,1,0),0),IF(ISNUMBER(I314),IF(I314=0,1,0),0),IF(ISNUMBER(J314),IF(J314=0,1,0),0))&gt;0,COUNTIFS(G314:J314,"&lt;0")&gt;0)),AND(P314="DIMENSIONES",U314=1,OR(AND(S314="m",COUNT(H314:J314)&lt;&gt;1),AND(S314="m²",COUNT(H314:J314)&lt;&gt;2,Y314=0),AND(S314="m³",COUNT(H314:J314)&lt;&gt;3),AND(S314="ud",COUNT(H314:J314)&gt;0))),AND(P314="DIRECTA",OR(S314="m",S314="m²",S314="m³"))),1,0))</f>
        <v>0</v>
      </c>
      <c r="AB314" s="0">
        <f>IF(LEN(TRIM(E314&amp;""))&gt;0,E314,IF(R314&gt;0,INDEX($E$13:$E$512,R314),""))</f>
      </c>
      <c r="AC314" s="0">
        <f>UPPER(SUBSTITUTE(SUBSTITUTE(SUBSTITUTE(SUBSTITUTE(SUBSTITUTE(TRIM(AB314),"²","2"),"³","3"),"^",""),".","")," ",""))</f>
      </c>
    </row>
    <row r="315" ht="35" customHeight="1">
      <c r="B315" s="35"/>
      <c r="C315" s="35"/>
      <c r="D315" s="37"/>
      <c r="E315" s="35"/>
      <c r="F315" s="38"/>
      <c r="G315" s="38"/>
      <c r="H315" s="38"/>
      <c r="I315" s="38"/>
      <c r="J315" s="38"/>
      <c r="K315" s="35"/>
      <c r="L315" s="35"/>
      <c r="M315" s="39">
        <f>IF(U315&lt;&gt;1,"",IF(P315="DIRECTA",G315,IF(ISNUMBER(G315),G315,1)*IF(ISNUMBER(H315),H315,1)*IF(ISNUMBER(I315),I315,1)*IF(ISNUMBER(J315),J315,1)))</f>
      </c>
      <c r="N315" s="30">
        <f>IF(COUNTA(B315:L315)=0,"",IF(X315=0,IF(P315="CABECERA","VERDE · Fila descriptiva; la suma usa las líneas del ID","VERDE · Datos numéricos interpretables"),IF(X315=2,"ROJO · ","ÁMBAR · ")&amp;IF(NOT(IF(ISNUMBER($E$6),AND($E$6&gt;=0,$E$6&lt;=6,$E$6=INT($E$6)),FALSE)),"Indicamos entre 0 y 6 decimales en E6. ","")&amp;IF(O315=0,"Falta un ID numérico. ","")&amp;IF(R315=0,"Faltan capítulo, código, unidad o total numérico del ID. ","")&amp;IF(T315&gt;0,"Los datos o el total del ID se contradicen. ","")&amp;IF(AND(P315&lt;&gt;"DIMENSIONES",P315&lt;&gt;"DIRECTA",P315&lt;&gt;"SIN LÍNEAS",P315&lt;&gt;"CABECERA"),"Tipo de fila no reconocido. ","")&amp;IF(AND(OR(P315="SIN LÍNEAS",P315="CABECERA"),COUNTA(G315:J315)&gt;0),"La fila dice que no mide, pero contiene medidas. ","")&amp;IF(AND(OR(P315="DIRECTA",P315="DIMENSIONES"),U315=0),"Línea incompleta o con medidas no numéricas. ","")&amp;IF(P315="SIN LÍNEAS","No constan medidas de esta fila. ","")&amp;IF(Y315&gt;0,"Parece m³: tres dimensiones bajo m². ","")&amp;IF(AND(AB315&lt;&gt;"",SUMPRODUCT(--('LÉEME'!$B$65:$B$86=AC315))&lt;&gt;1),"Revisamos el significado de la unidad. ","")&amp;IF(Z315&gt;0,"Más precisión que los decimales indicados: cotejamos el original. ","")&amp;IF(AA315&gt;0,"Revisamos dimensiones, cantidad directa, ceros o deducción. ","")))</f>
      </c>
      <c r="O315" s="0" t="n">
        <f>IF(ISNUMBER(K315),IF(AND(K315&gt;0,K315=INT(K315),K315&lt;=999999),K315,0),0)</f>
        <v>0</v>
      </c>
      <c r="P315" s="0">
        <f>IF(COUNTA(B315:L315)=0,"",IF(L315="",IF(COUNTA(G315:J315)&gt;0,"DIMENSIONES","SIN LÍNEAS"),UPPER(TRIM(L315))))</f>
      </c>
      <c r="Q315" s="0">
        <f>IF(AND(O315&gt;0,LEN(TRIM(B315&amp;""))&gt;0,LEN(TRIM(C315&amp;""))&gt;0,LEN(TRIM(E315&amp;""))&gt;0,ISNUMBER(F315)),O315,"")</f>
      </c>
      <c r="R315" s="0" t="n">
        <f>IF(O315=0,0,IF(COUNTIFS($Q$13:$Q$512,O315)&gt;0,MATCH(O315,$Q$13:$Q$512,0),0))</f>
        <v>0</v>
      </c>
      <c r="S315" s="0">
        <f>IF(AB315="","",IF(SUMPRODUCT(--('LÉEME'!$B$65:$B$86=AC315))=1,INDEX('LÉEME'!$C$65:$C$86,MATCH(AC315,'LÉEME'!$B$65:$B$86,0)),UPPER(TRIM(AB315))))</f>
      </c>
      <c r="T315" s="0" t="n">
        <f>IF(R315=0,0,IF(OR(AND(LEN(TRIM(B315&amp;""))&gt;0,UPPER(TRIM(B315&amp;""))&lt;&gt;UPPER(TRIM(INDEX($B$13:$B$512,R315)&amp;""))),AND(LEN(TRIM(C315&amp;""))&gt;0,UPPER(TRIM(C315&amp;""))&lt;&gt;UPPER(TRIM(INDEX($C$13:$C$512,R315)&amp;""))),AND(LEN(TRIM(E315&amp;""))&gt;0,S315&lt;&gt;INDEX($S$13:$S$512,R315)),AND(F315&lt;&gt;"",NOT(ISNUMBER(F315)))),1,IF(ISNUMBER(F315),IF(ABS(F315-INDEX($F$13:$F$512,R315))&gt;0.00000001,1,0),0)))</f>
        <v>0</v>
      </c>
      <c r="U315" s="0" t="n">
        <f>IF(P315="DIRECTA",IF(AND(ISNUMBER(G315),COUNTA(H315:J315)=0),1,0),IF(P315="DIMENSIONES",IF(AND(COUNT(G315:J315)&gt;0,COUNTA(G315:J315)=COUNT(G315:J315)),1,0),0))</f>
        <v>0</v>
      </c>
      <c r="V315" s="0" t="n">
        <f>IF(O315=0,0,IF(COUNTIFS($O$13:O315,O315)=1,1,0))</f>
        <v>0</v>
      </c>
      <c r="W315" s="0">
        <f>IF(V315=1,COUNTIFS($V$13:V315,1),"")</f>
      </c>
      <c r="X315" s="0">
        <f>IF(COUNTA(B315:L315)=0,"",IF(OR(NOT(IF(ISNUMBER($E$6),AND($E$6&gt;=0,$E$6&lt;=6,$E$6=INT($E$6)),FALSE)),O315=0,R315=0,T315&gt;0,AND(P315&lt;&gt;"DIMENSIONES",P315&lt;&gt;"DIRECTA",P315&lt;&gt;"SIN LÍNEAS",P315&lt;&gt;"CABECERA"),AND(OR(P315="DIRECTA",P315="DIMENSIONES"),U315=0),AND(OR(P315="SIN LÍNEAS",P315="CABECERA"),COUNTA(G315:J315)&gt;0)),2,IF(OR(P315="SIN LÍNEAS",Y315&gt;0,Z315&gt;0,AA315&gt;0,SUMPRODUCT(--('LÉEME'!$B$65:$B$86=AC315))&lt;&gt;1),1,0)))</f>
      </c>
      <c r="Y315" s="0" t="n">
        <f>IF(AND(P315="DIMENSIONES",S315="m²",COUNT(H315:J315)=3),1,0)</f>
        <v>0</v>
      </c>
      <c r="Z315" s="0" t="n">
        <f>IF(IF(ISNUMBER($E$6),AND($E$6&gt;=0,$E$6&lt;=6,$E$6=INT($E$6)),FALSE),IF(SUM(IF(ISNUMBER(F315),IF(ABS(F315-ROUND(F315,$E$6))&gt;0.00000001,1,0),0),IF(ISNUMBER(G315),IF(ABS(G315-ROUND(G315,$E$6))&gt;0.00000001,1,0),0),IF(ISNUMBER(H315),IF(ABS(H315-ROUND(H315,$E$6))&gt;0.00000001,1,0),0),IF(ISNUMBER(I315),IF(ABS(I315-ROUND(I315,$E$6))&gt;0.00000001,1,0),0),IF(ISNUMBER(J315),IF(ABS(J315-ROUND(J315,$E$6))&gt;0.00000001,1,0),0),IF(ISNUMBER(M315),IF(ABS(M315-ROUND(M315,$E$6))&gt;0.00000001,1,0),0))&gt;0,1,0),0)</f>
        <v>0</v>
      </c>
      <c r="AA315" s="0" t="n">
        <f>IF(COUNTA(B315:L315)=0,0,IF(OR(AND(ISNUMBER(F315),F315&lt;0),AND(U315=1,OR(SUM(IF(ISNUMBER(G315),IF(G315=0,1,0),0),IF(ISNUMBER(H315),IF(H315=0,1,0),0),IF(ISNUMBER(I315),IF(I315=0,1,0),0),IF(ISNUMBER(J315),IF(J315=0,1,0),0))&gt;0,COUNTIFS(G315:J315,"&lt;0")&gt;0)),AND(P315="DIMENSIONES",U315=1,OR(AND(S315="m",COUNT(H315:J315)&lt;&gt;1),AND(S315="m²",COUNT(H315:J315)&lt;&gt;2,Y315=0),AND(S315="m³",COUNT(H315:J315)&lt;&gt;3),AND(S315="ud",COUNT(H315:J315)&gt;0))),AND(P315="DIRECTA",OR(S315="m",S315="m²",S315="m³"))),1,0))</f>
        <v>0</v>
      </c>
      <c r="AB315" s="0">
        <f>IF(LEN(TRIM(E315&amp;""))&gt;0,E315,IF(R315&gt;0,INDEX($E$13:$E$512,R315),""))</f>
      </c>
      <c r="AC315" s="0">
        <f>UPPER(SUBSTITUTE(SUBSTITUTE(SUBSTITUTE(SUBSTITUTE(SUBSTITUTE(TRIM(AB315),"²","2"),"³","3"),"^",""),".","")," ",""))</f>
      </c>
    </row>
    <row r="316" ht="35" customHeight="1">
      <c r="B316" s="35"/>
      <c r="C316" s="35"/>
      <c r="D316" s="37"/>
      <c r="E316" s="35"/>
      <c r="F316" s="38"/>
      <c r="G316" s="38"/>
      <c r="H316" s="38"/>
      <c r="I316" s="38"/>
      <c r="J316" s="38"/>
      <c r="K316" s="35"/>
      <c r="L316" s="35"/>
      <c r="M316" s="39">
        <f>IF(U316&lt;&gt;1,"",IF(P316="DIRECTA",G316,IF(ISNUMBER(G316),G316,1)*IF(ISNUMBER(H316),H316,1)*IF(ISNUMBER(I316),I316,1)*IF(ISNUMBER(J316),J316,1)))</f>
      </c>
      <c r="N316" s="30">
        <f>IF(COUNTA(B316:L316)=0,"",IF(X316=0,IF(P316="CABECERA","VERDE · Fila descriptiva; la suma usa las líneas del ID","VERDE · Datos numéricos interpretables"),IF(X316=2,"ROJO · ","ÁMBAR · ")&amp;IF(NOT(IF(ISNUMBER($E$6),AND($E$6&gt;=0,$E$6&lt;=6,$E$6=INT($E$6)),FALSE)),"Indicamos entre 0 y 6 decimales en E6. ","")&amp;IF(O316=0,"Falta un ID numérico. ","")&amp;IF(R316=0,"Faltan capítulo, código, unidad o total numérico del ID. ","")&amp;IF(T316&gt;0,"Los datos o el total del ID se contradicen. ","")&amp;IF(AND(P316&lt;&gt;"DIMENSIONES",P316&lt;&gt;"DIRECTA",P316&lt;&gt;"SIN LÍNEAS",P316&lt;&gt;"CABECERA"),"Tipo de fila no reconocido. ","")&amp;IF(AND(OR(P316="SIN LÍNEAS",P316="CABECERA"),COUNTA(G316:J316)&gt;0),"La fila dice que no mide, pero contiene medidas. ","")&amp;IF(AND(OR(P316="DIRECTA",P316="DIMENSIONES"),U316=0),"Línea incompleta o con medidas no numéricas. ","")&amp;IF(P316="SIN LÍNEAS","No constan medidas de esta fila. ","")&amp;IF(Y316&gt;0,"Parece m³: tres dimensiones bajo m². ","")&amp;IF(AND(AB316&lt;&gt;"",SUMPRODUCT(--('LÉEME'!$B$65:$B$86=AC316))&lt;&gt;1),"Revisamos el significado de la unidad. ","")&amp;IF(Z316&gt;0,"Más precisión que los decimales indicados: cotejamos el original. ","")&amp;IF(AA316&gt;0,"Revisamos dimensiones, cantidad directa, ceros o deducción. ","")))</f>
      </c>
      <c r="O316" s="0" t="n">
        <f>IF(ISNUMBER(K316),IF(AND(K316&gt;0,K316=INT(K316),K316&lt;=999999),K316,0),0)</f>
        <v>0</v>
      </c>
      <c r="P316" s="0">
        <f>IF(COUNTA(B316:L316)=0,"",IF(L316="",IF(COUNTA(G316:J316)&gt;0,"DIMENSIONES","SIN LÍNEAS"),UPPER(TRIM(L316))))</f>
      </c>
      <c r="Q316" s="0">
        <f>IF(AND(O316&gt;0,LEN(TRIM(B316&amp;""))&gt;0,LEN(TRIM(C316&amp;""))&gt;0,LEN(TRIM(E316&amp;""))&gt;0,ISNUMBER(F316)),O316,"")</f>
      </c>
      <c r="R316" s="0" t="n">
        <f>IF(O316=0,0,IF(COUNTIFS($Q$13:$Q$512,O316)&gt;0,MATCH(O316,$Q$13:$Q$512,0),0))</f>
        <v>0</v>
      </c>
      <c r="S316" s="0">
        <f>IF(AB316="","",IF(SUMPRODUCT(--('LÉEME'!$B$65:$B$86=AC316))=1,INDEX('LÉEME'!$C$65:$C$86,MATCH(AC316,'LÉEME'!$B$65:$B$86,0)),UPPER(TRIM(AB316))))</f>
      </c>
      <c r="T316" s="0" t="n">
        <f>IF(R316=0,0,IF(OR(AND(LEN(TRIM(B316&amp;""))&gt;0,UPPER(TRIM(B316&amp;""))&lt;&gt;UPPER(TRIM(INDEX($B$13:$B$512,R316)&amp;""))),AND(LEN(TRIM(C316&amp;""))&gt;0,UPPER(TRIM(C316&amp;""))&lt;&gt;UPPER(TRIM(INDEX($C$13:$C$512,R316)&amp;""))),AND(LEN(TRIM(E316&amp;""))&gt;0,S316&lt;&gt;INDEX($S$13:$S$512,R316)),AND(F316&lt;&gt;"",NOT(ISNUMBER(F316)))),1,IF(ISNUMBER(F316),IF(ABS(F316-INDEX($F$13:$F$512,R316))&gt;0.00000001,1,0),0)))</f>
        <v>0</v>
      </c>
      <c r="U316" s="0" t="n">
        <f>IF(P316="DIRECTA",IF(AND(ISNUMBER(G316),COUNTA(H316:J316)=0),1,0),IF(P316="DIMENSIONES",IF(AND(COUNT(G316:J316)&gt;0,COUNTA(G316:J316)=COUNT(G316:J316)),1,0),0))</f>
        <v>0</v>
      </c>
      <c r="V316" s="0" t="n">
        <f>IF(O316=0,0,IF(COUNTIFS($O$13:O316,O316)=1,1,0))</f>
        <v>0</v>
      </c>
      <c r="W316" s="0">
        <f>IF(V316=1,COUNTIFS($V$13:V316,1),"")</f>
      </c>
      <c r="X316" s="0">
        <f>IF(COUNTA(B316:L316)=0,"",IF(OR(NOT(IF(ISNUMBER($E$6),AND($E$6&gt;=0,$E$6&lt;=6,$E$6=INT($E$6)),FALSE)),O316=0,R316=0,T316&gt;0,AND(P316&lt;&gt;"DIMENSIONES",P316&lt;&gt;"DIRECTA",P316&lt;&gt;"SIN LÍNEAS",P316&lt;&gt;"CABECERA"),AND(OR(P316="DIRECTA",P316="DIMENSIONES"),U316=0),AND(OR(P316="SIN LÍNEAS",P316="CABECERA"),COUNTA(G316:J316)&gt;0)),2,IF(OR(P316="SIN LÍNEAS",Y316&gt;0,Z316&gt;0,AA316&gt;0,SUMPRODUCT(--('LÉEME'!$B$65:$B$86=AC316))&lt;&gt;1),1,0)))</f>
      </c>
      <c r="Y316" s="0" t="n">
        <f>IF(AND(P316="DIMENSIONES",S316="m²",COUNT(H316:J316)=3),1,0)</f>
        <v>0</v>
      </c>
      <c r="Z316" s="0" t="n">
        <f>IF(IF(ISNUMBER($E$6),AND($E$6&gt;=0,$E$6&lt;=6,$E$6=INT($E$6)),FALSE),IF(SUM(IF(ISNUMBER(F316),IF(ABS(F316-ROUND(F316,$E$6))&gt;0.00000001,1,0),0),IF(ISNUMBER(G316),IF(ABS(G316-ROUND(G316,$E$6))&gt;0.00000001,1,0),0),IF(ISNUMBER(H316),IF(ABS(H316-ROUND(H316,$E$6))&gt;0.00000001,1,0),0),IF(ISNUMBER(I316),IF(ABS(I316-ROUND(I316,$E$6))&gt;0.00000001,1,0),0),IF(ISNUMBER(J316),IF(ABS(J316-ROUND(J316,$E$6))&gt;0.00000001,1,0),0),IF(ISNUMBER(M316),IF(ABS(M316-ROUND(M316,$E$6))&gt;0.00000001,1,0),0))&gt;0,1,0),0)</f>
        <v>0</v>
      </c>
      <c r="AA316" s="0" t="n">
        <f>IF(COUNTA(B316:L316)=0,0,IF(OR(AND(ISNUMBER(F316),F316&lt;0),AND(U316=1,OR(SUM(IF(ISNUMBER(G316),IF(G316=0,1,0),0),IF(ISNUMBER(H316),IF(H316=0,1,0),0),IF(ISNUMBER(I316),IF(I316=0,1,0),0),IF(ISNUMBER(J316),IF(J316=0,1,0),0))&gt;0,COUNTIFS(G316:J316,"&lt;0")&gt;0)),AND(P316="DIMENSIONES",U316=1,OR(AND(S316="m",COUNT(H316:J316)&lt;&gt;1),AND(S316="m²",COUNT(H316:J316)&lt;&gt;2,Y316=0),AND(S316="m³",COUNT(H316:J316)&lt;&gt;3),AND(S316="ud",COUNT(H316:J316)&gt;0))),AND(P316="DIRECTA",OR(S316="m",S316="m²",S316="m³"))),1,0))</f>
        <v>0</v>
      </c>
      <c r="AB316" s="0">
        <f>IF(LEN(TRIM(E316&amp;""))&gt;0,E316,IF(R316&gt;0,INDEX($E$13:$E$512,R316),""))</f>
      </c>
      <c r="AC316" s="0">
        <f>UPPER(SUBSTITUTE(SUBSTITUTE(SUBSTITUTE(SUBSTITUTE(SUBSTITUTE(TRIM(AB316),"²","2"),"³","3"),"^",""),".","")," ",""))</f>
      </c>
    </row>
    <row r="317" ht="35" customHeight="1">
      <c r="B317" s="35"/>
      <c r="C317" s="35"/>
      <c r="D317" s="37"/>
      <c r="E317" s="35"/>
      <c r="F317" s="38"/>
      <c r="G317" s="38"/>
      <c r="H317" s="38"/>
      <c r="I317" s="38"/>
      <c r="J317" s="38"/>
      <c r="K317" s="35"/>
      <c r="L317" s="35"/>
      <c r="M317" s="39">
        <f>IF(U317&lt;&gt;1,"",IF(P317="DIRECTA",G317,IF(ISNUMBER(G317),G317,1)*IF(ISNUMBER(H317),H317,1)*IF(ISNUMBER(I317),I317,1)*IF(ISNUMBER(J317),J317,1)))</f>
      </c>
      <c r="N317" s="30">
        <f>IF(COUNTA(B317:L317)=0,"",IF(X317=0,IF(P317="CABECERA","VERDE · Fila descriptiva; la suma usa las líneas del ID","VERDE · Datos numéricos interpretables"),IF(X317=2,"ROJO · ","ÁMBAR · ")&amp;IF(NOT(IF(ISNUMBER($E$6),AND($E$6&gt;=0,$E$6&lt;=6,$E$6=INT($E$6)),FALSE)),"Indicamos entre 0 y 6 decimales en E6. ","")&amp;IF(O317=0,"Falta un ID numérico. ","")&amp;IF(R317=0,"Faltan capítulo, código, unidad o total numérico del ID. ","")&amp;IF(T317&gt;0,"Los datos o el total del ID se contradicen. ","")&amp;IF(AND(P317&lt;&gt;"DIMENSIONES",P317&lt;&gt;"DIRECTA",P317&lt;&gt;"SIN LÍNEAS",P317&lt;&gt;"CABECERA"),"Tipo de fila no reconocido. ","")&amp;IF(AND(OR(P317="SIN LÍNEAS",P317="CABECERA"),COUNTA(G317:J317)&gt;0),"La fila dice que no mide, pero contiene medidas. ","")&amp;IF(AND(OR(P317="DIRECTA",P317="DIMENSIONES"),U317=0),"Línea incompleta o con medidas no numéricas. ","")&amp;IF(P317="SIN LÍNEAS","No constan medidas de esta fila. ","")&amp;IF(Y317&gt;0,"Parece m³: tres dimensiones bajo m². ","")&amp;IF(AND(AB317&lt;&gt;"",SUMPRODUCT(--('LÉEME'!$B$65:$B$86=AC317))&lt;&gt;1),"Revisamos el significado de la unidad. ","")&amp;IF(Z317&gt;0,"Más precisión que los decimales indicados: cotejamos el original. ","")&amp;IF(AA317&gt;0,"Revisamos dimensiones, cantidad directa, ceros o deducción. ","")))</f>
      </c>
      <c r="O317" s="0" t="n">
        <f>IF(ISNUMBER(K317),IF(AND(K317&gt;0,K317=INT(K317),K317&lt;=999999),K317,0),0)</f>
        <v>0</v>
      </c>
      <c r="P317" s="0">
        <f>IF(COUNTA(B317:L317)=0,"",IF(L317="",IF(COUNTA(G317:J317)&gt;0,"DIMENSIONES","SIN LÍNEAS"),UPPER(TRIM(L317))))</f>
      </c>
      <c r="Q317" s="0">
        <f>IF(AND(O317&gt;0,LEN(TRIM(B317&amp;""))&gt;0,LEN(TRIM(C317&amp;""))&gt;0,LEN(TRIM(E317&amp;""))&gt;0,ISNUMBER(F317)),O317,"")</f>
      </c>
      <c r="R317" s="0" t="n">
        <f>IF(O317=0,0,IF(COUNTIFS($Q$13:$Q$512,O317)&gt;0,MATCH(O317,$Q$13:$Q$512,0),0))</f>
        <v>0</v>
      </c>
      <c r="S317" s="0">
        <f>IF(AB317="","",IF(SUMPRODUCT(--('LÉEME'!$B$65:$B$86=AC317))=1,INDEX('LÉEME'!$C$65:$C$86,MATCH(AC317,'LÉEME'!$B$65:$B$86,0)),UPPER(TRIM(AB317))))</f>
      </c>
      <c r="T317" s="0" t="n">
        <f>IF(R317=0,0,IF(OR(AND(LEN(TRIM(B317&amp;""))&gt;0,UPPER(TRIM(B317&amp;""))&lt;&gt;UPPER(TRIM(INDEX($B$13:$B$512,R317)&amp;""))),AND(LEN(TRIM(C317&amp;""))&gt;0,UPPER(TRIM(C317&amp;""))&lt;&gt;UPPER(TRIM(INDEX($C$13:$C$512,R317)&amp;""))),AND(LEN(TRIM(E317&amp;""))&gt;0,S317&lt;&gt;INDEX($S$13:$S$512,R317)),AND(F317&lt;&gt;"",NOT(ISNUMBER(F317)))),1,IF(ISNUMBER(F317),IF(ABS(F317-INDEX($F$13:$F$512,R317))&gt;0.00000001,1,0),0)))</f>
        <v>0</v>
      </c>
      <c r="U317" s="0" t="n">
        <f>IF(P317="DIRECTA",IF(AND(ISNUMBER(G317),COUNTA(H317:J317)=0),1,0),IF(P317="DIMENSIONES",IF(AND(COUNT(G317:J317)&gt;0,COUNTA(G317:J317)=COUNT(G317:J317)),1,0),0))</f>
        <v>0</v>
      </c>
      <c r="V317" s="0" t="n">
        <f>IF(O317=0,0,IF(COUNTIFS($O$13:O317,O317)=1,1,0))</f>
        <v>0</v>
      </c>
      <c r="W317" s="0">
        <f>IF(V317=1,COUNTIFS($V$13:V317,1),"")</f>
      </c>
      <c r="X317" s="0">
        <f>IF(COUNTA(B317:L317)=0,"",IF(OR(NOT(IF(ISNUMBER($E$6),AND($E$6&gt;=0,$E$6&lt;=6,$E$6=INT($E$6)),FALSE)),O317=0,R317=0,T317&gt;0,AND(P317&lt;&gt;"DIMENSIONES",P317&lt;&gt;"DIRECTA",P317&lt;&gt;"SIN LÍNEAS",P317&lt;&gt;"CABECERA"),AND(OR(P317="DIRECTA",P317="DIMENSIONES"),U317=0),AND(OR(P317="SIN LÍNEAS",P317="CABECERA"),COUNTA(G317:J317)&gt;0)),2,IF(OR(P317="SIN LÍNEAS",Y317&gt;0,Z317&gt;0,AA317&gt;0,SUMPRODUCT(--('LÉEME'!$B$65:$B$86=AC317))&lt;&gt;1),1,0)))</f>
      </c>
      <c r="Y317" s="0" t="n">
        <f>IF(AND(P317="DIMENSIONES",S317="m²",COUNT(H317:J317)=3),1,0)</f>
        <v>0</v>
      </c>
      <c r="Z317" s="0" t="n">
        <f>IF(IF(ISNUMBER($E$6),AND($E$6&gt;=0,$E$6&lt;=6,$E$6=INT($E$6)),FALSE),IF(SUM(IF(ISNUMBER(F317),IF(ABS(F317-ROUND(F317,$E$6))&gt;0.00000001,1,0),0),IF(ISNUMBER(G317),IF(ABS(G317-ROUND(G317,$E$6))&gt;0.00000001,1,0),0),IF(ISNUMBER(H317),IF(ABS(H317-ROUND(H317,$E$6))&gt;0.00000001,1,0),0),IF(ISNUMBER(I317),IF(ABS(I317-ROUND(I317,$E$6))&gt;0.00000001,1,0),0),IF(ISNUMBER(J317),IF(ABS(J317-ROUND(J317,$E$6))&gt;0.00000001,1,0),0),IF(ISNUMBER(M317),IF(ABS(M317-ROUND(M317,$E$6))&gt;0.00000001,1,0),0))&gt;0,1,0),0)</f>
        <v>0</v>
      </c>
      <c r="AA317" s="0" t="n">
        <f>IF(COUNTA(B317:L317)=0,0,IF(OR(AND(ISNUMBER(F317),F317&lt;0),AND(U317=1,OR(SUM(IF(ISNUMBER(G317),IF(G317=0,1,0),0),IF(ISNUMBER(H317),IF(H317=0,1,0),0),IF(ISNUMBER(I317),IF(I317=0,1,0),0),IF(ISNUMBER(J317),IF(J317=0,1,0),0))&gt;0,COUNTIFS(G317:J317,"&lt;0")&gt;0)),AND(P317="DIMENSIONES",U317=1,OR(AND(S317="m",COUNT(H317:J317)&lt;&gt;1),AND(S317="m²",COUNT(H317:J317)&lt;&gt;2,Y317=0),AND(S317="m³",COUNT(H317:J317)&lt;&gt;3),AND(S317="ud",COUNT(H317:J317)&gt;0))),AND(P317="DIRECTA",OR(S317="m",S317="m²",S317="m³"))),1,0))</f>
        <v>0</v>
      </c>
      <c r="AB317" s="0">
        <f>IF(LEN(TRIM(E317&amp;""))&gt;0,E317,IF(R317&gt;0,INDEX($E$13:$E$512,R317),""))</f>
      </c>
      <c r="AC317" s="0">
        <f>UPPER(SUBSTITUTE(SUBSTITUTE(SUBSTITUTE(SUBSTITUTE(SUBSTITUTE(TRIM(AB317),"²","2"),"³","3"),"^",""),".","")," ",""))</f>
      </c>
    </row>
    <row r="318" ht="35" customHeight="1">
      <c r="B318" s="35"/>
      <c r="C318" s="35"/>
      <c r="D318" s="37"/>
      <c r="E318" s="35"/>
      <c r="F318" s="38"/>
      <c r="G318" s="38"/>
      <c r="H318" s="38"/>
      <c r="I318" s="38"/>
      <c r="J318" s="38"/>
      <c r="K318" s="35"/>
      <c r="L318" s="35"/>
      <c r="M318" s="39">
        <f>IF(U318&lt;&gt;1,"",IF(P318="DIRECTA",G318,IF(ISNUMBER(G318),G318,1)*IF(ISNUMBER(H318),H318,1)*IF(ISNUMBER(I318),I318,1)*IF(ISNUMBER(J318),J318,1)))</f>
      </c>
      <c r="N318" s="30">
        <f>IF(COUNTA(B318:L318)=0,"",IF(X318=0,IF(P318="CABECERA","VERDE · Fila descriptiva; la suma usa las líneas del ID","VERDE · Datos numéricos interpretables"),IF(X318=2,"ROJO · ","ÁMBAR · ")&amp;IF(NOT(IF(ISNUMBER($E$6),AND($E$6&gt;=0,$E$6&lt;=6,$E$6=INT($E$6)),FALSE)),"Indicamos entre 0 y 6 decimales en E6. ","")&amp;IF(O318=0,"Falta un ID numérico. ","")&amp;IF(R318=0,"Faltan capítulo, código, unidad o total numérico del ID. ","")&amp;IF(T318&gt;0,"Los datos o el total del ID se contradicen. ","")&amp;IF(AND(P318&lt;&gt;"DIMENSIONES",P318&lt;&gt;"DIRECTA",P318&lt;&gt;"SIN LÍNEAS",P318&lt;&gt;"CABECERA"),"Tipo de fila no reconocido. ","")&amp;IF(AND(OR(P318="SIN LÍNEAS",P318="CABECERA"),COUNTA(G318:J318)&gt;0),"La fila dice que no mide, pero contiene medidas. ","")&amp;IF(AND(OR(P318="DIRECTA",P318="DIMENSIONES"),U318=0),"Línea incompleta o con medidas no numéricas. ","")&amp;IF(P318="SIN LÍNEAS","No constan medidas de esta fila. ","")&amp;IF(Y318&gt;0,"Parece m³: tres dimensiones bajo m². ","")&amp;IF(AND(AB318&lt;&gt;"",SUMPRODUCT(--('LÉEME'!$B$65:$B$86=AC318))&lt;&gt;1),"Revisamos el significado de la unidad. ","")&amp;IF(Z318&gt;0,"Más precisión que los decimales indicados: cotejamos el original. ","")&amp;IF(AA318&gt;0,"Revisamos dimensiones, cantidad directa, ceros o deducción. ","")))</f>
      </c>
      <c r="O318" s="0" t="n">
        <f>IF(ISNUMBER(K318),IF(AND(K318&gt;0,K318=INT(K318),K318&lt;=999999),K318,0),0)</f>
        <v>0</v>
      </c>
      <c r="P318" s="0">
        <f>IF(COUNTA(B318:L318)=0,"",IF(L318="",IF(COUNTA(G318:J318)&gt;0,"DIMENSIONES","SIN LÍNEAS"),UPPER(TRIM(L318))))</f>
      </c>
      <c r="Q318" s="0">
        <f>IF(AND(O318&gt;0,LEN(TRIM(B318&amp;""))&gt;0,LEN(TRIM(C318&amp;""))&gt;0,LEN(TRIM(E318&amp;""))&gt;0,ISNUMBER(F318)),O318,"")</f>
      </c>
      <c r="R318" s="0" t="n">
        <f>IF(O318=0,0,IF(COUNTIFS($Q$13:$Q$512,O318)&gt;0,MATCH(O318,$Q$13:$Q$512,0),0))</f>
        <v>0</v>
      </c>
      <c r="S318" s="0">
        <f>IF(AB318="","",IF(SUMPRODUCT(--('LÉEME'!$B$65:$B$86=AC318))=1,INDEX('LÉEME'!$C$65:$C$86,MATCH(AC318,'LÉEME'!$B$65:$B$86,0)),UPPER(TRIM(AB318))))</f>
      </c>
      <c r="T318" s="0" t="n">
        <f>IF(R318=0,0,IF(OR(AND(LEN(TRIM(B318&amp;""))&gt;0,UPPER(TRIM(B318&amp;""))&lt;&gt;UPPER(TRIM(INDEX($B$13:$B$512,R318)&amp;""))),AND(LEN(TRIM(C318&amp;""))&gt;0,UPPER(TRIM(C318&amp;""))&lt;&gt;UPPER(TRIM(INDEX($C$13:$C$512,R318)&amp;""))),AND(LEN(TRIM(E318&amp;""))&gt;0,S318&lt;&gt;INDEX($S$13:$S$512,R318)),AND(F318&lt;&gt;"",NOT(ISNUMBER(F318)))),1,IF(ISNUMBER(F318),IF(ABS(F318-INDEX($F$13:$F$512,R318))&gt;0.00000001,1,0),0)))</f>
        <v>0</v>
      </c>
      <c r="U318" s="0" t="n">
        <f>IF(P318="DIRECTA",IF(AND(ISNUMBER(G318),COUNTA(H318:J318)=0),1,0),IF(P318="DIMENSIONES",IF(AND(COUNT(G318:J318)&gt;0,COUNTA(G318:J318)=COUNT(G318:J318)),1,0),0))</f>
        <v>0</v>
      </c>
      <c r="V318" s="0" t="n">
        <f>IF(O318=0,0,IF(COUNTIFS($O$13:O318,O318)=1,1,0))</f>
        <v>0</v>
      </c>
      <c r="W318" s="0">
        <f>IF(V318=1,COUNTIFS($V$13:V318,1),"")</f>
      </c>
      <c r="X318" s="0">
        <f>IF(COUNTA(B318:L318)=0,"",IF(OR(NOT(IF(ISNUMBER($E$6),AND($E$6&gt;=0,$E$6&lt;=6,$E$6=INT($E$6)),FALSE)),O318=0,R318=0,T318&gt;0,AND(P318&lt;&gt;"DIMENSIONES",P318&lt;&gt;"DIRECTA",P318&lt;&gt;"SIN LÍNEAS",P318&lt;&gt;"CABECERA"),AND(OR(P318="DIRECTA",P318="DIMENSIONES"),U318=0),AND(OR(P318="SIN LÍNEAS",P318="CABECERA"),COUNTA(G318:J318)&gt;0)),2,IF(OR(P318="SIN LÍNEAS",Y318&gt;0,Z318&gt;0,AA318&gt;0,SUMPRODUCT(--('LÉEME'!$B$65:$B$86=AC318))&lt;&gt;1),1,0)))</f>
      </c>
      <c r="Y318" s="0" t="n">
        <f>IF(AND(P318="DIMENSIONES",S318="m²",COUNT(H318:J318)=3),1,0)</f>
        <v>0</v>
      </c>
      <c r="Z318" s="0" t="n">
        <f>IF(IF(ISNUMBER($E$6),AND($E$6&gt;=0,$E$6&lt;=6,$E$6=INT($E$6)),FALSE),IF(SUM(IF(ISNUMBER(F318),IF(ABS(F318-ROUND(F318,$E$6))&gt;0.00000001,1,0),0),IF(ISNUMBER(G318),IF(ABS(G318-ROUND(G318,$E$6))&gt;0.00000001,1,0),0),IF(ISNUMBER(H318),IF(ABS(H318-ROUND(H318,$E$6))&gt;0.00000001,1,0),0),IF(ISNUMBER(I318),IF(ABS(I318-ROUND(I318,$E$6))&gt;0.00000001,1,0),0),IF(ISNUMBER(J318),IF(ABS(J318-ROUND(J318,$E$6))&gt;0.00000001,1,0),0),IF(ISNUMBER(M318),IF(ABS(M318-ROUND(M318,$E$6))&gt;0.00000001,1,0),0))&gt;0,1,0),0)</f>
        <v>0</v>
      </c>
      <c r="AA318" s="0" t="n">
        <f>IF(COUNTA(B318:L318)=0,0,IF(OR(AND(ISNUMBER(F318),F318&lt;0),AND(U318=1,OR(SUM(IF(ISNUMBER(G318),IF(G318=0,1,0),0),IF(ISNUMBER(H318),IF(H318=0,1,0),0),IF(ISNUMBER(I318),IF(I318=0,1,0),0),IF(ISNUMBER(J318),IF(J318=0,1,0),0))&gt;0,COUNTIFS(G318:J318,"&lt;0")&gt;0)),AND(P318="DIMENSIONES",U318=1,OR(AND(S318="m",COUNT(H318:J318)&lt;&gt;1),AND(S318="m²",COUNT(H318:J318)&lt;&gt;2,Y318=0),AND(S318="m³",COUNT(H318:J318)&lt;&gt;3),AND(S318="ud",COUNT(H318:J318)&gt;0))),AND(P318="DIRECTA",OR(S318="m",S318="m²",S318="m³"))),1,0))</f>
        <v>0</v>
      </c>
      <c r="AB318" s="0">
        <f>IF(LEN(TRIM(E318&amp;""))&gt;0,E318,IF(R318&gt;0,INDEX($E$13:$E$512,R318),""))</f>
      </c>
      <c r="AC318" s="0">
        <f>UPPER(SUBSTITUTE(SUBSTITUTE(SUBSTITUTE(SUBSTITUTE(SUBSTITUTE(TRIM(AB318),"²","2"),"³","3"),"^",""),".","")," ",""))</f>
      </c>
    </row>
    <row r="319" ht="35" customHeight="1">
      <c r="B319" s="35"/>
      <c r="C319" s="35"/>
      <c r="D319" s="37"/>
      <c r="E319" s="35"/>
      <c r="F319" s="38"/>
      <c r="G319" s="38"/>
      <c r="H319" s="38"/>
      <c r="I319" s="38"/>
      <c r="J319" s="38"/>
      <c r="K319" s="35"/>
      <c r="L319" s="35"/>
      <c r="M319" s="39">
        <f>IF(U319&lt;&gt;1,"",IF(P319="DIRECTA",G319,IF(ISNUMBER(G319),G319,1)*IF(ISNUMBER(H319),H319,1)*IF(ISNUMBER(I319),I319,1)*IF(ISNUMBER(J319),J319,1)))</f>
      </c>
      <c r="N319" s="30">
        <f>IF(COUNTA(B319:L319)=0,"",IF(X319=0,IF(P319="CABECERA","VERDE · Fila descriptiva; la suma usa las líneas del ID","VERDE · Datos numéricos interpretables"),IF(X319=2,"ROJO · ","ÁMBAR · ")&amp;IF(NOT(IF(ISNUMBER($E$6),AND($E$6&gt;=0,$E$6&lt;=6,$E$6=INT($E$6)),FALSE)),"Indicamos entre 0 y 6 decimales en E6. ","")&amp;IF(O319=0,"Falta un ID numérico. ","")&amp;IF(R319=0,"Faltan capítulo, código, unidad o total numérico del ID. ","")&amp;IF(T319&gt;0,"Los datos o el total del ID se contradicen. ","")&amp;IF(AND(P319&lt;&gt;"DIMENSIONES",P319&lt;&gt;"DIRECTA",P319&lt;&gt;"SIN LÍNEAS",P319&lt;&gt;"CABECERA"),"Tipo de fila no reconocido. ","")&amp;IF(AND(OR(P319="SIN LÍNEAS",P319="CABECERA"),COUNTA(G319:J319)&gt;0),"La fila dice que no mide, pero contiene medidas. ","")&amp;IF(AND(OR(P319="DIRECTA",P319="DIMENSIONES"),U319=0),"Línea incompleta o con medidas no numéricas. ","")&amp;IF(P319="SIN LÍNEAS","No constan medidas de esta fila. ","")&amp;IF(Y319&gt;0,"Parece m³: tres dimensiones bajo m². ","")&amp;IF(AND(AB319&lt;&gt;"",SUMPRODUCT(--('LÉEME'!$B$65:$B$86=AC319))&lt;&gt;1),"Revisamos el significado de la unidad. ","")&amp;IF(Z319&gt;0,"Más precisión que los decimales indicados: cotejamos el original. ","")&amp;IF(AA319&gt;0,"Revisamos dimensiones, cantidad directa, ceros o deducción. ","")))</f>
      </c>
      <c r="O319" s="0" t="n">
        <f>IF(ISNUMBER(K319),IF(AND(K319&gt;0,K319=INT(K319),K319&lt;=999999),K319,0),0)</f>
        <v>0</v>
      </c>
      <c r="P319" s="0">
        <f>IF(COUNTA(B319:L319)=0,"",IF(L319="",IF(COUNTA(G319:J319)&gt;0,"DIMENSIONES","SIN LÍNEAS"),UPPER(TRIM(L319))))</f>
      </c>
      <c r="Q319" s="0">
        <f>IF(AND(O319&gt;0,LEN(TRIM(B319&amp;""))&gt;0,LEN(TRIM(C319&amp;""))&gt;0,LEN(TRIM(E319&amp;""))&gt;0,ISNUMBER(F319)),O319,"")</f>
      </c>
      <c r="R319" s="0" t="n">
        <f>IF(O319=0,0,IF(COUNTIFS($Q$13:$Q$512,O319)&gt;0,MATCH(O319,$Q$13:$Q$512,0),0))</f>
        <v>0</v>
      </c>
      <c r="S319" s="0">
        <f>IF(AB319="","",IF(SUMPRODUCT(--('LÉEME'!$B$65:$B$86=AC319))=1,INDEX('LÉEME'!$C$65:$C$86,MATCH(AC319,'LÉEME'!$B$65:$B$86,0)),UPPER(TRIM(AB319))))</f>
      </c>
      <c r="T319" s="0" t="n">
        <f>IF(R319=0,0,IF(OR(AND(LEN(TRIM(B319&amp;""))&gt;0,UPPER(TRIM(B319&amp;""))&lt;&gt;UPPER(TRIM(INDEX($B$13:$B$512,R319)&amp;""))),AND(LEN(TRIM(C319&amp;""))&gt;0,UPPER(TRIM(C319&amp;""))&lt;&gt;UPPER(TRIM(INDEX($C$13:$C$512,R319)&amp;""))),AND(LEN(TRIM(E319&amp;""))&gt;0,S319&lt;&gt;INDEX($S$13:$S$512,R319)),AND(F319&lt;&gt;"",NOT(ISNUMBER(F319)))),1,IF(ISNUMBER(F319),IF(ABS(F319-INDEX($F$13:$F$512,R319))&gt;0.00000001,1,0),0)))</f>
        <v>0</v>
      </c>
      <c r="U319" s="0" t="n">
        <f>IF(P319="DIRECTA",IF(AND(ISNUMBER(G319),COUNTA(H319:J319)=0),1,0),IF(P319="DIMENSIONES",IF(AND(COUNT(G319:J319)&gt;0,COUNTA(G319:J319)=COUNT(G319:J319)),1,0),0))</f>
        <v>0</v>
      </c>
      <c r="V319" s="0" t="n">
        <f>IF(O319=0,0,IF(COUNTIFS($O$13:O319,O319)=1,1,0))</f>
        <v>0</v>
      </c>
      <c r="W319" s="0">
        <f>IF(V319=1,COUNTIFS($V$13:V319,1),"")</f>
      </c>
      <c r="X319" s="0">
        <f>IF(COUNTA(B319:L319)=0,"",IF(OR(NOT(IF(ISNUMBER($E$6),AND($E$6&gt;=0,$E$6&lt;=6,$E$6=INT($E$6)),FALSE)),O319=0,R319=0,T319&gt;0,AND(P319&lt;&gt;"DIMENSIONES",P319&lt;&gt;"DIRECTA",P319&lt;&gt;"SIN LÍNEAS",P319&lt;&gt;"CABECERA"),AND(OR(P319="DIRECTA",P319="DIMENSIONES"),U319=0),AND(OR(P319="SIN LÍNEAS",P319="CABECERA"),COUNTA(G319:J319)&gt;0)),2,IF(OR(P319="SIN LÍNEAS",Y319&gt;0,Z319&gt;0,AA319&gt;0,SUMPRODUCT(--('LÉEME'!$B$65:$B$86=AC319))&lt;&gt;1),1,0)))</f>
      </c>
      <c r="Y319" s="0" t="n">
        <f>IF(AND(P319="DIMENSIONES",S319="m²",COUNT(H319:J319)=3),1,0)</f>
        <v>0</v>
      </c>
      <c r="Z319" s="0" t="n">
        <f>IF(IF(ISNUMBER($E$6),AND($E$6&gt;=0,$E$6&lt;=6,$E$6=INT($E$6)),FALSE),IF(SUM(IF(ISNUMBER(F319),IF(ABS(F319-ROUND(F319,$E$6))&gt;0.00000001,1,0),0),IF(ISNUMBER(G319),IF(ABS(G319-ROUND(G319,$E$6))&gt;0.00000001,1,0),0),IF(ISNUMBER(H319),IF(ABS(H319-ROUND(H319,$E$6))&gt;0.00000001,1,0),0),IF(ISNUMBER(I319),IF(ABS(I319-ROUND(I319,$E$6))&gt;0.00000001,1,0),0),IF(ISNUMBER(J319),IF(ABS(J319-ROUND(J319,$E$6))&gt;0.00000001,1,0),0),IF(ISNUMBER(M319),IF(ABS(M319-ROUND(M319,$E$6))&gt;0.00000001,1,0),0))&gt;0,1,0),0)</f>
        <v>0</v>
      </c>
      <c r="AA319" s="0" t="n">
        <f>IF(COUNTA(B319:L319)=0,0,IF(OR(AND(ISNUMBER(F319),F319&lt;0),AND(U319=1,OR(SUM(IF(ISNUMBER(G319),IF(G319=0,1,0),0),IF(ISNUMBER(H319),IF(H319=0,1,0),0),IF(ISNUMBER(I319),IF(I319=0,1,0),0),IF(ISNUMBER(J319),IF(J319=0,1,0),0))&gt;0,COUNTIFS(G319:J319,"&lt;0")&gt;0)),AND(P319="DIMENSIONES",U319=1,OR(AND(S319="m",COUNT(H319:J319)&lt;&gt;1),AND(S319="m²",COUNT(H319:J319)&lt;&gt;2,Y319=0),AND(S319="m³",COUNT(H319:J319)&lt;&gt;3),AND(S319="ud",COUNT(H319:J319)&gt;0))),AND(P319="DIRECTA",OR(S319="m",S319="m²",S319="m³"))),1,0))</f>
        <v>0</v>
      </c>
      <c r="AB319" s="0">
        <f>IF(LEN(TRIM(E319&amp;""))&gt;0,E319,IF(R319&gt;0,INDEX($E$13:$E$512,R319),""))</f>
      </c>
      <c r="AC319" s="0">
        <f>UPPER(SUBSTITUTE(SUBSTITUTE(SUBSTITUTE(SUBSTITUTE(SUBSTITUTE(TRIM(AB319),"²","2"),"³","3"),"^",""),".","")," ",""))</f>
      </c>
    </row>
    <row r="320" ht="35" customHeight="1">
      <c r="B320" s="35"/>
      <c r="C320" s="35"/>
      <c r="D320" s="37"/>
      <c r="E320" s="35"/>
      <c r="F320" s="38"/>
      <c r="G320" s="38"/>
      <c r="H320" s="38"/>
      <c r="I320" s="38"/>
      <c r="J320" s="38"/>
      <c r="K320" s="35"/>
      <c r="L320" s="35"/>
      <c r="M320" s="39">
        <f>IF(U320&lt;&gt;1,"",IF(P320="DIRECTA",G320,IF(ISNUMBER(G320),G320,1)*IF(ISNUMBER(H320),H320,1)*IF(ISNUMBER(I320),I320,1)*IF(ISNUMBER(J320),J320,1)))</f>
      </c>
      <c r="N320" s="30">
        <f>IF(COUNTA(B320:L320)=0,"",IF(X320=0,IF(P320="CABECERA","VERDE · Fila descriptiva; la suma usa las líneas del ID","VERDE · Datos numéricos interpretables"),IF(X320=2,"ROJO · ","ÁMBAR · ")&amp;IF(NOT(IF(ISNUMBER($E$6),AND($E$6&gt;=0,$E$6&lt;=6,$E$6=INT($E$6)),FALSE)),"Indicamos entre 0 y 6 decimales en E6. ","")&amp;IF(O320=0,"Falta un ID numérico. ","")&amp;IF(R320=0,"Faltan capítulo, código, unidad o total numérico del ID. ","")&amp;IF(T320&gt;0,"Los datos o el total del ID se contradicen. ","")&amp;IF(AND(P320&lt;&gt;"DIMENSIONES",P320&lt;&gt;"DIRECTA",P320&lt;&gt;"SIN LÍNEAS",P320&lt;&gt;"CABECERA"),"Tipo de fila no reconocido. ","")&amp;IF(AND(OR(P320="SIN LÍNEAS",P320="CABECERA"),COUNTA(G320:J320)&gt;0),"La fila dice que no mide, pero contiene medidas. ","")&amp;IF(AND(OR(P320="DIRECTA",P320="DIMENSIONES"),U320=0),"Línea incompleta o con medidas no numéricas. ","")&amp;IF(P320="SIN LÍNEAS","No constan medidas de esta fila. ","")&amp;IF(Y320&gt;0,"Parece m³: tres dimensiones bajo m². ","")&amp;IF(AND(AB320&lt;&gt;"",SUMPRODUCT(--('LÉEME'!$B$65:$B$86=AC320))&lt;&gt;1),"Revisamos el significado de la unidad. ","")&amp;IF(Z320&gt;0,"Más precisión que los decimales indicados: cotejamos el original. ","")&amp;IF(AA320&gt;0,"Revisamos dimensiones, cantidad directa, ceros o deducción. ","")))</f>
      </c>
      <c r="O320" s="0" t="n">
        <f>IF(ISNUMBER(K320),IF(AND(K320&gt;0,K320=INT(K320),K320&lt;=999999),K320,0),0)</f>
        <v>0</v>
      </c>
      <c r="P320" s="0">
        <f>IF(COUNTA(B320:L320)=0,"",IF(L320="",IF(COUNTA(G320:J320)&gt;0,"DIMENSIONES","SIN LÍNEAS"),UPPER(TRIM(L320))))</f>
      </c>
      <c r="Q320" s="0">
        <f>IF(AND(O320&gt;0,LEN(TRIM(B320&amp;""))&gt;0,LEN(TRIM(C320&amp;""))&gt;0,LEN(TRIM(E320&amp;""))&gt;0,ISNUMBER(F320)),O320,"")</f>
      </c>
      <c r="R320" s="0" t="n">
        <f>IF(O320=0,0,IF(COUNTIFS($Q$13:$Q$512,O320)&gt;0,MATCH(O320,$Q$13:$Q$512,0),0))</f>
        <v>0</v>
      </c>
      <c r="S320" s="0">
        <f>IF(AB320="","",IF(SUMPRODUCT(--('LÉEME'!$B$65:$B$86=AC320))=1,INDEX('LÉEME'!$C$65:$C$86,MATCH(AC320,'LÉEME'!$B$65:$B$86,0)),UPPER(TRIM(AB320))))</f>
      </c>
      <c r="T320" s="0" t="n">
        <f>IF(R320=0,0,IF(OR(AND(LEN(TRIM(B320&amp;""))&gt;0,UPPER(TRIM(B320&amp;""))&lt;&gt;UPPER(TRIM(INDEX($B$13:$B$512,R320)&amp;""))),AND(LEN(TRIM(C320&amp;""))&gt;0,UPPER(TRIM(C320&amp;""))&lt;&gt;UPPER(TRIM(INDEX($C$13:$C$512,R320)&amp;""))),AND(LEN(TRIM(E320&amp;""))&gt;0,S320&lt;&gt;INDEX($S$13:$S$512,R320)),AND(F320&lt;&gt;"",NOT(ISNUMBER(F320)))),1,IF(ISNUMBER(F320),IF(ABS(F320-INDEX($F$13:$F$512,R320))&gt;0.00000001,1,0),0)))</f>
        <v>0</v>
      </c>
      <c r="U320" s="0" t="n">
        <f>IF(P320="DIRECTA",IF(AND(ISNUMBER(G320),COUNTA(H320:J320)=0),1,0),IF(P320="DIMENSIONES",IF(AND(COUNT(G320:J320)&gt;0,COUNTA(G320:J320)=COUNT(G320:J320)),1,0),0))</f>
        <v>0</v>
      </c>
      <c r="V320" s="0" t="n">
        <f>IF(O320=0,0,IF(COUNTIFS($O$13:O320,O320)=1,1,0))</f>
        <v>0</v>
      </c>
      <c r="W320" s="0">
        <f>IF(V320=1,COUNTIFS($V$13:V320,1),"")</f>
      </c>
      <c r="X320" s="0">
        <f>IF(COUNTA(B320:L320)=0,"",IF(OR(NOT(IF(ISNUMBER($E$6),AND($E$6&gt;=0,$E$6&lt;=6,$E$6=INT($E$6)),FALSE)),O320=0,R320=0,T320&gt;0,AND(P320&lt;&gt;"DIMENSIONES",P320&lt;&gt;"DIRECTA",P320&lt;&gt;"SIN LÍNEAS",P320&lt;&gt;"CABECERA"),AND(OR(P320="DIRECTA",P320="DIMENSIONES"),U320=0),AND(OR(P320="SIN LÍNEAS",P320="CABECERA"),COUNTA(G320:J320)&gt;0)),2,IF(OR(P320="SIN LÍNEAS",Y320&gt;0,Z320&gt;0,AA320&gt;0,SUMPRODUCT(--('LÉEME'!$B$65:$B$86=AC320))&lt;&gt;1),1,0)))</f>
      </c>
      <c r="Y320" s="0" t="n">
        <f>IF(AND(P320="DIMENSIONES",S320="m²",COUNT(H320:J320)=3),1,0)</f>
        <v>0</v>
      </c>
      <c r="Z320" s="0" t="n">
        <f>IF(IF(ISNUMBER($E$6),AND($E$6&gt;=0,$E$6&lt;=6,$E$6=INT($E$6)),FALSE),IF(SUM(IF(ISNUMBER(F320),IF(ABS(F320-ROUND(F320,$E$6))&gt;0.00000001,1,0),0),IF(ISNUMBER(G320),IF(ABS(G320-ROUND(G320,$E$6))&gt;0.00000001,1,0),0),IF(ISNUMBER(H320),IF(ABS(H320-ROUND(H320,$E$6))&gt;0.00000001,1,0),0),IF(ISNUMBER(I320),IF(ABS(I320-ROUND(I320,$E$6))&gt;0.00000001,1,0),0),IF(ISNUMBER(J320),IF(ABS(J320-ROUND(J320,$E$6))&gt;0.00000001,1,0),0),IF(ISNUMBER(M320),IF(ABS(M320-ROUND(M320,$E$6))&gt;0.00000001,1,0),0))&gt;0,1,0),0)</f>
        <v>0</v>
      </c>
      <c r="AA320" s="0" t="n">
        <f>IF(COUNTA(B320:L320)=0,0,IF(OR(AND(ISNUMBER(F320),F320&lt;0),AND(U320=1,OR(SUM(IF(ISNUMBER(G320),IF(G320=0,1,0),0),IF(ISNUMBER(H320),IF(H320=0,1,0),0),IF(ISNUMBER(I320),IF(I320=0,1,0),0),IF(ISNUMBER(J320),IF(J320=0,1,0),0))&gt;0,COUNTIFS(G320:J320,"&lt;0")&gt;0)),AND(P320="DIMENSIONES",U320=1,OR(AND(S320="m",COUNT(H320:J320)&lt;&gt;1),AND(S320="m²",COUNT(H320:J320)&lt;&gt;2,Y320=0),AND(S320="m³",COUNT(H320:J320)&lt;&gt;3),AND(S320="ud",COUNT(H320:J320)&gt;0))),AND(P320="DIRECTA",OR(S320="m",S320="m²",S320="m³"))),1,0))</f>
        <v>0</v>
      </c>
      <c r="AB320" s="0">
        <f>IF(LEN(TRIM(E320&amp;""))&gt;0,E320,IF(R320&gt;0,INDEX($E$13:$E$512,R320),""))</f>
      </c>
      <c r="AC320" s="0">
        <f>UPPER(SUBSTITUTE(SUBSTITUTE(SUBSTITUTE(SUBSTITUTE(SUBSTITUTE(TRIM(AB320),"²","2"),"³","3"),"^",""),".","")," ",""))</f>
      </c>
    </row>
    <row r="321" ht="35" customHeight="1">
      <c r="B321" s="35"/>
      <c r="C321" s="35"/>
      <c r="D321" s="37"/>
      <c r="E321" s="35"/>
      <c r="F321" s="38"/>
      <c r="G321" s="38"/>
      <c r="H321" s="38"/>
      <c r="I321" s="38"/>
      <c r="J321" s="38"/>
      <c r="K321" s="35"/>
      <c r="L321" s="35"/>
      <c r="M321" s="39">
        <f>IF(U321&lt;&gt;1,"",IF(P321="DIRECTA",G321,IF(ISNUMBER(G321),G321,1)*IF(ISNUMBER(H321),H321,1)*IF(ISNUMBER(I321),I321,1)*IF(ISNUMBER(J321),J321,1)))</f>
      </c>
      <c r="N321" s="30">
        <f>IF(COUNTA(B321:L321)=0,"",IF(X321=0,IF(P321="CABECERA","VERDE · Fila descriptiva; la suma usa las líneas del ID","VERDE · Datos numéricos interpretables"),IF(X321=2,"ROJO · ","ÁMBAR · ")&amp;IF(NOT(IF(ISNUMBER($E$6),AND($E$6&gt;=0,$E$6&lt;=6,$E$6=INT($E$6)),FALSE)),"Indicamos entre 0 y 6 decimales en E6. ","")&amp;IF(O321=0,"Falta un ID numérico. ","")&amp;IF(R321=0,"Faltan capítulo, código, unidad o total numérico del ID. ","")&amp;IF(T321&gt;0,"Los datos o el total del ID se contradicen. ","")&amp;IF(AND(P321&lt;&gt;"DIMENSIONES",P321&lt;&gt;"DIRECTA",P321&lt;&gt;"SIN LÍNEAS",P321&lt;&gt;"CABECERA"),"Tipo de fila no reconocido. ","")&amp;IF(AND(OR(P321="SIN LÍNEAS",P321="CABECERA"),COUNTA(G321:J321)&gt;0),"La fila dice que no mide, pero contiene medidas. ","")&amp;IF(AND(OR(P321="DIRECTA",P321="DIMENSIONES"),U321=0),"Línea incompleta o con medidas no numéricas. ","")&amp;IF(P321="SIN LÍNEAS","No constan medidas de esta fila. ","")&amp;IF(Y321&gt;0,"Parece m³: tres dimensiones bajo m². ","")&amp;IF(AND(AB321&lt;&gt;"",SUMPRODUCT(--('LÉEME'!$B$65:$B$86=AC321))&lt;&gt;1),"Revisamos el significado de la unidad. ","")&amp;IF(Z321&gt;0,"Más precisión que los decimales indicados: cotejamos el original. ","")&amp;IF(AA321&gt;0,"Revisamos dimensiones, cantidad directa, ceros o deducción. ","")))</f>
      </c>
      <c r="O321" s="0" t="n">
        <f>IF(ISNUMBER(K321),IF(AND(K321&gt;0,K321=INT(K321),K321&lt;=999999),K321,0),0)</f>
        <v>0</v>
      </c>
      <c r="P321" s="0">
        <f>IF(COUNTA(B321:L321)=0,"",IF(L321="",IF(COUNTA(G321:J321)&gt;0,"DIMENSIONES","SIN LÍNEAS"),UPPER(TRIM(L321))))</f>
      </c>
      <c r="Q321" s="0">
        <f>IF(AND(O321&gt;0,LEN(TRIM(B321&amp;""))&gt;0,LEN(TRIM(C321&amp;""))&gt;0,LEN(TRIM(E321&amp;""))&gt;0,ISNUMBER(F321)),O321,"")</f>
      </c>
      <c r="R321" s="0" t="n">
        <f>IF(O321=0,0,IF(COUNTIFS($Q$13:$Q$512,O321)&gt;0,MATCH(O321,$Q$13:$Q$512,0),0))</f>
        <v>0</v>
      </c>
      <c r="S321" s="0">
        <f>IF(AB321="","",IF(SUMPRODUCT(--('LÉEME'!$B$65:$B$86=AC321))=1,INDEX('LÉEME'!$C$65:$C$86,MATCH(AC321,'LÉEME'!$B$65:$B$86,0)),UPPER(TRIM(AB321))))</f>
      </c>
      <c r="T321" s="0" t="n">
        <f>IF(R321=0,0,IF(OR(AND(LEN(TRIM(B321&amp;""))&gt;0,UPPER(TRIM(B321&amp;""))&lt;&gt;UPPER(TRIM(INDEX($B$13:$B$512,R321)&amp;""))),AND(LEN(TRIM(C321&amp;""))&gt;0,UPPER(TRIM(C321&amp;""))&lt;&gt;UPPER(TRIM(INDEX($C$13:$C$512,R321)&amp;""))),AND(LEN(TRIM(E321&amp;""))&gt;0,S321&lt;&gt;INDEX($S$13:$S$512,R321)),AND(F321&lt;&gt;"",NOT(ISNUMBER(F321)))),1,IF(ISNUMBER(F321),IF(ABS(F321-INDEX($F$13:$F$512,R321))&gt;0.00000001,1,0),0)))</f>
        <v>0</v>
      </c>
      <c r="U321" s="0" t="n">
        <f>IF(P321="DIRECTA",IF(AND(ISNUMBER(G321),COUNTA(H321:J321)=0),1,0),IF(P321="DIMENSIONES",IF(AND(COUNT(G321:J321)&gt;0,COUNTA(G321:J321)=COUNT(G321:J321)),1,0),0))</f>
        <v>0</v>
      </c>
      <c r="V321" s="0" t="n">
        <f>IF(O321=0,0,IF(COUNTIFS($O$13:O321,O321)=1,1,0))</f>
        <v>0</v>
      </c>
      <c r="W321" s="0">
        <f>IF(V321=1,COUNTIFS($V$13:V321,1),"")</f>
      </c>
      <c r="X321" s="0">
        <f>IF(COUNTA(B321:L321)=0,"",IF(OR(NOT(IF(ISNUMBER($E$6),AND($E$6&gt;=0,$E$6&lt;=6,$E$6=INT($E$6)),FALSE)),O321=0,R321=0,T321&gt;0,AND(P321&lt;&gt;"DIMENSIONES",P321&lt;&gt;"DIRECTA",P321&lt;&gt;"SIN LÍNEAS",P321&lt;&gt;"CABECERA"),AND(OR(P321="DIRECTA",P321="DIMENSIONES"),U321=0),AND(OR(P321="SIN LÍNEAS",P321="CABECERA"),COUNTA(G321:J321)&gt;0)),2,IF(OR(P321="SIN LÍNEAS",Y321&gt;0,Z321&gt;0,AA321&gt;0,SUMPRODUCT(--('LÉEME'!$B$65:$B$86=AC321))&lt;&gt;1),1,0)))</f>
      </c>
      <c r="Y321" s="0" t="n">
        <f>IF(AND(P321="DIMENSIONES",S321="m²",COUNT(H321:J321)=3),1,0)</f>
        <v>0</v>
      </c>
      <c r="Z321" s="0" t="n">
        <f>IF(IF(ISNUMBER($E$6),AND($E$6&gt;=0,$E$6&lt;=6,$E$6=INT($E$6)),FALSE),IF(SUM(IF(ISNUMBER(F321),IF(ABS(F321-ROUND(F321,$E$6))&gt;0.00000001,1,0),0),IF(ISNUMBER(G321),IF(ABS(G321-ROUND(G321,$E$6))&gt;0.00000001,1,0),0),IF(ISNUMBER(H321),IF(ABS(H321-ROUND(H321,$E$6))&gt;0.00000001,1,0),0),IF(ISNUMBER(I321),IF(ABS(I321-ROUND(I321,$E$6))&gt;0.00000001,1,0),0),IF(ISNUMBER(J321),IF(ABS(J321-ROUND(J321,$E$6))&gt;0.00000001,1,0),0),IF(ISNUMBER(M321),IF(ABS(M321-ROUND(M321,$E$6))&gt;0.00000001,1,0),0))&gt;0,1,0),0)</f>
        <v>0</v>
      </c>
      <c r="AA321" s="0" t="n">
        <f>IF(COUNTA(B321:L321)=0,0,IF(OR(AND(ISNUMBER(F321),F321&lt;0),AND(U321=1,OR(SUM(IF(ISNUMBER(G321),IF(G321=0,1,0),0),IF(ISNUMBER(H321),IF(H321=0,1,0),0),IF(ISNUMBER(I321),IF(I321=0,1,0),0),IF(ISNUMBER(J321),IF(J321=0,1,0),0))&gt;0,COUNTIFS(G321:J321,"&lt;0")&gt;0)),AND(P321="DIMENSIONES",U321=1,OR(AND(S321="m",COUNT(H321:J321)&lt;&gt;1),AND(S321="m²",COUNT(H321:J321)&lt;&gt;2,Y321=0),AND(S321="m³",COUNT(H321:J321)&lt;&gt;3),AND(S321="ud",COUNT(H321:J321)&gt;0))),AND(P321="DIRECTA",OR(S321="m",S321="m²",S321="m³"))),1,0))</f>
        <v>0</v>
      </c>
      <c r="AB321" s="0">
        <f>IF(LEN(TRIM(E321&amp;""))&gt;0,E321,IF(R321&gt;0,INDEX($E$13:$E$512,R321),""))</f>
      </c>
      <c r="AC321" s="0">
        <f>UPPER(SUBSTITUTE(SUBSTITUTE(SUBSTITUTE(SUBSTITUTE(SUBSTITUTE(TRIM(AB321),"²","2"),"³","3"),"^",""),".","")," ",""))</f>
      </c>
    </row>
    <row r="322" ht="35" customHeight="1">
      <c r="B322" s="35"/>
      <c r="C322" s="35"/>
      <c r="D322" s="37"/>
      <c r="E322" s="35"/>
      <c r="F322" s="38"/>
      <c r="G322" s="38"/>
      <c r="H322" s="38"/>
      <c r="I322" s="38"/>
      <c r="J322" s="38"/>
      <c r="K322" s="35"/>
      <c r="L322" s="35"/>
      <c r="M322" s="39">
        <f>IF(U322&lt;&gt;1,"",IF(P322="DIRECTA",G322,IF(ISNUMBER(G322),G322,1)*IF(ISNUMBER(H322),H322,1)*IF(ISNUMBER(I322),I322,1)*IF(ISNUMBER(J322),J322,1)))</f>
      </c>
      <c r="N322" s="30">
        <f>IF(COUNTA(B322:L322)=0,"",IF(X322=0,IF(P322="CABECERA","VERDE · Fila descriptiva; la suma usa las líneas del ID","VERDE · Datos numéricos interpretables"),IF(X322=2,"ROJO · ","ÁMBAR · ")&amp;IF(NOT(IF(ISNUMBER($E$6),AND($E$6&gt;=0,$E$6&lt;=6,$E$6=INT($E$6)),FALSE)),"Indicamos entre 0 y 6 decimales en E6. ","")&amp;IF(O322=0,"Falta un ID numérico. ","")&amp;IF(R322=0,"Faltan capítulo, código, unidad o total numérico del ID. ","")&amp;IF(T322&gt;0,"Los datos o el total del ID se contradicen. ","")&amp;IF(AND(P322&lt;&gt;"DIMENSIONES",P322&lt;&gt;"DIRECTA",P322&lt;&gt;"SIN LÍNEAS",P322&lt;&gt;"CABECERA"),"Tipo de fila no reconocido. ","")&amp;IF(AND(OR(P322="SIN LÍNEAS",P322="CABECERA"),COUNTA(G322:J322)&gt;0),"La fila dice que no mide, pero contiene medidas. ","")&amp;IF(AND(OR(P322="DIRECTA",P322="DIMENSIONES"),U322=0),"Línea incompleta o con medidas no numéricas. ","")&amp;IF(P322="SIN LÍNEAS","No constan medidas de esta fila. ","")&amp;IF(Y322&gt;0,"Parece m³: tres dimensiones bajo m². ","")&amp;IF(AND(AB322&lt;&gt;"",SUMPRODUCT(--('LÉEME'!$B$65:$B$86=AC322))&lt;&gt;1),"Revisamos el significado de la unidad. ","")&amp;IF(Z322&gt;0,"Más precisión que los decimales indicados: cotejamos el original. ","")&amp;IF(AA322&gt;0,"Revisamos dimensiones, cantidad directa, ceros o deducción. ","")))</f>
      </c>
      <c r="O322" s="0" t="n">
        <f>IF(ISNUMBER(K322),IF(AND(K322&gt;0,K322=INT(K322),K322&lt;=999999),K322,0),0)</f>
        <v>0</v>
      </c>
      <c r="P322" s="0">
        <f>IF(COUNTA(B322:L322)=0,"",IF(L322="",IF(COUNTA(G322:J322)&gt;0,"DIMENSIONES","SIN LÍNEAS"),UPPER(TRIM(L322))))</f>
      </c>
      <c r="Q322" s="0">
        <f>IF(AND(O322&gt;0,LEN(TRIM(B322&amp;""))&gt;0,LEN(TRIM(C322&amp;""))&gt;0,LEN(TRIM(E322&amp;""))&gt;0,ISNUMBER(F322)),O322,"")</f>
      </c>
      <c r="R322" s="0" t="n">
        <f>IF(O322=0,0,IF(COUNTIFS($Q$13:$Q$512,O322)&gt;0,MATCH(O322,$Q$13:$Q$512,0),0))</f>
        <v>0</v>
      </c>
      <c r="S322" s="0">
        <f>IF(AB322="","",IF(SUMPRODUCT(--('LÉEME'!$B$65:$B$86=AC322))=1,INDEX('LÉEME'!$C$65:$C$86,MATCH(AC322,'LÉEME'!$B$65:$B$86,0)),UPPER(TRIM(AB322))))</f>
      </c>
      <c r="T322" s="0" t="n">
        <f>IF(R322=0,0,IF(OR(AND(LEN(TRIM(B322&amp;""))&gt;0,UPPER(TRIM(B322&amp;""))&lt;&gt;UPPER(TRIM(INDEX($B$13:$B$512,R322)&amp;""))),AND(LEN(TRIM(C322&amp;""))&gt;0,UPPER(TRIM(C322&amp;""))&lt;&gt;UPPER(TRIM(INDEX($C$13:$C$512,R322)&amp;""))),AND(LEN(TRIM(E322&amp;""))&gt;0,S322&lt;&gt;INDEX($S$13:$S$512,R322)),AND(F322&lt;&gt;"",NOT(ISNUMBER(F322)))),1,IF(ISNUMBER(F322),IF(ABS(F322-INDEX($F$13:$F$512,R322))&gt;0.00000001,1,0),0)))</f>
        <v>0</v>
      </c>
      <c r="U322" s="0" t="n">
        <f>IF(P322="DIRECTA",IF(AND(ISNUMBER(G322),COUNTA(H322:J322)=0),1,0),IF(P322="DIMENSIONES",IF(AND(COUNT(G322:J322)&gt;0,COUNTA(G322:J322)=COUNT(G322:J322)),1,0),0))</f>
        <v>0</v>
      </c>
      <c r="V322" s="0" t="n">
        <f>IF(O322=0,0,IF(COUNTIFS($O$13:O322,O322)=1,1,0))</f>
        <v>0</v>
      </c>
      <c r="W322" s="0">
        <f>IF(V322=1,COUNTIFS($V$13:V322,1),"")</f>
      </c>
      <c r="X322" s="0">
        <f>IF(COUNTA(B322:L322)=0,"",IF(OR(NOT(IF(ISNUMBER($E$6),AND($E$6&gt;=0,$E$6&lt;=6,$E$6=INT($E$6)),FALSE)),O322=0,R322=0,T322&gt;0,AND(P322&lt;&gt;"DIMENSIONES",P322&lt;&gt;"DIRECTA",P322&lt;&gt;"SIN LÍNEAS",P322&lt;&gt;"CABECERA"),AND(OR(P322="DIRECTA",P322="DIMENSIONES"),U322=0),AND(OR(P322="SIN LÍNEAS",P322="CABECERA"),COUNTA(G322:J322)&gt;0)),2,IF(OR(P322="SIN LÍNEAS",Y322&gt;0,Z322&gt;0,AA322&gt;0,SUMPRODUCT(--('LÉEME'!$B$65:$B$86=AC322))&lt;&gt;1),1,0)))</f>
      </c>
      <c r="Y322" s="0" t="n">
        <f>IF(AND(P322="DIMENSIONES",S322="m²",COUNT(H322:J322)=3),1,0)</f>
        <v>0</v>
      </c>
      <c r="Z322" s="0" t="n">
        <f>IF(IF(ISNUMBER($E$6),AND($E$6&gt;=0,$E$6&lt;=6,$E$6=INT($E$6)),FALSE),IF(SUM(IF(ISNUMBER(F322),IF(ABS(F322-ROUND(F322,$E$6))&gt;0.00000001,1,0),0),IF(ISNUMBER(G322),IF(ABS(G322-ROUND(G322,$E$6))&gt;0.00000001,1,0),0),IF(ISNUMBER(H322),IF(ABS(H322-ROUND(H322,$E$6))&gt;0.00000001,1,0),0),IF(ISNUMBER(I322),IF(ABS(I322-ROUND(I322,$E$6))&gt;0.00000001,1,0),0),IF(ISNUMBER(J322),IF(ABS(J322-ROUND(J322,$E$6))&gt;0.00000001,1,0),0),IF(ISNUMBER(M322),IF(ABS(M322-ROUND(M322,$E$6))&gt;0.00000001,1,0),0))&gt;0,1,0),0)</f>
        <v>0</v>
      </c>
      <c r="AA322" s="0" t="n">
        <f>IF(COUNTA(B322:L322)=0,0,IF(OR(AND(ISNUMBER(F322),F322&lt;0),AND(U322=1,OR(SUM(IF(ISNUMBER(G322),IF(G322=0,1,0),0),IF(ISNUMBER(H322),IF(H322=0,1,0),0),IF(ISNUMBER(I322),IF(I322=0,1,0),0),IF(ISNUMBER(J322),IF(J322=0,1,0),0))&gt;0,COUNTIFS(G322:J322,"&lt;0")&gt;0)),AND(P322="DIMENSIONES",U322=1,OR(AND(S322="m",COUNT(H322:J322)&lt;&gt;1),AND(S322="m²",COUNT(H322:J322)&lt;&gt;2,Y322=0),AND(S322="m³",COUNT(H322:J322)&lt;&gt;3),AND(S322="ud",COUNT(H322:J322)&gt;0))),AND(P322="DIRECTA",OR(S322="m",S322="m²",S322="m³"))),1,0))</f>
        <v>0</v>
      </c>
      <c r="AB322" s="0">
        <f>IF(LEN(TRIM(E322&amp;""))&gt;0,E322,IF(R322&gt;0,INDEX($E$13:$E$512,R322),""))</f>
      </c>
      <c r="AC322" s="0">
        <f>UPPER(SUBSTITUTE(SUBSTITUTE(SUBSTITUTE(SUBSTITUTE(SUBSTITUTE(TRIM(AB322),"²","2"),"³","3"),"^",""),".","")," ",""))</f>
      </c>
    </row>
    <row r="323" ht="35" customHeight="1">
      <c r="B323" s="35"/>
      <c r="C323" s="35"/>
      <c r="D323" s="37"/>
      <c r="E323" s="35"/>
      <c r="F323" s="38"/>
      <c r="G323" s="38"/>
      <c r="H323" s="38"/>
      <c r="I323" s="38"/>
      <c r="J323" s="38"/>
      <c r="K323" s="35"/>
      <c r="L323" s="35"/>
      <c r="M323" s="39">
        <f>IF(U323&lt;&gt;1,"",IF(P323="DIRECTA",G323,IF(ISNUMBER(G323),G323,1)*IF(ISNUMBER(H323),H323,1)*IF(ISNUMBER(I323),I323,1)*IF(ISNUMBER(J323),J323,1)))</f>
      </c>
      <c r="N323" s="30">
        <f>IF(COUNTA(B323:L323)=0,"",IF(X323=0,IF(P323="CABECERA","VERDE · Fila descriptiva; la suma usa las líneas del ID","VERDE · Datos numéricos interpretables"),IF(X323=2,"ROJO · ","ÁMBAR · ")&amp;IF(NOT(IF(ISNUMBER($E$6),AND($E$6&gt;=0,$E$6&lt;=6,$E$6=INT($E$6)),FALSE)),"Indicamos entre 0 y 6 decimales en E6. ","")&amp;IF(O323=0,"Falta un ID numérico. ","")&amp;IF(R323=0,"Faltan capítulo, código, unidad o total numérico del ID. ","")&amp;IF(T323&gt;0,"Los datos o el total del ID se contradicen. ","")&amp;IF(AND(P323&lt;&gt;"DIMENSIONES",P323&lt;&gt;"DIRECTA",P323&lt;&gt;"SIN LÍNEAS",P323&lt;&gt;"CABECERA"),"Tipo de fila no reconocido. ","")&amp;IF(AND(OR(P323="SIN LÍNEAS",P323="CABECERA"),COUNTA(G323:J323)&gt;0),"La fila dice que no mide, pero contiene medidas. ","")&amp;IF(AND(OR(P323="DIRECTA",P323="DIMENSIONES"),U323=0),"Línea incompleta o con medidas no numéricas. ","")&amp;IF(P323="SIN LÍNEAS","No constan medidas de esta fila. ","")&amp;IF(Y323&gt;0,"Parece m³: tres dimensiones bajo m². ","")&amp;IF(AND(AB323&lt;&gt;"",SUMPRODUCT(--('LÉEME'!$B$65:$B$86=AC323))&lt;&gt;1),"Revisamos el significado de la unidad. ","")&amp;IF(Z323&gt;0,"Más precisión que los decimales indicados: cotejamos el original. ","")&amp;IF(AA323&gt;0,"Revisamos dimensiones, cantidad directa, ceros o deducción. ","")))</f>
      </c>
      <c r="O323" s="0" t="n">
        <f>IF(ISNUMBER(K323),IF(AND(K323&gt;0,K323=INT(K323),K323&lt;=999999),K323,0),0)</f>
        <v>0</v>
      </c>
      <c r="P323" s="0">
        <f>IF(COUNTA(B323:L323)=0,"",IF(L323="",IF(COUNTA(G323:J323)&gt;0,"DIMENSIONES","SIN LÍNEAS"),UPPER(TRIM(L323))))</f>
      </c>
      <c r="Q323" s="0">
        <f>IF(AND(O323&gt;0,LEN(TRIM(B323&amp;""))&gt;0,LEN(TRIM(C323&amp;""))&gt;0,LEN(TRIM(E323&amp;""))&gt;0,ISNUMBER(F323)),O323,"")</f>
      </c>
      <c r="R323" s="0" t="n">
        <f>IF(O323=0,0,IF(COUNTIFS($Q$13:$Q$512,O323)&gt;0,MATCH(O323,$Q$13:$Q$512,0),0))</f>
        <v>0</v>
      </c>
      <c r="S323" s="0">
        <f>IF(AB323="","",IF(SUMPRODUCT(--('LÉEME'!$B$65:$B$86=AC323))=1,INDEX('LÉEME'!$C$65:$C$86,MATCH(AC323,'LÉEME'!$B$65:$B$86,0)),UPPER(TRIM(AB323))))</f>
      </c>
      <c r="T323" s="0" t="n">
        <f>IF(R323=0,0,IF(OR(AND(LEN(TRIM(B323&amp;""))&gt;0,UPPER(TRIM(B323&amp;""))&lt;&gt;UPPER(TRIM(INDEX($B$13:$B$512,R323)&amp;""))),AND(LEN(TRIM(C323&amp;""))&gt;0,UPPER(TRIM(C323&amp;""))&lt;&gt;UPPER(TRIM(INDEX($C$13:$C$512,R323)&amp;""))),AND(LEN(TRIM(E323&amp;""))&gt;0,S323&lt;&gt;INDEX($S$13:$S$512,R323)),AND(F323&lt;&gt;"",NOT(ISNUMBER(F323)))),1,IF(ISNUMBER(F323),IF(ABS(F323-INDEX($F$13:$F$512,R323))&gt;0.00000001,1,0),0)))</f>
        <v>0</v>
      </c>
      <c r="U323" s="0" t="n">
        <f>IF(P323="DIRECTA",IF(AND(ISNUMBER(G323),COUNTA(H323:J323)=0),1,0),IF(P323="DIMENSIONES",IF(AND(COUNT(G323:J323)&gt;0,COUNTA(G323:J323)=COUNT(G323:J323)),1,0),0))</f>
        <v>0</v>
      </c>
      <c r="V323" s="0" t="n">
        <f>IF(O323=0,0,IF(COUNTIFS($O$13:O323,O323)=1,1,0))</f>
        <v>0</v>
      </c>
      <c r="W323" s="0">
        <f>IF(V323=1,COUNTIFS($V$13:V323,1),"")</f>
      </c>
      <c r="X323" s="0">
        <f>IF(COUNTA(B323:L323)=0,"",IF(OR(NOT(IF(ISNUMBER($E$6),AND($E$6&gt;=0,$E$6&lt;=6,$E$6=INT($E$6)),FALSE)),O323=0,R323=0,T323&gt;0,AND(P323&lt;&gt;"DIMENSIONES",P323&lt;&gt;"DIRECTA",P323&lt;&gt;"SIN LÍNEAS",P323&lt;&gt;"CABECERA"),AND(OR(P323="DIRECTA",P323="DIMENSIONES"),U323=0),AND(OR(P323="SIN LÍNEAS",P323="CABECERA"),COUNTA(G323:J323)&gt;0)),2,IF(OR(P323="SIN LÍNEAS",Y323&gt;0,Z323&gt;0,AA323&gt;0,SUMPRODUCT(--('LÉEME'!$B$65:$B$86=AC323))&lt;&gt;1),1,0)))</f>
      </c>
      <c r="Y323" s="0" t="n">
        <f>IF(AND(P323="DIMENSIONES",S323="m²",COUNT(H323:J323)=3),1,0)</f>
        <v>0</v>
      </c>
      <c r="Z323" s="0" t="n">
        <f>IF(IF(ISNUMBER($E$6),AND($E$6&gt;=0,$E$6&lt;=6,$E$6=INT($E$6)),FALSE),IF(SUM(IF(ISNUMBER(F323),IF(ABS(F323-ROUND(F323,$E$6))&gt;0.00000001,1,0),0),IF(ISNUMBER(G323),IF(ABS(G323-ROUND(G323,$E$6))&gt;0.00000001,1,0),0),IF(ISNUMBER(H323),IF(ABS(H323-ROUND(H323,$E$6))&gt;0.00000001,1,0),0),IF(ISNUMBER(I323),IF(ABS(I323-ROUND(I323,$E$6))&gt;0.00000001,1,0),0),IF(ISNUMBER(J323),IF(ABS(J323-ROUND(J323,$E$6))&gt;0.00000001,1,0),0),IF(ISNUMBER(M323),IF(ABS(M323-ROUND(M323,$E$6))&gt;0.00000001,1,0),0))&gt;0,1,0),0)</f>
        <v>0</v>
      </c>
      <c r="AA323" s="0" t="n">
        <f>IF(COUNTA(B323:L323)=0,0,IF(OR(AND(ISNUMBER(F323),F323&lt;0),AND(U323=1,OR(SUM(IF(ISNUMBER(G323),IF(G323=0,1,0),0),IF(ISNUMBER(H323),IF(H323=0,1,0),0),IF(ISNUMBER(I323),IF(I323=0,1,0),0),IF(ISNUMBER(J323),IF(J323=0,1,0),0))&gt;0,COUNTIFS(G323:J323,"&lt;0")&gt;0)),AND(P323="DIMENSIONES",U323=1,OR(AND(S323="m",COUNT(H323:J323)&lt;&gt;1),AND(S323="m²",COUNT(H323:J323)&lt;&gt;2,Y323=0),AND(S323="m³",COUNT(H323:J323)&lt;&gt;3),AND(S323="ud",COUNT(H323:J323)&gt;0))),AND(P323="DIRECTA",OR(S323="m",S323="m²",S323="m³"))),1,0))</f>
        <v>0</v>
      </c>
      <c r="AB323" s="0">
        <f>IF(LEN(TRIM(E323&amp;""))&gt;0,E323,IF(R323&gt;0,INDEX($E$13:$E$512,R323),""))</f>
      </c>
      <c r="AC323" s="0">
        <f>UPPER(SUBSTITUTE(SUBSTITUTE(SUBSTITUTE(SUBSTITUTE(SUBSTITUTE(TRIM(AB323),"²","2"),"³","3"),"^",""),".","")," ",""))</f>
      </c>
    </row>
    <row r="324" ht="35" customHeight="1">
      <c r="B324" s="35"/>
      <c r="C324" s="35"/>
      <c r="D324" s="37"/>
      <c r="E324" s="35"/>
      <c r="F324" s="38"/>
      <c r="G324" s="38"/>
      <c r="H324" s="38"/>
      <c r="I324" s="38"/>
      <c r="J324" s="38"/>
      <c r="K324" s="35"/>
      <c r="L324" s="35"/>
      <c r="M324" s="39">
        <f>IF(U324&lt;&gt;1,"",IF(P324="DIRECTA",G324,IF(ISNUMBER(G324),G324,1)*IF(ISNUMBER(H324),H324,1)*IF(ISNUMBER(I324),I324,1)*IF(ISNUMBER(J324),J324,1)))</f>
      </c>
      <c r="N324" s="30">
        <f>IF(COUNTA(B324:L324)=0,"",IF(X324=0,IF(P324="CABECERA","VERDE · Fila descriptiva; la suma usa las líneas del ID","VERDE · Datos numéricos interpretables"),IF(X324=2,"ROJO · ","ÁMBAR · ")&amp;IF(NOT(IF(ISNUMBER($E$6),AND($E$6&gt;=0,$E$6&lt;=6,$E$6=INT($E$6)),FALSE)),"Indicamos entre 0 y 6 decimales en E6. ","")&amp;IF(O324=0,"Falta un ID numérico. ","")&amp;IF(R324=0,"Faltan capítulo, código, unidad o total numérico del ID. ","")&amp;IF(T324&gt;0,"Los datos o el total del ID se contradicen. ","")&amp;IF(AND(P324&lt;&gt;"DIMENSIONES",P324&lt;&gt;"DIRECTA",P324&lt;&gt;"SIN LÍNEAS",P324&lt;&gt;"CABECERA"),"Tipo de fila no reconocido. ","")&amp;IF(AND(OR(P324="SIN LÍNEAS",P324="CABECERA"),COUNTA(G324:J324)&gt;0),"La fila dice que no mide, pero contiene medidas. ","")&amp;IF(AND(OR(P324="DIRECTA",P324="DIMENSIONES"),U324=0),"Línea incompleta o con medidas no numéricas. ","")&amp;IF(P324="SIN LÍNEAS","No constan medidas de esta fila. ","")&amp;IF(Y324&gt;0,"Parece m³: tres dimensiones bajo m². ","")&amp;IF(AND(AB324&lt;&gt;"",SUMPRODUCT(--('LÉEME'!$B$65:$B$86=AC324))&lt;&gt;1),"Revisamos el significado de la unidad. ","")&amp;IF(Z324&gt;0,"Más precisión que los decimales indicados: cotejamos el original. ","")&amp;IF(AA324&gt;0,"Revisamos dimensiones, cantidad directa, ceros o deducción. ","")))</f>
      </c>
      <c r="O324" s="0" t="n">
        <f>IF(ISNUMBER(K324),IF(AND(K324&gt;0,K324=INT(K324),K324&lt;=999999),K324,0),0)</f>
        <v>0</v>
      </c>
      <c r="P324" s="0">
        <f>IF(COUNTA(B324:L324)=0,"",IF(L324="",IF(COUNTA(G324:J324)&gt;0,"DIMENSIONES","SIN LÍNEAS"),UPPER(TRIM(L324))))</f>
      </c>
      <c r="Q324" s="0">
        <f>IF(AND(O324&gt;0,LEN(TRIM(B324&amp;""))&gt;0,LEN(TRIM(C324&amp;""))&gt;0,LEN(TRIM(E324&amp;""))&gt;0,ISNUMBER(F324)),O324,"")</f>
      </c>
      <c r="R324" s="0" t="n">
        <f>IF(O324=0,0,IF(COUNTIFS($Q$13:$Q$512,O324)&gt;0,MATCH(O324,$Q$13:$Q$512,0),0))</f>
        <v>0</v>
      </c>
      <c r="S324" s="0">
        <f>IF(AB324="","",IF(SUMPRODUCT(--('LÉEME'!$B$65:$B$86=AC324))=1,INDEX('LÉEME'!$C$65:$C$86,MATCH(AC324,'LÉEME'!$B$65:$B$86,0)),UPPER(TRIM(AB324))))</f>
      </c>
      <c r="T324" s="0" t="n">
        <f>IF(R324=0,0,IF(OR(AND(LEN(TRIM(B324&amp;""))&gt;0,UPPER(TRIM(B324&amp;""))&lt;&gt;UPPER(TRIM(INDEX($B$13:$B$512,R324)&amp;""))),AND(LEN(TRIM(C324&amp;""))&gt;0,UPPER(TRIM(C324&amp;""))&lt;&gt;UPPER(TRIM(INDEX($C$13:$C$512,R324)&amp;""))),AND(LEN(TRIM(E324&amp;""))&gt;0,S324&lt;&gt;INDEX($S$13:$S$512,R324)),AND(F324&lt;&gt;"",NOT(ISNUMBER(F324)))),1,IF(ISNUMBER(F324),IF(ABS(F324-INDEX($F$13:$F$512,R324))&gt;0.00000001,1,0),0)))</f>
        <v>0</v>
      </c>
      <c r="U324" s="0" t="n">
        <f>IF(P324="DIRECTA",IF(AND(ISNUMBER(G324),COUNTA(H324:J324)=0),1,0),IF(P324="DIMENSIONES",IF(AND(COUNT(G324:J324)&gt;0,COUNTA(G324:J324)=COUNT(G324:J324)),1,0),0))</f>
        <v>0</v>
      </c>
      <c r="V324" s="0" t="n">
        <f>IF(O324=0,0,IF(COUNTIFS($O$13:O324,O324)=1,1,0))</f>
        <v>0</v>
      </c>
      <c r="W324" s="0">
        <f>IF(V324=1,COUNTIFS($V$13:V324,1),"")</f>
      </c>
      <c r="X324" s="0">
        <f>IF(COUNTA(B324:L324)=0,"",IF(OR(NOT(IF(ISNUMBER($E$6),AND($E$6&gt;=0,$E$6&lt;=6,$E$6=INT($E$6)),FALSE)),O324=0,R324=0,T324&gt;0,AND(P324&lt;&gt;"DIMENSIONES",P324&lt;&gt;"DIRECTA",P324&lt;&gt;"SIN LÍNEAS",P324&lt;&gt;"CABECERA"),AND(OR(P324="DIRECTA",P324="DIMENSIONES"),U324=0),AND(OR(P324="SIN LÍNEAS",P324="CABECERA"),COUNTA(G324:J324)&gt;0)),2,IF(OR(P324="SIN LÍNEAS",Y324&gt;0,Z324&gt;0,AA324&gt;0,SUMPRODUCT(--('LÉEME'!$B$65:$B$86=AC324))&lt;&gt;1),1,0)))</f>
      </c>
      <c r="Y324" s="0" t="n">
        <f>IF(AND(P324="DIMENSIONES",S324="m²",COUNT(H324:J324)=3),1,0)</f>
        <v>0</v>
      </c>
      <c r="Z324" s="0" t="n">
        <f>IF(IF(ISNUMBER($E$6),AND($E$6&gt;=0,$E$6&lt;=6,$E$6=INT($E$6)),FALSE),IF(SUM(IF(ISNUMBER(F324),IF(ABS(F324-ROUND(F324,$E$6))&gt;0.00000001,1,0),0),IF(ISNUMBER(G324),IF(ABS(G324-ROUND(G324,$E$6))&gt;0.00000001,1,0),0),IF(ISNUMBER(H324),IF(ABS(H324-ROUND(H324,$E$6))&gt;0.00000001,1,0),0),IF(ISNUMBER(I324),IF(ABS(I324-ROUND(I324,$E$6))&gt;0.00000001,1,0),0),IF(ISNUMBER(J324),IF(ABS(J324-ROUND(J324,$E$6))&gt;0.00000001,1,0),0),IF(ISNUMBER(M324),IF(ABS(M324-ROUND(M324,$E$6))&gt;0.00000001,1,0),0))&gt;0,1,0),0)</f>
        <v>0</v>
      </c>
      <c r="AA324" s="0" t="n">
        <f>IF(COUNTA(B324:L324)=0,0,IF(OR(AND(ISNUMBER(F324),F324&lt;0),AND(U324=1,OR(SUM(IF(ISNUMBER(G324),IF(G324=0,1,0),0),IF(ISNUMBER(H324),IF(H324=0,1,0),0),IF(ISNUMBER(I324),IF(I324=0,1,0),0),IF(ISNUMBER(J324),IF(J324=0,1,0),0))&gt;0,COUNTIFS(G324:J324,"&lt;0")&gt;0)),AND(P324="DIMENSIONES",U324=1,OR(AND(S324="m",COUNT(H324:J324)&lt;&gt;1),AND(S324="m²",COUNT(H324:J324)&lt;&gt;2,Y324=0),AND(S324="m³",COUNT(H324:J324)&lt;&gt;3),AND(S324="ud",COUNT(H324:J324)&gt;0))),AND(P324="DIRECTA",OR(S324="m",S324="m²",S324="m³"))),1,0))</f>
        <v>0</v>
      </c>
      <c r="AB324" s="0">
        <f>IF(LEN(TRIM(E324&amp;""))&gt;0,E324,IF(R324&gt;0,INDEX($E$13:$E$512,R324),""))</f>
      </c>
      <c r="AC324" s="0">
        <f>UPPER(SUBSTITUTE(SUBSTITUTE(SUBSTITUTE(SUBSTITUTE(SUBSTITUTE(TRIM(AB324),"²","2"),"³","3"),"^",""),".","")," ",""))</f>
      </c>
    </row>
    <row r="325" ht="35" customHeight="1">
      <c r="B325" s="35"/>
      <c r="C325" s="35"/>
      <c r="D325" s="37"/>
      <c r="E325" s="35"/>
      <c r="F325" s="38"/>
      <c r="G325" s="38"/>
      <c r="H325" s="38"/>
      <c r="I325" s="38"/>
      <c r="J325" s="38"/>
      <c r="K325" s="35"/>
      <c r="L325" s="35"/>
      <c r="M325" s="39">
        <f>IF(U325&lt;&gt;1,"",IF(P325="DIRECTA",G325,IF(ISNUMBER(G325),G325,1)*IF(ISNUMBER(H325),H325,1)*IF(ISNUMBER(I325),I325,1)*IF(ISNUMBER(J325),J325,1)))</f>
      </c>
      <c r="N325" s="30">
        <f>IF(COUNTA(B325:L325)=0,"",IF(X325=0,IF(P325="CABECERA","VERDE · Fila descriptiva; la suma usa las líneas del ID","VERDE · Datos numéricos interpretables"),IF(X325=2,"ROJO · ","ÁMBAR · ")&amp;IF(NOT(IF(ISNUMBER($E$6),AND($E$6&gt;=0,$E$6&lt;=6,$E$6=INT($E$6)),FALSE)),"Indicamos entre 0 y 6 decimales en E6. ","")&amp;IF(O325=0,"Falta un ID numérico. ","")&amp;IF(R325=0,"Faltan capítulo, código, unidad o total numérico del ID. ","")&amp;IF(T325&gt;0,"Los datos o el total del ID se contradicen. ","")&amp;IF(AND(P325&lt;&gt;"DIMENSIONES",P325&lt;&gt;"DIRECTA",P325&lt;&gt;"SIN LÍNEAS",P325&lt;&gt;"CABECERA"),"Tipo de fila no reconocido. ","")&amp;IF(AND(OR(P325="SIN LÍNEAS",P325="CABECERA"),COUNTA(G325:J325)&gt;0),"La fila dice que no mide, pero contiene medidas. ","")&amp;IF(AND(OR(P325="DIRECTA",P325="DIMENSIONES"),U325=0),"Línea incompleta o con medidas no numéricas. ","")&amp;IF(P325="SIN LÍNEAS","No constan medidas de esta fila. ","")&amp;IF(Y325&gt;0,"Parece m³: tres dimensiones bajo m². ","")&amp;IF(AND(AB325&lt;&gt;"",SUMPRODUCT(--('LÉEME'!$B$65:$B$86=AC325))&lt;&gt;1),"Revisamos el significado de la unidad. ","")&amp;IF(Z325&gt;0,"Más precisión que los decimales indicados: cotejamos el original. ","")&amp;IF(AA325&gt;0,"Revisamos dimensiones, cantidad directa, ceros o deducción. ","")))</f>
      </c>
      <c r="O325" s="0" t="n">
        <f>IF(ISNUMBER(K325),IF(AND(K325&gt;0,K325=INT(K325),K325&lt;=999999),K325,0),0)</f>
        <v>0</v>
      </c>
      <c r="P325" s="0">
        <f>IF(COUNTA(B325:L325)=0,"",IF(L325="",IF(COUNTA(G325:J325)&gt;0,"DIMENSIONES","SIN LÍNEAS"),UPPER(TRIM(L325))))</f>
      </c>
      <c r="Q325" s="0">
        <f>IF(AND(O325&gt;0,LEN(TRIM(B325&amp;""))&gt;0,LEN(TRIM(C325&amp;""))&gt;0,LEN(TRIM(E325&amp;""))&gt;0,ISNUMBER(F325)),O325,"")</f>
      </c>
      <c r="R325" s="0" t="n">
        <f>IF(O325=0,0,IF(COUNTIFS($Q$13:$Q$512,O325)&gt;0,MATCH(O325,$Q$13:$Q$512,0),0))</f>
        <v>0</v>
      </c>
      <c r="S325" s="0">
        <f>IF(AB325="","",IF(SUMPRODUCT(--('LÉEME'!$B$65:$B$86=AC325))=1,INDEX('LÉEME'!$C$65:$C$86,MATCH(AC325,'LÉEME'!$B$65:$B$86,0)),UPPER(TRIM(AB325))))</f>
      </c>
      <c r="T325" s="0" t="n">
        <f>IF(R325=0,0,IF(OR(AND(LEN(TRIM(B325&amp;""))&gt;0,UPPER(TRIM(B325&amp;""))&lt;&gt;UPPER(TRIM(INDEX($B$13:$B$512,R325)&amp;""))),AND(LEN(TRIM(C325&amp;""))&gt;0,UPPER(TRIM(C325&amp;""))&lt;&gt;UPPER(TRIM(INDEX($C$13:$C$512,R325)&amp;""))),AND(LEN(TRIM(E325&amp;""))&gt;0,S325&lt;&gt;INDEX($S$13:$S$512,R325)),AND(F325&lt;&gt;"",NOT(ISNUMBER(F325)))),1,IF(ISNUMBER(F325),IF(ABS(F325-INDEX($F$13:$F$512,R325))&gt;0.00000001,1,0),0)))</f>
        <v>0</v>
      </c>
      <c r="U325" s="0" t="n">
        <f>IF(P325="DIRECTA",IF(AND(ISNUMBER(G325),COUNTA(H325:J325)=0),1,0),IF(P325="DIMENSIONES",IF(AND(COUNT(G325:J325)&gt;0,COUNTA(G325:J325)=COUNT(G325:J325)),1,0),0))</f>
        <v>0</v>
      </c>
      <c r="V325" s="0" t="n">
        <f>IF(O325=0,0,IF(COUNTIFS($O$13:O325,O325)=1,1,0))</f>
        <v>0</v>
      </c>
      <c r="W325" s="0">
        <f>IF(V325=1,COUNTIFS($V$13:V325,1),"")</f>
      </c>
      <c r="X325" s="0">
        <f>IF(COUNTA(B325:L325)=0,"",IF(OR(NOT(IF(ISNUMBER($E$6),AND($E$6&gt;=0,$E$6&lt;=6,$E$6=INT($E$6)),FALSE)),O325=0,R325=0,T325&gt;0,AND(P325&lt;&gt;"DIMENSIONES",P325&lt;&gt;"DIRECTA",P325&lt;&gt;"SIN LÍNEAS",P325&lt;&gt;"CABECERA"),AND(OR(P325="DIRECTA",P325="DIMENSIONES"),U325=0),AND(OR(P325="SIN LÍNEAS",P325="CABECERA"),COUNTA(G325:J325)&gt;0)),2,IF(OR(P325="SIN LÍNEAS",Y325&gt;0,Z325&gt;0,AA325&gt;0,SUMPRODUCT(--('LÉEME'!$B$65:$B$86=AC325))&lt;&gt;1),1,0)))</f>
      </c>
      <c r="Y325" s="0" t="n">
        <f>IF(AND(P325="DIMENSIONES",S325="m²",COUNT(H325:J325)=3),1,0)</f>
        <v>0</v>
      </c>
      <c r="Z325" s="0" t="n">
        <f>IF(IF(ISNUMBER($E$6),AND($E$6&gt;=0,$E$6&lt;=6,$E$6=INT($E$6)),FALSE),IF(SUM(IF(ISNUMBER(F325),IF(ABS(F325-ROUND(F325,$E$6))&gt;0.00000001,1,0),0),IF(ISNUMBER(G325),IF(ABS(G325-ROUND(G325,$E$6))&gt;0.00000001,1,0),0),IF(ISNUMBER(H325),IF(ABS(H325-ROUND(H325,$E$6))&gt;0.00000001,1,0),0),IF(ISNUMBER(I325),IF(ABS(I325-ROUND(I325,$E$6))&gt;0.00000001,1,0),0),IF(ISNUMBER(J325),IF(ABS(J325-ROUND(J325,$E$6))&gt;0.00000001,1,0),0),IF(ISNUMBER(M325),IF(ABS(M325-ROUND(M325,$E$6))&gt;0.00000001,1,0),0))&gt;0,1,0),0)</f>
        <v>0</v>
      </c>
      <c r="AA325" s="0" t="n">
        <f>IF(COUNTA(B325:L325)=0,0,IF(OR(AND(ISNUMBER(F325),F325&lt;0),AND(U325=1,OR(SUM(IF(ISNUMBER(G325),IF(G325=0,1,0),0),IF(ISNUMBER(H325),IF(H325=0,1,0),0),IF(ISNUMBER(I325),IF(I325=0,1,0),0),IF(ISNUMBER(J325),IF(J325=0,1,0),0))&gt;0,COUNTIFS(G325:J325,"&lt;0")&gt;0)),AND(P325="DIMENSIONES",U325=1,OR(AND(S325="m",COUNT(H325:J325)&lt;&gt;1),AND(S325="m²",COUNT(H325:J325)&lt;&gt;2,Y325=0),AND(S325="m³",COUNT(H325:J325)&lt;&gt;3),AND(S325="ud",COUNT(H325:J325)&gt;0))),AND(P325="DIRECTA",OR(S325="m",S325="m²",S325="m³"))),1,0))</f>
        <v>0</v>
      </c>
      <c r="AB325" s="0">
        <f>IF(LEN(TRIM(E325&amp;""))&gt;0,E325,IF(R325&gt;0,INDEX($E$13:$E$512,R325),""))</f>
      </c>
      <c r="AC325" s="0">
        <f>UPPER(SUBSTITUTE(SUBSTITUTE(SUBSTITUTE(SUBSTITUTE(SUBSTITUTE(TRIM(AB325),"²","2"),"³","3"),"^",""),".","")," ",""))</f>
      </c>
    </row>
    <row r="326" ht="35" customHeight="1">
      <c r="B326" s="35"/>
      <c r="C326" s="35"/>
      <c r="D326" s="37"/>
      <c r="E326" s="35"/>
      <c r="F326" s="38"/>
      <c r="G326" s="38"/>
      <c r="H326" s="38"/>
      <c r="I326" s="38"/>
      <c r="J326" s="38"/>
      <c r="K326" s="35"/>
      <c r="L326" s="35"/>
      <c r="M326" s="39">
        <f>IF(U326&lt;&gt;1,"",IF(P326="DIRECTA",G326,IF(ISNUMBER(G326),G326,1)*IF(ISNUMBER(H326),H326,1)*IF(ISNUMBER(I326),I326,1)*IF(ISNUMBER(J326),J326,1)))</f>
      </c>
      <c r="N326" s="30">
        <f>IF(COUNTA(B326:L326)=0,"",IF(X326=0,IF(P326="CABECERA","VERDE · Fila descriptiva; la suma usa las líneas del ID","VERDE · Datos numéricos interpretables"),IF(X326=2,"ROJO · ","ÁMBAR · ")&amp;IF(NOT(IF(ISNUMBER($E$6),AND($E$6&gt;=0,$E$6&lt;=6,$E$6=INT($E$6)),FALSE)),"Indicamos entre 0 y 6 decimales en E6. ","")&amp;IF(O326=0,"Falta un ID numérico. ","")&amp;IF(R326=0,"Faltan capítulo, código, unidad o total numérico del ID. ","")&amp;IF(T326&gt;0,"Los datos o el total del ID se contradicen. ","")&amp;IF(AND(P326&lt;&gt;"DIMENSIONES",P326&lt;&gt;"DIRECTA",P326&lt;&gt;"SIN LÍNEAS",P326&lt;&gt;"CABECERA"),"Tipo de fila no reconocido. ","")&amp;IF(AND(OR(P326="SIN LÍNEAS",P326="CABECERA"),COUNTA(G326:J326)&gt;0),"La fila dice que no mide, pero contiene medidas. ","")&amp;IF(AND(OR(P326="DIRECTA",P326="DIMENSIONES"),U326=0),"Línea incompleta o con medidas no numéricas. ","")&amp;IF(P326="SIN LÍNEAS","No constan medidas de esta fila. ","")&amp;IF(Y326&gt;0,"Parece m³: tres dimensiones bajo m². ","")&amp;IF(AND(AB326&lt;&gt;"",SUMPRODUCT(--('LÉEME'!$B$65:$B$86=AC326))&lt;&gt;1),"Revisamos el significado de la unidad. ","")&amp;IF(Z326&gt;0,"Más precisión que los decimales indicados: cotejamos el original. ","")&amp;IF(AA326&gt;0,"Revisamos dimensiones, cantidad directa, ceros o deducción. ","")))</f>
      </c>
      <c r="O326" s="0" t="n">
        <f>IF(ISNUMBER(K326),IF(AND(K326&gt;0,K326=INT(K326),K326&lt;=999999),K326,0),0)</f>
        <v>0</v>
      </c>
      <c r="P326" s="0">
        <f>IF(COUNTA(B326:L326)=0,"",IF(L326="",IF(COUNTA(G326:J326)&gt;0,"DIMENSIONES","SIN LÍNEAS"),UPPER(TRIM(L326))))</f>
      </c>
      <c r="Q326" s="0">
        <f>IF(AND(O326&gt;0,LEN(TRIM(B326&amp;""))&gt;0,LEN(TRIM(C326&amp;""))&gt;0,LEN(TRIM(E326&amp;""))&gt;0,ISNUMBER(F326)),O326,"")</f>
      </c>
      <c r="R326" s="0" t="n">
        <f>IF(O326=0,0,IF(COUNTIFS($Q$13:$Q$512,O326)&gt;0,MATCH(O326,$Q$13:$Q$512,0),0))</f>
        <v>0</v>
      </c>
      <c r="S326" s="0">
        <f>IF(AB326="","",IF(SUMPRODUCT(--('LÉEME'!$B$65:$B$86=AC326))=1,INDEX('LÉEME'!$C$65:$C$86,MATCH(AC326,'LÉEME'!$B$65:$B$86,0)),UPPER(TRIM(AB326))))</f>
      </c>
      <c r="T326" s="0" t="n">
        <f>IF(R326=0,0,IF(OR(AND(LEN(TRIM(B326&amp;""))&gt;0,UPPER(TRIM(B326&amp;""))&lt;&gt;UPPER(TRIM(INDEX($B$13:$B$512,R326)&amp;""))),AND(LEN(TRIM(C326&amp;""))&gt;0,UPPER(TRIM(C326&amp;""))&lt;&gt;UPPER(TRIM(INDEX($C$13:$C$512,R326)&amp;""))),AND(LEN(TRIM(E326&amp;""))&gt;0,S326&lt;&gt;INDEX($S$13:$S$512,R326)),AND(F326&lt;&gt;"",NOT(ISNUMBER(F326)))),1,IF(ISNUMBER(F326),IF(ABS(F326-INDEX($F$13:$F$512,R326))&gt;0.00000001,1,0),0)))</f>
        <v>0</v>
      </c>
      <c r="U326" s="0" t="n">
        <f>IF(P326="DIRECTA",IF(AND(ISNUMBER(G326),COUNTA(H326:J326)=0),1,0),IF(P326="DIMENSIONES",IF(AND(COUNT(G326:J326)&gt;0,COUNTA(G326:J326)=COUNT(G326:J326)),1,0),0))</f>
        <v>0</v>
      </c>
      <c r="V326" s="0" t="n">
        <f>IF(O326=0,0,IF(COUNTIFS($O$13:O326,O326)=1,1,0))</f>
        <v>0</v>
      </c>
      <c r="W326" s="0">
        <f>IF(V326=1,COUNTIFS($V$13:V326,1),"")</f>
      </c>
      <c r="X326" s="0">
        <f>IF(COUNTA(B326:L326)=0,"",IF(OR(NOT(IF(ISNUMBER($E$6),AND($E$6&gt;=0,$E$6&lt;=6,$E$6=INT($E$6)),FALSE)),O326=0,R326=0,T326&gt;0,AND(P326&lt;&gt;"DIMENSIONES",P326&lt;&gt;"DIRECTA",P326&lt;&gt;"SIN LÍNEAS",P326&lt;&gt;"CABECERA"),AND(OR(P326="DIRECTA",P326="DIMENSIONES"),U326=0),AND(OR(P326="SIN LÍNEAS",P326="CABECERA"),COUNTA(G326:J326)&gt;0)),2,IF(OR(P326="SIN LÍNEAS",Y326&gt;0,Z326&gt;0,AA326&gt;0,SUMPRODUCT(--('LÉEME'!$B$65:$B$86=AC326))&lt;&gt;1),1,0)))</f>
      </c>
      <c r="Y326" s="0" t="n">
        <f>IF(AND(P326="DIMENSIONES",S326="m²",COUNT(H326:J326)=3),1,0)</f>
        <v>0</v>
      </c>
      <c r="Z326" s="0" t="n">
        <f>IF(IF(ISNUMBER($E$6),AND($E$6&gt;=0,$E$6&lt;=6,$E$6=INT($E$6)),FALSE),IF(SUM(IF(ISNUMBER(F326),IF(ABS(F326-ROUND(F326,$E$6))&gt;0.00000001,1,0),0),IF(ISNUMBER(G326),IF(ABS(G326-ROUND(G326,$E$6))&gt;0.00000001,1,0),0),IF(ISNUMBER(H326),IF(ABS(H326-ROUND(H326,$E$6))&gt;0.00000001,1,0),0),IF(ISNUMBER(I326),IF(ABS(I326-ROUND(I326,$E$6))&gt;0.00000001,1,0),0),IF(ISNUMBER(J326),IF(ABS(J326-ROUND(J326,$E$6))&gt;0.00000001,1,0),0),IF(ISNUMBER(M326),IF(ABS(M326-ROUND(M326,$E$6))&gt;0.00000001,1,0),0))&gt;0,1,0),0)</f>
        <v>0</v>
      </c>
      <c r="AA326" s="0" t="n">
        <f>IF(COUNTA(B326:L326)=0,0,IF(OR(AND(ISNUMBER(F326),F326&lt;0),AND(U326=1,OR(SUM(IF(ISNUMBER(G326),IF(G326=0,1,0),0),IF(ISNUMBER(H326),IF(H326=0,1,0),0),IF(ISNUMBER(I326),IF(I326=0,1,0),0),IF(ISNUMBER(J326),IF(J326=0,1,0),0))&gt;0,COUNTIFS(G326:J326,"&lt;0")&gt;0)),AND(P326="DIMENSIONES",U326=1,OR(AND(S326="m",COUNT(H326:J326)&lt;&gt;1),AND(S326="m²",COUNT(H326:J326)&lt;&gt;2,Y326=0),AND(S326="m³",COUNT(H326:J326)&lt;&gt;3),AND(S326="ud",COUNT(H326:J326)&gt;0))),AND(P326="DIRECTA",OR(S326="m",S326="m²",S326="m³"))),1,0))</f>
        <v>0</v>
      </c>
      <c r="AB326" s="0">
        <f>IF(LEN(TRIM(E326&amp;""))&gt;0,E326,IF(R326&gt;0,INDEX($E$13:$E$512,R326),""))</f>
      </c>
      <c r="AC326" s="0">
        <f>UPPER(SUBSTITUTE(SUBSTITUTE(SUBSTITUTE(SUBSTITUTE(SUBSTITUTE(TRIM(AB326),"²","2"),"³","3"),"^",""),".","")," ",""))</f>
      </c>
    </row>
    <row r="327" ht="35" customHeight="1">
      <c r="B327" s="35"/>
      <c r="C327" s="35"/>
      <c r="D327" s="37"/>
      <c r="E327" s="35"/>
      <c r="F327" s="38"/>
      <c r="G327" s="38"/>
      <c r="H327" s="38"/>
      <c r="I327" s="38"/>
      <c r="J327" s="38"/>
      <c r="K327" s="35"/>
      <c r="L327" s="35"/>
      <c r="M327" s="39">
        <f>IF(U327&lt;&gt;1,"",IF(P327="DIRECTA",G327,IF(ISNUMBER(G327),G327,1)*IF(ISNUMBER(H327),H327,1)*IF(ISNUMBER(I327),I327,1)*IF(ISNUMBER(J327),J327,1)))</f>
      </c>
      <c r="N327" s="30">
        <f>IF(COUNTA(B327:L327)=0,"",IF(X327=0,IF(P327="CABECERA","VERDE · Fila descriptiva; la suma usa las líneas del ID","VERDE · Datos numéricos interpretables"),IF(X327=2,"ROJO · ","ÁMBAR · ")&amp;IF(NOT(IF(ISNUMBER($E$6),AND($E$6&gt;=0,$E$6&lt;=6,$E$6=INT($E$6)),FALSE)),"Indicamos entre 0 y 6 decimales en E6. ","")&amp;IF(O327=0,"Falta un ID numérico. ","")&amp;IF(R327=0,"Faltan capítulo, código, unidad o total numérico del ID. ","")&amp;IF(T327&gt;0,"Los datos o el total del ID se contradicen. ","")&amp;IF(AND(P327&lt;&gt;"DIMENSIONES",P327&lt;&gt;"DIRECTA",P327&lt;&gt;"SIN LÍNEAS",P327&lt;&gt;"CABECERA"),"Tipo de fila no reconocido. ","")&amp;IF(AND(OR(P327="SIN LÍNEAS",P327="CABECERA"),COUNTA(G327:J327)&gt;0),"La fila dice que no mide, pero contiene medidas. ","")&amp;IF(AND(OR(P327="DIRECTA",P327="DIMENSIONES"),U327=0),"Línea incompleta o con medidas no numéricas. ","")&amp;IF(P327="SIN LÍNEAS","No constan medidas de esta fila. ","")&amp;IF(Y327&gt;0,"Parece m³: tres dimensiones bajo m². ","")&amp;IF(AND(AB327&lt;&gt;"",SUMPRODUCT(--('LÉEME'!$B$65:$B$86=AC327))&lt;&gt;1),"Revisamos el significado de la unidad. ","")&amp;IF(Z327&gt;0,"Más precisión que los decimales indicados: cotejamos el original. ","")&amp;IF(AA327&gt;0,"Revisamos dimensiones, cantidad directa, ceros o deducción. ","")))</f>
      </c>
      <c r="O327" s="0" t="n">
        <f>IF(ISNUMBER(K327),IF(AND(K327&gt;0,K327=INT(K327),K327&lt;=999999),K327,0),0)</f>
        <v>0</v>
      </c>
      <c r="P327" s="0">
        <f>IF(COUNTA(B327:L327)=0,"",IF(L327="",IF(COUNTA(G327:J327)&gt;0,"DIMENSIONES","SIN LÍNEAS"),UPPER(TRIM(L327))))</f>
      </c>
      <c r="Q327" s="0">
        <f>IF(AND(O327&gt;0,LEN(TRIM(B327&amp;""))&gt;0,LEN(TRIM(C327&amp;""))&gt;0,LEN(TRIM(E327&amp;""))&gt;0,ISNUMBER(F327)),O327,"")</f>
      </c>
      <c r="R327" s="0" t="n">
        <f>IF(O327=0,0,IF(COUNTIFS($Q$13:$Q$512,O327)&gt;0,MATCH(O327,$Q$13:$Q$512,0),0))</f>
        <v>0</v>
      </c>
      <c r="S327" s="0">
        <f>IF(AB327="","",IF(SUMPRODUCT(--('LÉEME'!$B$65:$B$86=AC327))=1,INDEX('LÉEME'!$C$65:$C$86,MATCH(AC327,'LÉEME'!$B$65:$B$86,0)),UPPER(TRIM(AB327))))</f>
      </c>
      <c r="T327" s="0" t="n">
        <f>IF(R327=0,0,IF(OR(AND(LEN(TRIM(B327&amp;""))&gt;0,UPPER(TRIM(B327&amp;""))&lt;&gt;UPPER(TRIM(INDEX($B$13:$B$512,R327)&amp;""))),AND(LEN(TRIM(C327&amp;""))&gt;0,UPPER(TRIM(C327&amp;""))&lt;&gt;UPPER(TRIM(INDEX($C$13:$C$512,R327)&amp;""))),AND(LEN(TRIM(E327&amp;""))&gt;0,S327&lt;&gt;INDEX($S$13:$S$512,R327)),AND(F327&lt;&gt;"",NOT(ISNUMBER(F327)))),1,IF(ISNUMBER(F327),IF(ABS(F327-INDEX($F$13:$F$512,R327))&gt;0.00000001,1,0),0)))</f>
        <v>0</v>
      </c>
      <c r="U327" s="0" t="n">
        <f>IF(P327="DIRECTA",IF(AND(ISNUMBER(G327),COUNTA(H327:J327)=0),1,0),IF(P327="DIMENSIONES",IF(AND(COUNT(G327:J327)&gt;0,COUNTA(G327:J327)=COUNT(G327:J327)),1,0),0))</f>
        <v>0</v>
      </c>
      <c r="V327" s="0" t="n">
        <f>IF(O327=0,0,IF(COUNTIFS($O$13:O327,O327)=1,1,0))</f>
        <v>0</v>
      </c>
      <c r="W327" s="0">
        <f>IF(V327=1,COUNTIFS($V$13:V327,1),"")</f>
      </c>
      <c r="X327" s="0">
        <f>IF(COUNTA(B327:L327)=0,"",IF(OR(NOT(IF(ISNUMBER($E$6),AND($E$6&gt;=0,$E$6&lt;=6,$E$6=INT($E$6)),FALSE)),O327=0,R327=0,T327&gt;0,AND(P327&lt;&gt;"DIMENSIONES",P327&lt;&gt;"DIRECTA",P327&lt;&gt;"SIN LÍNEAS",P327&lt;&gt;"CABECERA"),AND(OR(P327="DIRECTA",P327="DIMENSIONES"),U327=0),AND(OR(P327="SIN LÍNEAS",P327="CABECERA"),COUNTA(G327:J327)&gt;0)),2,IF(OR(P327="SIN LÍNEAS",Y327&gt;0,Z327&gt;0,AA327&gt;0,SUMPRODUCT(--('LÉEME'!$B$65:$B$86=AC327))&lt;&gt;1),1,0)))</f>
      </c>
      <c r="Y327" s="0" t="n">
        <f>IF(AND(P327="DIMENSIONES",S327="m²",COUNT(H327:J327)=3),1,0)</f>
        <v>0</v>
      </c>
      <c r="Z327" s="0" t="n">
        <f>IF(IF(ISNUMBER($E$6),AND($E$6&gt;=0,$E$6&lt;=6,$E$6=INT($E$6)),FALSE),IF(SUM(IF(ISNUMBER(F327),IF(ABS(F327-ROUND(F327,$E$6))&gt;0.00000001,1,0),0),IF(ISNUMBER(G327),IF(ABS(G327-ROUND(G327,$E$6))&gt;0.00000001,1,0),0),IF(ISNUMBER(H327),IF(ABS(H327-ROUND(H327,$E$6))&gt;0.00000001,1,0),0),IF(ISNUMBER(I327),IF(ABS(I327-ROUND(I327,$E$6))&gt;0.00000001,1,0),0),IF(ISNUMBER(J327),IF(ABS(J327-ROUND(J327,$E$6))&gt;0.00000001,1,0),0),IF(ISNUMBER(M327),IF(ABS(M327-ROUND(M327,$E$6))&gt;0.00000001,1,0),0))&gt;0,1,0),0)</f>
        <v>0</v>
      </c>
      <c r="AA327" s="0" t="n">
        <f>IF(COUNTA(B327:L327)=0,0,IF(OR(AND(ISNUMBER(F327),F327&lt;0),AND(U327=1,OR(SUM(IF(ISNUMBER(G327),IF(G327=0,1,0),0),IF(ISNUMBER(H327),IF(H327=0,1,0),0),IF(ISNUMBER(I327),IF(I327=0,1,0),0),IF(ISNUMBER(J327),IF(J327=0,1,0),0))&gt;0,COUNTIFS(G327:J327,"&lt;0")&gt;0)),AND(P327="DIMENSIONES",U327=1,OR(AND(S327="m",COUNT(H327:J327)&lt;&gt;1),AND(S327="m²",COUNT(H327:J327)&lt;&gt;2,Y327=0),AND(S327="m³",COUNT(H327:J327)&lt;&gt;3),AND(S327="ud",COUNT(H327:J327)&gt;0))),AND(P327="DIRECTA",OR(S327="m",S327="m²",S327="m³"))),1,0))</f>
        <v>0</v>
      </c>
      <c r="AB327" s="0">
        <f>IF(LEN(TRIM(E327&amp;""))&gt;0,E327,IF(R327&gt;0,INDEX($E$13:$E$512,R327),""))</f>
      </c>
      <c r="AC327" s="0">
        <f>UPPER(SUBSTITUTE(SUBSTITUTE(SUBSTITUTE(SUBSTITUTE(SUBSTITUTE(TRIM(AB327),"²","2"),"³","3"),"^",""),".","")," ",""))</f>
      </c>
    </row>
    <row r="328" ht="35" customHeight="1">
      <c r="B328" s="35"/>
      <c r="C328" s="35"/>
      <c r="D328" s="37"/>
      <c r="E328" s="35"/>
      <c r="F328" s="38"/>
      <c r="G328" s="38"/>
      <c r="H328" s="38"/>
      <c r="I328" s="38"/>
      <c r="J328" s="38"/>
      <c r="K328" s="35"/>
      <c r="L328" s="35"/>
      <c r="M328" s="39">
        <f>IF(U328&lt;&gt;1,"",IF(P328="DIRECTA",G328,IF(ISNUMBER(G328),G328,1)*IF(ISNUMBER(H328),H328,1)*IF(ISNUMBER(I328),I328,1)*IF(ISNUMBER(J328),J328,1)))</f>
      </c>
      <c r="N328" s="30">
        <f>IF(COUNTA(B328:L328)=0,"",IF(X328=0,IF(P328="CABECERA","VERDE · Fila descriptiva; la suma usa las líneas del ID","VERDE · Datos numéricos interpretables"),IF(X328=2,"ROJO · ","ÁMBAR · ")&amp;IF(NOT(IF(ISNUMBER($E$6),AND($E$6&gt;=0,$E$6&lt;=6,$E$6=INT($E$6)),FALSE)),"Indicamos entre 0 y 6 decimales en E6. ","")&amp;IF(O328=0,"Falta un ID numérico. ","")&amp;IF(R328=0,"Faltan capítulo, código, unidad o total numérico del ID. ","")&amp;IF(T328&gt;0,"Los datos o el total del ID se contradicen. ","")&amp;IF(AND(P328&lt;&gt;"DIMENSIONES",P328&lt;&gt;"DIRECTA",P328&lt;&gt;"SIN LÍNEAS",P328&lt;&gt;"CABECERA"),"Tipo de fila no reconocido. ","")&amp;IF(AND(OR(P328="SIN LÍNEAS",P328="CABECERA"),COUNTA(G328:J328)&gt;0),"La fila dice que no mide, pero contiene medidas. ","")&amp;IF(AND(OR(P328="DIRECTA",P328="DIMENSIONES"),U328=0),"Línea incompleta o con medidas no numéricas. ","")&amp;IF(P328="SIN LÍNEAS","No constan medidas de esta fila. ","")&amp;IF(Y328&gt;0,"Parece m³: tres dimensiones bajo m². ","")&amp;IF(AND(AB328&lt;&gt;"",SUMPRODUCT(--('LÉEME'!$B$65:$B$86=AC328))&lt;&gt;1),"Revisamos el significado de la unidad. ","")&amp;IF(Z328&gt;0,"Más precisión que los decimales indicados: cotejamos el original. ","")&amp;IF(AA328&gt;0,"Revisamos dimensiones, cantidad directa, ceros o deducción. ","")))</f>
      </c>
      <c r="O328" s="0" t="n">
        <f>IF(ISNUMBER(K328),IF(AND(K328&gt;0,K328=INT(K328),K328&lt;=999999),K328,0),0)</f>
        <v>0</v>
      </c>
      <c r="P328" s="0">
        <f>IF(COUNTA(B328:L328)=0,"",IF(L328="",IF(COUNTA(G328:J328)&gt;0,"DIMENSIONES","SIN LÍNEAS"),UPPER(TRIM(L328))))</f>
      </c>
      <c r="Q328" s="0">
        <f>IF(AND(O328&gt;0,LEN(TRIM(B328&amp;""))&gt;0,LEN(TRIM(C328&amp;""))&gt;0,LEN(TRIM(E328&amp;""))&gt;0,ISNUMBER(F328)),O328,"")</f>
      </c>
      <c r="R328" s="0" t="n">
        <f>IF(O328=0,0,IF(COUNTIFS($Q$13:$Q$512,O328)&gt;0,MATCH(O328,$Q$13:$Q$512,0),0))</f>
        <v>0</v>
      </c>
      <c r="S328" s="0">
        <f>IF(AB328="","",IF(SUMPRODUCT(--('LÉEME'!$B$65:$B$86=AC328))=1,INDEX('LÉEME'!$C$65:$C$86,MATCH(AC328,'LÉEME'!$B$65:$B$86,0)),UPPER(TRIM(AB328))))</f>
      </c>
      <c r="T328" s="0" t="n">
        <f>IF(R328=0,0,IF(OR(AND(LEN(TRIM(B328&amp;""))&gt;0,UPPER(TRIM(B328&amp;""))&lt;&gt;UPPER(TRIM(INDEX($B$13:$B$512,R328)&amp;""))),AND(LEN(TRIM(C328&amp;""))&gt;0,UPPER(TRIM(C328&amp;""))&lt;&gt;UPPER(TRIM(INDEX($C$13:$C$512,R328)&amp;""))),AND(LEN(TRIM(E328&amp;""))&gt;0,S328&lt;&gt;INDEX($S$13:$S$512,R328)),AND(F328&lt;&gt;"",NOT(ISNUMBER(F328)))),1,IF(ISNUMBER(F328),IF(ABS(F328-INDEX($F$13:$F$512,R328))&gt;0.00000001,1,0),0)))</f>
        <v>0</v>
      </c>
      <c r="U328" s="0" t="n">
        <f>IF(P328="DIRECTA",IF(AND(ISNUMBER(G328),COUNTA(H328:J328)=0),1,0),IF(P328="DIMENSIONES",IF(AND(COUNT(G328:J328)&gt;0,COUNTA(G328:J328)=COUNT(G328:J328)),1,0),0))</f>
        <v>0</v>
      </c>
      <c r="V328" s="0" t="n">
        <f>IF(O328=0,0,IF(COUNTIFS($O$13:O328,O328)=1,1,0))</f>
        <v>0</v>
      </c>
      <c r="W328" s="0">
        <f>IF(V328=1,COUNTIFS($V$13:V328,1),"")</f>
      </c>
      <c r="X328" s="0">
        <f>IF(COUNTA(B328:L328)=0,"",IF(OR(NOT(IF(ISNUMBER($E$6),AND($E$6&gt;=0,$E$6&lt;=6,$E$6=INT($E$6)),FALSE)),O328=0,R328=0,T328&gt;0,AND(P328&lt;&gt;"DIMENSIONES",P328&lt;&gt;"DIRECTA",P328&lt;&gt;"SIN LÍNEAS",P328&lt;&gt;"CABECERA"),AND(OR(P328="DIRECTA",P328="DIMENSIONES"),U328=0),AND(OR(P328="SIN LÍNEAS",P328="CABECERA"),COUNTA(G328:J328)&gt;0)),2,IF(OR(P328="SIN LÍNEAS",Y328&gt;0,Z328&gt;0,AA328&gt;0,SUMPRODUCT(--('LÉEME'!$B$65:$B$86=AC328))&lt;&gt;1),1,0)))</f>
      </c>
      <c r="Y328" s="0" t="n">
        <f>IF(AND(P328="DIMENSIONES",S328="m²",COUNT(H328:J328)=3),1,0)</f>
        <v>0</v>
      </c>
      <c r="Z328" s="0" t="n">
        <f>IF(IF(ISNUMBER($E$6),AND($E$6&gt;=0,$E$6&lt;=6,$E$6=INT($E$6)),FALSE),IF(SUM(IF(ISNUMBER(F328),IF(ABS(F328-ROUND(F328,$E$6))&gt;0.00000001,1,0),0),IF(ISNUMBER(G328),IF(ABS(G328-ROUND(G328,$E$6))&gt;0.00000001,1,0),0),IF(ISNUMBER(H328),IF(ABS(H328-ROUND(H328,$E$6))&gt;0.00000001,1,0),0),IF(ISNUMBER(I328),IF(ABS(I328-ROUND(I328,$E$6))&gt;0.00000001,1,0),0),IF(ISNUMBER(J328),IF(ABS(J328-ROUND(J328,$E$6))&gt;0.00000001,1,0),0),IF(ISNUMBER(M328),IF(ABS(M328-ROUND(M328,$E$6))&gt;0.00000001,1,0),0))&gt;0,1,0),0)</f>
        <v>0</v>
      </c>
      <c r="AA328" s="0" t="n">
        <f>IF(COUNTA(B328:L328)=0,0,IF(OR(AND(ISNUMBER(F328),F328&lt;0),AND(U328=1,OR(SUM(IF(ISNUMBER(G328),IF(G328=0,1,0),0),IF(ISNUMBER(H328),IF(H328=0,1,0),0),IF(ISNUMBER(I328),IF(I328=0,1,0),0),IF(ISNUMBER(J328),IF(J328=0,1,0),0))&gt;0,COUNTIFS(G328:J328,"&lt;0")&gt;0)),AND(P328="DIMENSIONES",U328=1,OR(AND(S328="m",COUNT(H328:J328)&lt;&gt;1),AND(S328="m²",COUNT(H328:J328)&lt;&gt;2,Y328=0),AND(S328="m³",COUNT(H328:J328)&lt;&gt;3),AND(S328="ud",COUNT(H328:J328)&gt;0))),AND(P328="DIRECTA",OR(S328="m",S328="m²",S328="m³"))),1,0))</f>
        <v>0</v>
      </c>
      <c r="AB328" s="0">
        <f>IF(LEN(TRIM(E328&amp;""))&gt;0,E328,IF(R328&gt;0,INDEX($E$13:$E$512,R328),""))</f>
      </c>
      <c r="AC328" s="0">
        <f>UPPER(SUBSTITUTE(SUBSTITUTE(SUBSTITUTE(SUBSTITUTE(SUBSTITUTE(TRIM(AB328),"²","2"),"³","3"),"^",""),".","")," ",""))</f>
      </c>
    </row>
    <row r="329" ht="35" customHeight="1">
      <c r="B329" s="35"/>
      <c r="C329" s="35"/>
      <c r="D329" s="37"/>
      <c r="E329" s="35"/>
      <c r="F329" s="38"/>
      <c r="G329" s="38"/>
      <c r="H329" s="38"/>
      <c r="I329" s="38"/>
      <c r="J329" s="38"/>
      <c r="K329" s="35"/>
      <c r="L329" s="35"/>
      <c r="M329" s="39">
        <f>IF(U329&lt;&gt;1,"",IF(P329="DIRECTA",G329,IF(ISNUMBER(G329),G329,1)*IF(ISNUMBER(H329),H329,1)*IF(ISNUMBER(I329),I329,1)*IF(ISNUMBER(J329),J329,1)))</f>
      </c>
      <c r="N329" s="30">
        <f>IF(COUNTA(B329:L329)=0,"",IF(X329=0,IF(P329="CABECERA","VERDE · Fila descriptiva; la suma usa las líneas del ID","VERDE · Datos numéricos interpretables"),IF(X329=2,"ROJO · ","ÁMBAR · ")&amp;IF(NOT(IF(ISNUMBER($E$6),AND($E$6&gt;=0,$E$6&lt;=6,$E$6=INT($E$6)),FALSE)),"Indicamos entre 0 y 6 decimales en E6. ","")&amp;IF(O329=0,"Falta un ID numérico. ","")&amp;IF(R329=0,"Faltan capítulo, código, unidad o total numérico del ID. ","")&amp;IF(T329&gt;0,"Los datos o el total del ID se contradicen. ","")&amp;IF(AND(P329&lt;&gt;"DIMENSIONES",P329&lt;&gt;"DIRECTA",P329&lt;&gt;"SIN LÍNEAS",P329&lt;&gt;"CABECERA"),"Tipo de fila no reconocido. ","")&amp;IF(AND(OR(P329="SIN LÍNEAS",P329="CABECERA"),COUNTA(G329:J329)&gt;0),"La fila dice que no mide, pero contiene medidas. ","")&amp;IF(AND(OR(P329="DIRECTA",P329="DIMENSIONES"),U329=0),"Línea incompleta o con medidas no numéricas. ","")&amp;IF(P329="SIN LÍNEAS","No constan medidas de esta fila. ","")&amp;IF(Y329&gt;0,"Parece m³: tres dimensiones bajo m². ","")&amp;IF(AND(AB329&lt;&gt;"",SUMPRODUCT(--('LÉEME'!$B$65:$B$86=AC329))&lt;&gt;1),"Revisamos el significado de la unidad. ","")&amp;IF(Z329&gt;0,"Más precisión que los decimales indicados: cotejamos el original. ","")&amp;IF(AA329&gt;0,"Revisamos dimensiones, cantidad directa, ceros o deducción. ","")))</f>
      </c>
      <c r="O329" s="0" t="n">
        <f>IF(ISNUMBER(K329),IF(AND(K329&gt;0,K329=INT(K329),K329&lt;=999999),K329,0),0)</f>
        <v>0</v>
      </c>
      <c r="P329" s="0">
        <f>IF(COUNTA(B329:L329)=0,"",IF(L329="",IF(COUNTA(G329:J329)&gt;0,"DIMENSIONES","SIN LÍNEAS"),UPPER(TRIM(L329))))</f>
      </c>
      <c r="Q329" s="0">
        <f>IF(AND(O329&gt;0,LEN(TRIM(B329&amp;""))&gt;0,LEN(TRIM(C329&amp;""))&gt;0,LEN(TRIM(E329&amp;""))&gt;0,ISNUMBER(F329)),O329,"")</f>
      </c>
      <c r="R329" s="0" t="n">
        <f>IF(O329=0,0,IF(COUNTIFS($Q$13:$Q$512,O329)&gt;0,MATCH(O329,$Q$13:$Q$512,0),0))</f>
        <v>0</v>
      </c>
      <c r="S329" s="0">
        <f>IF(AB329="","",IF(SUMPRODUCT(--('LÉEME'!$B$65:$B$86=AC329))=1,INDEX('LÉEME'!$C$65:$C$86,MATCH(AC329,'LÉEME'!$B$65:$B$86,0)),UPPER(TRIM(AB329))))</f>
      </c>
      <c r="T329" s="0" t="n">
        <f>IF(R329=0,0,IF(OR(AND(LEN(TRIM(B329&amp;""))&gt;0,UPPER(TRIM(B329&amp;""))&lt;&gt;UPPER(TRIM(INDEX($B$13:$B$512,R329)&amp;""))),AND(LEN(TRIM(C329&amp;""))&gt;0,UPPER(TRIM(C329&amp;""))&lt;&gt;UPPER(TRIM(INDEX($C$13:$C$512,R329)&amp;""))),AND(LEN(TRIM(E329&amp;""))&gt;0,S329&lt;&gt;INDEX($S$13:$S$512,R329)),AND(F329&lt;&gt;"",NOT(ISNUMBER(F329)))),1,IF(ISNUMBER(F329),IF(ABS(F329-INDEX($F$13:$F$512,R329))&gt;0.00000001,1,0),0)))</f>
        <v>0</v>
      </c>
      <c r="U329" s="0" t="n">
        <f>IF(P329="DIRECTA",IF(AND(ISNUMBER(G329),COUNTA(H329:J329)=0),1,0),IF(P329="DIMENSIONES",IF(AND(COUNT(G329:J329)&gt;0,COUNTA(G329:J329)=COUNT(G329:J329)),1,0),0))</f>
        <v>0</v>
      </c>
      <c r="V329" s="0" t="n">
        <f>IF(O329=0,0,IF(COUNTIFS($O$13:O329,O329)=1,1,0))</f>
        <v>0</v>
      </c>
      <c r="W329" s="0">
        <f>IF(V329=1,COUNTIFS($V$13:V329,1),"")</f>
      </c>
      <c r="X329" s="0">
        <f>IF(COUNTA(B329:L329)=0,"",IF(OR(NOT(IF(ISNUMBER($E$6),AND($E$6&gt;=0,$E$6&lt;=6,$E$6=INT($E$6)),FALSE)),O329=0,R329=0,T329&gt;0,AND(P329&lt;&gt;"DIMENSIONES",P329&lt;&gt;"DIRECTA",P329&lt;&gt;"SIN LÍNEAS",P329&lt;&gt;"CABECERA"),AND(OR(P329="DIRECTA",P329="DIMENSIONES"),U329=0),AND(OR(P329="SIN LÍNEAS",P329="CABECERA"),COUNTA(G329:J329)&gt;0)),2,IF(OR(P329="SIN LÍNEAS",Y329&gt;0,Z329&gt;0,AA329&gt;0,SUMPRODUCT(--('LÉEME'!$B$65:$B$86=AC329))&lt;&gt;1),1,0)))</f>
      </c>
      <c r="Y329" s="0" t="n">
        <f>IF(AND(P329="DIMENSIONES",S329="m²",COUNT(H329:J329)=3),1,0)</f>
        <v>0</v>
      </c>
      <c r="Z329" s="0" t="n">
        <f>IF(IF(ISNUMBER($E$6),AND($E$6&gt;=0,$E$6&lt;=6,$E$6=INT($E$6)),FALSE),IF(SUM(IF(ISNUMBER(F329),IF(ABS(F329-ROUND(F329,$E$6))&gt;0.00000001,1,0),0),IF(ISNUMBER(G329),IF(ABS(G329-ROUND(G329,$E$6))&gt;0.00000001,1,0),0),IF(ISNUMBER(H329),IF(ABS(H329-ROUND(H329,$E$6))&gt;0.00000001,1,0),0),IF(ISNUMBER(I329),IF(ABS(I329-ROUND(I329,$E$6))&gt;0.00000001,1,0),0),IF(ISNUMBER(J329),IF(ABS(J329-ROUND(J329,$E$6))&gt;0.00000001,1,0),0),IF(ISNUMBER(M329),IF(ABS(M329-ROUND(M329,$E$6))&gt;0.00000001,1,0),0))&gt;0,1,0),0)</f>
        <v>0</v>
      </c>
      <c r="AA329" s="0" t="n">
        <f>IF(COUNTA(B329:L329)=0,0,IF(OR(AND(ISNUMBER(F329),F329&lt;0),AND(U329=1,OR(SUM(IF(ISNUMBER(G329),IF(G329=0,1,0),0),IF(ISNUMBER(H329),IF(H329=0,1,0),0),IF(ISNUMBER(I329),IF(I329=0,1,0),0),IF(ISNUMBER(J329),IF(J329=0,1,0),0))&gt;0,COUNTIFS(G329:J329,"&lt;0")&gt;0)),AND(P329="DIMENSIONES",U329=1,OR(AND(S329="m",COUNT(H329:J329)&lt;&gt;1),AND(S329="m²",COUNT(H329:J329)&lt;&gt;2,Y329=0),AND(S329="m³",COUNT(H329:J329)&lt;&gt;3),AND(S329="ud",COUNT(H329:J329)&gt;0))),AND(P329="DIRECTA",OR(S329="m",S329="m²",S329="m³"))),1,0))</f>
        <v>0</v>
      </c>
      <c r="AB329" s="0">
        <f>IF(LEN(TRIM(E329&amp;""))&gt;0,E329,IF(R329&gt;0,INDEX($E$13:$E$512,R329),""))</f>
      </c>
      <c r="AC329" s="0">
        <f>UPPER(SUBSTITUTE(SUBSTITUTE(SUBSTITUTE(SUBSTITUTE(SUBSTITUTE(TRIM(AB329),"²","2"),"³","3"),"^",""),".","")," ",""))</f>
      </c>
    </row>
    <row r="330" ht="35" customHeight="1">
      <c r="B330" s="35"/>
      <c r="C330" s="35"/>
      <c r="D330" s="37"/>
      <c r="E330" s="35"/>
      <c r="F330" s="38"/>
      <c r="G330" s="38"/>
      <c r="H330" s="38"/>
      <c r="I330" s="38"/>
      <c r="J330" s="38"/>
      <c r="K330" s="35"/>
      <c r="L330" s="35"/>
      <c r="M330" s="39">
        <f>IF(U330&lt;&gt;1,"",IF(P330="DIRECTA",G330,IF(ISNUMBER(G330),G330,1)*IF(ISNUMBER(H330),H330,1)*IF(ISNUMBER(I330),I330,1)*IF(ISNUMBER(J330),J330,1)))</f>
      </c>
      <c r="N330" s="30">
        <f>IF(COUNTA(B330:L330)=0,"",IF(X330=0,IF(P330="CABECERA","VERDE · Fila descriptiva; la suma usa las líneas del ID","VERDE · Datos numéricos interpretables"),IF(X330=2,"ROJO · ","ÁMBAR · ")&amp;IF(NOT(IF(ISNUMBER($E$6),AND($E$6&gt;=0,$E$6&lt;=6,$E$6=INT($E$6)),FALSE)),"Indicamos entre 0 y 6 decimales en E6. ","")&amp;IF(O330=0,"Falta un ID numérico. ","")&amp;IF(R330=0,"Faltan capítulo, código, unidad o total numérico del ID. ","")&amp;IF(T330&gt;0,"Los datos o el total del ID se contradicen. ","")&amp;IF(AND(P330&lt;&gt;"DIMENSIONES",P330&lt;&gt;"DIRECTA",P330&lt;&gt;"SIN LÍNEAS",P330&lt;&gt;"CABECERA"),"Tipo de fila no reconocido. ","")&amp;IF(AND(OR(P330="SIN LÍNEAS",P330="CABECERA"),COUNTA(G330:J330)&gt;0),"La fila dice que no mide, pero contiene medidas. ","")&amp;IF(AND(OR(P330="DIRECTA",P330="DIMENSIONES"),U330=0),"Línea incompleta o con medidas no numéricas. ","")&amp;IF(P330="SIN LÍNEAS","No constan medidas de esta fila. ","")&amp;IF(Y330&gt;0,"Parece m³: tres dimensiones bajo m². ","")&amp;IF(AND(AB330&lt;&gt;"",SUMPRODUCT(--('LÉEME'!$B$65:$B$86=AC330))&lt;&gt;1),"Revisamos el significado de la unidad. ","")&amp;IF(Z330&gt;0,"Más precisión que los decimales indicados: cotejamos el original. ","")&amp;IF(AA330&gt;0,"Revisamos dimensiones, cantidad directa, ceros o deducción. ","")))</f>
      </c>
      <c r="O330" s="0" t="n">
        <f>IF(ISNUMBER(K330),IF(AND(K330&gt;0,K330=INT(K330),K330&lt;=999999),K330,0),0)</f>
        <v>0</v>
      </c>
      <c r="P330" s="0">
        <f>IF(COUNTA(B330:L330)=0,"",IF(L330="",IF(COUNTA(G330:J330)&gt;0,"DIMENSIONES","SIN LÍNEAS"),UPPER(TRIM(L330))))</f>
      </c>
      <c r="Q330" s="0">
        <f>IF(AND(O330&gt;0,LEN(TRIM(B330&amp;""))&gt;0,LEN(TRIM(C330&amp;""))&gt;0,LEN(TRIM(E330&amp;""))&gt;0,ISNUMBER(F330)),O330,"")</f>
      </c>
      <c r="R330" s="0" t="n">
        <f>IF(O330=0,0,IF(COUNTIFS($Q$13:$Q$512,O330)&gt;0,MATCH(O330,$Q$13:$Q$512,0),0))</f>
        <v>0</v>
      </c>
      <c r="S330" s="0">
        <f>IF(AB330="","",IF(SUMPRODUCT(--('LÉEME'!$B$65:$B$86=AC330))=1,INDEX('LÉEME'!$C$65:$C$86,MATCH(AC330,'LÉEME'!$B$65:$B$86,0)),UPPER(TRIM(AB330))))</f>
      </c>
      <c r="T330" s="0" t="n">
        <f>IF(R330=0,0,IF(OR(AND(LEN(TRIM(B330&amp;""))&gt;0,UPPER(TRIM(B330&amp;""))&lt;&gt;UPPER(TRIM(INDEX($B$13:$B$512,R330)&amp;""))),AND(LEN(TRIM(C330&amp;""))&gt;0,UPPER(TRIM(C330&amp;""))&lt;&gt;UPPER(TRIM(INDEX($C$13:$C$512,R330)&amp;""))),AND(LEN(TRIM(E330&amp;""))&gt;0,S330&lt;&gt;INDEX($S$13:$S$512,R330)),AND(F330&lt;&gt;"",NOT(ISNUMBER(F330)))),1,IF(ISNUMBER(F330),IF(ABS(F330-INDEX($F$13:$F$512,R330))&gt;0.00000001,1,0),0)))</f>
        <v>0</v>
      </c>
      <c r="U330" s="0" t="n">
        <f>IF(P330="DIRECTA",IF(AND(ISNUMBER(G330),COUNTA(H330:J330)=0),1,0),IF(P330="DIMENSIONES",IF(AND(COUNT(G330:J330)&gt;0,COUNTA(G330:J330)=COUNT(G330:J330)),1,0),0))</f>
        <v>0</v>
      </c>
      <c r="V330" s="0" t="n">
        <f>IF(O330=0,0,IF(COUNTIFS($O$13:O330,O330)=1,1,0))</f>
        <v>0</v>
      </c>
      <c r="W330" s="0">
        <f>IF(V330=1,COUNTIFS($V$13:V330,1),"")</f>
      </c>
      <c r="X330" s="0">
        <f>IF(COUNTA(B330:L330)=0,"",IF(OR(NOT(IF(ISNUMBER($E$6),AND($E$6&gt;=0,$E$6&lt;=6,$E$6=INT($E$6)),FALSE)),O330=0,R330=0,T330&gt;0,AND(P330&lt;&gt;"DIMENSIONES",P330&lt;&gt;"DIRECTA",P330&lt;&gt;"SIN LÍNEAS",P330&lt;&gt;"CABECERA"),AND(OR(P330="DIRECTA",P330="DIMENSIONES"),U330=0),AND(OR(P330="SIN LÍNEAS",P330="CABECERA"),COUNTA(G330:J330)&gt;0)),2,IF(OR(P330="SIN LÍNEAS",Y330&gt;0,Z330&gt;0,AA330&gt;0,SUMPRODUCT(--('LÉEME'!$B$65:$B$86=AC330))&lt;&gt;1),1,0)))</f>
      </c>
      <c r="Y330" s="0" t="n">
        <f>IF(AND(P330="DIMENSIONES",S330="m²",COUNT(H330:J330)=3),1,0)</f>
        <v>0</v>
      </c>
      <c r="Z330" s="0" t="n">
        <f>IF(IF(ISNUMBER($E$6),AND($E$6&gt;=0,$E$6&lt;=6,$E$6=INT($E$6)),FALSE),IF(SUM(IF(ISNUMBER(F330),IF(ABS(F330-ROUND(F330,$E$6))&gt;0.00000001,1,0),0),IF(ISNUMBER(G330),IF(ABS(G330-ROUND(G330,$E$6))&gt;0.00000001,1,0),0),IF(ISNUMBER(H330),IF(ABS(H330-ROUND(H330,$E$6))&gt;0.00000001,1,0),0),IF(ISNUMBER(I330),IF(ABS(I330-ROUND(I330,$E$6))&gt;0.00000001,1,0),0),IF(ISNUMBER(J330),IF(ABS(J330-ROUND(J330,$E$6))&gt;0.00000001,1,0),0),IF(ISNUMBER(M330),IF(ABS(M330-ROUND(M330,$E$6))&gt;0.00000001,1,0),0))&gt;0,1,0),0)</f>
        <v>0</v>
      </c>
      <c r="AA330" s="0" t="n">
        <f>IF(COUNTA(B330:L330)=0,0,IF(OR(AND(ISNUMBER(F330),F330&lt;0),AND(U330=1,OR(SUM(IF(ISNUMBER(G330),IF(G330=0,1,0),0),IF(ISNUMBER(H330),IF(H330=0,1,0),0),IF(ISNUMBER(I330),IF(I330=0,1,0),0),IF(ISNUMBER(J330),IF(J330=0,1,0),0))&gt;0,COUNTIFS(G330:J330,"&lt;0")&gt;0)),AND(P330="DIMENSIONES",U330=1,OR(AND(S330="m",COUNT(H330:J330)&lt;&gt;1),AND(S330="m²",COUNT(H330:J330)&lt;&gt;2,Y330=0),AND(S330="m³",COUNT(H330:J330)&lt;&gt;3),AND(S330="ud",COUNT(H330:J330)&gt;0))),AND(P330="DIRECTA",OR(S330="m",S330="m²",S330="m³"))),1,0))</f>
        <v>0</v>
      </c>
      <c r="AB330" s="0">
        <f>IF(LEN(TRIM(E330&amp;""))&gt;0,E330,IF(R330&gt;0,INDEX($E$13:$E$512,R330),""))</f>
      </c>
      <c r="AC330" s="0">
        <f>UPPER(SUBSTITUTE(SUBSTITUTE(SUBSTITUTE(SUBSTITUTE(SUBSTITUTE(TRIM(AB330),"²","2"),"³","3"),"^",""),".","")," ",""))</f>
      </c>
    </row>
    <row r="331" ht="35" customHeight="1">
      <c r="B331" s="35"/>
      <c r="C331" s="35"/>
      <c r="D331" s="37"/>
      <c r="E331" s="35"/>
      <c r="F331" s="38"/>
      <c r="G331" s="38"/>
      <c r="H331" s="38"/>
      <c r="I331" s="38"/>
      <c r="J331" s="38"/>
      <c r="K331" s="35"/>
      <c r="L331" s="35"/>
      <c r="M331" s="39">
        <f>IF(U331&lt;&gt;1,"",IF(P331="DIRECTA",G331,IF(ISNUMBER(G331),G331,1)*IF(ISNUMBER(H331),H331,1)*IF(ISNUMBER(I331),I331,1)*IF(ISNUMBER(J331),J331,1)))</f>
      </c>
      <c r="N331" s="30">
        <f>IF(COUNTA(B331:L331)=0,"",IF(X331=0,IF(P331="CABECERA","VERDE · Fila descriptiva; la suma usa las líneas del ID","VERDE · Datos numéricos interpretables"),IF(X331=2,"ROJO · ","ÁMBAR · ")&amp;IF(NOT(IF(ISNUMBER($E$6),AND($E$6&gt;=0,$E$6&lt;=6,$E$6=INT($E$6)),FALSE)),"Indicamos entre 0 y 6 decimales en E6. ","")&amp;IF(O331=0,"Falta un ID numérico. ","")&amp;IF(R331=0,"Faltan capítulo, código, unidad o total numérico del ID. ","")&amp;IF(T331&gt;0,"Los datos o el total del ID se contradicen. ","")&amp;IF(AND(P331&lt;&gt;"DIMENSIONES",P331&lt;&gt;"DIRECTA",P331&lt;&gt;"SIN LÍNEAS",P331&lt;&gt;"CABECERA"),"Tipo de fila no reconocido. ","")&amp;IF(AND(OR(P331="SIN LÍNEAS",P331="CABECERA"),COUNTA(G331:J331)&gt;0),"La fila dice que no mide, pero contiene medidas. ","")&amp;IF(AND(OR(P331="DIRECTA",P331="DIMENSIONES"),U331=0),"Línea incompleta o con medidas no numéricas. ","")&amp;IF(P331="SIN LÍNEAS","No constan medidas de esta fila. ","")&amp;IF(Y331&gt;0,"Parece m³: tres dimensiones bajo m². ","")&amp;IF(AND(AB331&lt;&gt;"",SUMPRODUCT(--('LÉEME'!$B$65:$B$86=AC331))&lt;&gt;1),"Revisamos el significado de la unidad. ","")&amp;IF(Z331&gt;0,"Más precisión que los decimales indicados: cotejamos el original. ","")&amp;IF(AA331&gt;0,"Revisamos dimensiones, cantidad directa, ceros o deducción. ","")))</f>
      </c>
      <c r="O331" s="0" t="n">
        <f>IF(ISNUMBER(K331),IF(AND(K331&gt;0,K331=INT(K331),K331&lt;=999999),K331,0),0)</f>
        <v>0</v>
      </c>
      <c r="P331" s="0">
        <f>IF(COUNTA(B331:L331)=0,"",IF(L331="",IF(COUNTA(G331:J331)&gt;0,"DIMENSIONES","SIN LÍNEAS"),UPPER(TRIM(L331))))</f>
      </c>
      <c r="Q331" s="0">
        <f>IF(AND(O331&gt;0,LEN(TRIM(B331&amp;""))&gt;0,LEN(TRIM(C331&amp;""))&gt;0,LEN(TRIM(E331&amp;""))&gt;0,ISNUMBER(F331)),O331,"")</f>
      </c>
      <c r="R331" s="0" t="n">
        <f>IF(O331=0,0,IF(COUNTIFS($Q$13:$Q$512,O331)&gt;0,MATCH(O331,$Q$13:$Q$512,0),0))</f>
        <v>0</v>
      </c>
      <c r="S331" s="0">
        <f>IF(AB331="","",IF(SUMPRODUCT(--('LÉEME'!$B$65:$B$86=AC331))=1,INDEX('LÉEME'!$C$65:$C$86,MATCH(AC331,'LÉEME'!$B$65:$B$86,0)),UPPER(TRIM(AB331))))</f>
      </c>
      <c r="T331" s="0" t="n">
        <f>IF(R331=0,0,IF(OR(AND(LEN(TRIM(B331&amp;""))&gt;0,UPPER(TRIM(B331&amp;""))&lt;&gt;UPPER(TRIM(INDEX($B$13:$B$512,R331)&amp;""))),AND(LEN(TRIM(C331&amp;""))&gt;0,UPPER(TRIM(C331&amp;""))&lt;&gt;UPPER(TRIM(INDEX($C$13:$C$512,R331)&amp;""))),AND(LEN(TRIM(E331&amp;""))&gt;0,S331&lt;&gt;INDEX($S$13:$S$512,R331)),AND(F331&lt;&gt;"",NOT(ISNUMBER(F331)))),1,IF(ISNUMBER(F331),IF(ABS(F331-INDEX($F$13:$F$512,R331))&gt;0.00000001,1,0),0)))</f>
        <v>0</v>
      </c>
      <c r="U331" s="0" t="n">
        <f>IF(P331="DIRECTA",IF(AND(ISNUMBER(G331),COUNTA(H331:J331)=0),1,0),IF(P331="DIMENSIONES",IF(AND(COUNT(G331:J331)&gt;0,COUNTA(G331:J331)=COUNT(G331:J331)),1,0),0))</f>
        <v>0</v>
      </c>
      <c r="V331" s="0" t="n">
        <f>IF(O331=0,0,IF(COUNTIFS($O$13:O331,O331)=1,1,0))</f>
        <v>0</v>
      </c>
      <c r="W331" s="0">
        <f>IF(V331=1,COUNTIFS($V$13:V331,1),"")</f>
      </c>
      <c r="X331" s="0">
        <f>IF(COUNTA(B331:L331)=0,"",IF(OR(NOT(IF(ISNUMBER($E$6),AND($E$6&gt;=0,$E$6&lt;=6,$E$6=INT($E$6)),FALSE)),O331=0,R331=0,T331&gt;0,AND(P331&lt;&gt;"DIMENSIONES",P331&lt;&gt;"DIRECTA",P331&lt;&gt;"SIN LÍNEAS",P331&lt;&gt;"CABECERA"),AND(OR(P331="DIRECTA",P331="DIMENSIONES"),U331=0),AND(OR(P331="SIN LÍNEAS",P331="CABECERA"),COUNTA(G331:J331)&gt;0)),2,IF(OR(P331="SIN LÍNEAS",Y331&gt;0,Z331&gt;0,AA331&gt;0,SUMPRODUCT(--('LÉEME'!$B$65:$B$86=AC331))&lt;&gt;1),1,0)))</f>
      </c>
      <c r="Y331" s="0" t="n">
        <f>IF(AND(P331="DIMENSIONES",S331="m²",COUNT(H331:J331)=3),1,0)</f>
        <v>0</v>
      </c>
      <c r="Z331" s="0" t="n">
        <f>IF(IF(ISNUMBER($E$6),AND($E$6&gt;=0,$E$6&lt;=6,$E$6=INT($E$6)),FALSE),IF(SUM(IF(ISNUMBER(F331),IF(ABS(F331-ROUND(F331,$E$6))&gt;0.00000001,1,0),0),IF(ISNUMBER(G331),IF(ABS(G331-ROUND(G331,$E$6))&gt;0.00000001,1,0),0),IF(ISNUMBER(H331),IF(ABS(H331-ROUND(H331,$E$6))&gt;0.00000001,1,0),0),IF(ISNUMBER(I331),IF(ABS(I331-ROUND(I331,$E$6))&gt;0.00000001,1,0),0),IF(ISNUMBER(J331),IF(ABS(J331-ROUND(J331,$E$6))&gt;0.00000001,1,0),0),IF(ISNUMBER(M331),IF(ABS(M331-ROUND(M331,$E$6))&gt;0.00000001,1,0),0))&gt;0,1,0),0)</f>
        <v>0</v>
      </c>
      <c r="AA331" s="0" t="n">
        <f>IF(COUNTA(B331:L331)=0,0,IF(OR(AND(ISNUMBER(F331),F331&lt;0),AND(U331=1,OR(SUM(IF(ISNUMBER(G331),IF(G331=0,1,0),0),IF(ISNUMBER(H331),IF(H331=0,1,0),0),IF(ISNUMBER(I331),IF(I331=0,1,0),0),IF(ISNUMBER(J331),IF(J331=0,1,0),0))&gt;0,COUNTIFS(G331:J331,"&lt;0")&gt;0)),AND(P331="DIMENSIONES",U331=1,OR(AND(S331="m",COUNT(H331:J331)&lt;&gt;1),AND(S331="m²",COUNT(H331:J331)&lt;&gt;2,Y331=0),AND(S331="m³",COUNT(H331:J331)&lt;&gt;3),AND(S331="ud",COUNT(H331:J331)&gt;0))),AND(P331="DIRECTA",OR(S331="m",S331="m²",S331="m³"))),1,0))</f>
        <v>0</v>
      </c>
      <c r="AB331" s="0">
        <f>IF(LEN(TRIM(E331&amp;""))&gt;0,E331,IF(R331&gt;0,INDEX($E$13:$E$512,R331),""))</f>
      </c>
      <c r="AC331" s="0">
        <f>UPPER(SUBSTITUTE(SUBSTITUTE(SUBSTITUTE(SUBSTITUTE(SUBSTITUTE(TRIM(AB331),"²","2"),"³","3"),"^",""),".","")," ",""))</f>
      </c>
    </row>
    <row r="332" ht="35" customHeight="1">
      <c r="B332" s="35"/>
      <c r="C332" s="35"/>
      <c r="D332" s="37"/>
      <c r="E332" s="35"/>
      <c r="F332" s="38"/>
      <c r="G332" s="38"/>
      <c r="H332" s="38"/>
      <c r="I332" s="38"/>
      <c r="J332" s="38"/>
      <c r="K332" s="35"/>
      <c r="L332" s="35"/>
      <c r="M332" s="39">
        <f>IF(U332&lt;&gt;1,"",IF(P332="DIRECTA",G332,IF(ISNUMBER(G332),G332,1)*IF(ISNUMBER(H332),H332,1)*IF(ISNUMBER(I332),I332,1)*IF(ISNUMBER(J332),J332,1)))</f>
      </c>
      <c r="N332" s="30">
        <f>IF(COUNTA(B332:L332)=0,"",IF(X332=0,IF(P332="CABECERA","VERDE · Fila descriptiva; la suma usa las líneas del ID","VERDE · Datos numéricos interpretables"),IF(X332=2,"ROJO · ","ÁMBAR · ")&amp;IF(NOT(IF(ISNUMBER($E$6),AND($E$6&gt;=0,$E$6&lt;=6,$E$6=INT($E$6)),FALSE)),"Indicamos entre 0 y 6 decimales en E6. ","")&amp;IF(O332=0,"Falta un ID numérico. ","")&amp;IF(R332=0,"Faltan capítulo, código, unidad o total numérico del ID. ","")&amp;IF(T332&gt;0,"Los datos o el total del ID se contradicen. ","")&amp;IF(AND(P332&lt;&gt;"DIMENSIONES",P332&lt;&gt;"DIRECTA",P332&lt;&gt;"SIN LÍNEAS",P332&lt;&gt;"CABECERA"),"Tipo de fila no reconocido. ","")&amp;IF(AND(OR(P332="SIN LÍNEAS",P332="CABECERA"),COUNTA(G332:J332)&gt;0),"La fila dice que no mide, pero contiene medidas. ","")&amp;IF(AND(OR(P332="DIRECTA",P332="DIMENSIONES"),U332=0),"Línea incompleta o con medidas no numéricas. ","")&amp;IF(P332="SIN LÍNEAS","No constan medidas de esta fila. ","")&amp;IF(Y332&gt;0,"Parece m³: tres dimensiones bajo m². ","")&amp;IF(AND(AB332&lt;&gt;"",SUMPRODUCT(--('LÉEME'!$B$65:$B$86=AC332))&lt;&gt;1),"Revisamos el significado de la unidad. ","")&amp;IF(Z332&gt;0,"Más precisión que los decimales indicados: cotejamos el original. ","")&amp;IF(AA332&gt;0,"Revisamos dimensiones, cantidad directa, ceros o deducción. ","")))</f>
      </c>
      <c r="O332" s="0" t="n">
        <f>IF(ISNUMBER(K332),IF(AND(K332&gt;0,K332=INT(K332),K332&lt;=999999),K332,0),0)</f>
        <v>0</v>
      </c>
      <c r="P332" s="0">
        <f>IF(COUNTA(B332:L332)=0,"",IF(L332="",IF(COUNTA(G332:J332)&gt;0,"DIMENSIONES","SIN LÍNEAS"),UPPER(TRIM(L332))))</f>
      </c>
      <c r="Q332" s="0">
        <f>IF(AND(O332&gt;0,LEN(TRIM(B332&amp;""))&gt;0,LEN(TRIM(C332&amp;""))&gt;0,LEN(TRIM(E332&amp;""))&gt;0,ISNUMBER(F332)),O332,"")</f>
      </c>
      <c r="R332" s="0" t="n">
        <f>IF(O332=0,0,IF(COUNTIFS($Q$13:$Q$512,O332)&gt;0,MATCH(O332,$Q$13:$Q$512,0),0))</f>
        <v>0</v>
      </c>
      <c r="S332" s="0">
        <f>IF(AB332="","",IF(SUMPRODUCT(--('LÉEME'!$B$65:$B$86=AC332))=1,INDEX('LÉEME'!$C$65:$C$86,MATCH(AC332,'LÉEME'!$B$65:$B$86,0)),UPPER(TRIM(AB332))))</f>
      </c>
      <c r="T332" s="0" t="n">
        <f>IF(R332=0,0,IF(OR(AND(LEN(TRIM(B332&amp;""))&gt;0,UPPER(TRIM(B332&amp;""))&lt;&gt;UPPER(TRIM(INDEX($B$13:$B$512,R332)&amp;""))),AND(LEN(TRIM(C332&amp;""))&gt;0,UPPER(TRIM(C332&amp;""))&lt;&gt;UPPER(TRIM(INDEX($C$13:$C$512,R332)&amp;""))),AND(LEN(TRIM(E332&amp;""))&gt;0,S332&lt;&gt;INDEX($S$13:$S$512,R332)),AND(F332&lt;&gt;"",NOT(ISNUMBER(F332)))),1,IF(ISNUMBER(F332),IF(ABS(F332-INDEX($F$13:$F$512,R332))&gt;0.00000001,1,0),0)))</f>
        <v>0</v>
      </c>
      <c r="U332" s="0" t="n">
        <f>IF(P332="DIRECTA",IF(AND(ISNUMBER(G332),COUNTA(H332:J332)=0),1,0),IF(P332="DIMENSIONES",IF(AND(COUNT(G332:J332)&gt;0,COUNTA(G332:J332)=COUNT(G332:J332)),1,0),0))</f>
        <v>0</v>
      </c>
      <c r="V332" s="0" t="n">
        <f>IF(O332=0,0,IF(COUNTIFS($O$13:O332,O332)=1,1,0))</f>
        <v>0</v>
      </c>
      <c r="W332" s="0">
        <f>IF(V332=1,COUNTIFS($V$13:V332,1),"")</f>
      </c>
      <c r="X332" s="0">
        <f>IF(COUNTA(B332:L332)=0,"",IF(OR(NOT(IF(ISNUMBER($E$6),AND($E$6&gt;=0,$E$6&lt;=6,$E$6=INT($E$6)),FALSE)),O332=0,R332=0,T332&gt;0,AND(P332&lt;&gt;"DIMENSIONES",P332&lt;&gt;"DIRECTA",P332&lt;&gt;"SIN LÍNEAS",P332&lt;&gt;"CABECERA"),AND(OR(P332="DIRECTA",P332="DIMENSIONES"),U332=0),AND(OR(P332="SIN LÍNEAS",P332="CABECERA"),COUNTA(G332:J332)&gt;0)),2,IF(OR(P332="SIN LÍNEAS",Y332&gt;0,Z332&gt;0,AA332&gt;0,SUMPRODUCT(--('LÉEME'!$B$65:$B$86=AC332))&lt;&gt;1),1,0)))</f>
      </c>
      <c r="Y332" s="0" t="n">
        <f>IF(AND(P332="DIMENSIONES",S332="m²",COUNT(H332:J332)=3),1,0)</f>
        <v>0</v>
      </c>
      <c r="Z332" s="0" t="n">
        <f>IF(IF(ISNUMBER($E$6),AND($E$6&gt;=0,$E$6&lt;=6,$E$6=INT($E$6)),FALSE),IF(SUM(IF(ISNUMBER(F332),IF(ABS(F332-ROUND(F332,$E$6))&gt;0.00000001,1,0),0),IF(ISNUMBER(G332),IF(ABS(G332-ROUND(G332,$E$6))&gt;0.00000001,1,0),0),IF(ISNUMBER(H332),IF(ABS(H332-ROUND(H332,$E$6))&gt;0.00000001,1,0),0),IF(ISNUMBER(I332),IF(ABS(I332-ROUND(I332,$E$6))&gt;0.00000001,1,0),0),IF(ISNUMBER(J332),IF(ABS(J332-ROUND(J332,$E$6))&gt;0.00000001,1,0),0),IF(ISNUMBER(M332),IF(ABS(M332-ROUND(M332,$E$6))&gt;0.00000001,1,0),0))&gt;0,1,0),0)</f>
        <v>0</v>
      </c>
      <c r="AA332" s="0" t="n">
        <f>IF(COUNTA(B332:L332)=0,0,IF(OR(AND(ISNUMBER(F332),F332&lt;0),AND(U332=1,OR(SUM(IF(ISNUMBER(G332),IF(G332=0,1,0),0),IF(ISNUMBER(H332),IF(H332=0,1,0),0),IF(ISNUMBER(I332),IF(I332=0,1,0),0),IF(ISNUMBER(J332),IF(J332=0,1,0),0))&gt;0,COUNTIFS(G332:J332,"&lt;0")&gt;0)),AND(P332="DIMENSIONES",U332=1,OR(AND(S332="m",COUNT(H332:J332)&lt;&gt;1),AND(S332="m²",COUNT(H332:J332)&lt;&gt;2,Y332=0),AND(S332="m³",COUNT(H332:J332)&lt;&gt;3),AND(S332="ud",COUNT(H332:J332)&gt;0))),AND(P332="DIRECTA",OR(S332="m",S332="m²",S332="m³"))),1,0))</f>
        <v>0</v>
      </c>
      <c r="AB332" s="0">
        <f>IF(LEN(TRIM(E332&amp;""))&gt;0,E332,IF(R332&gt;0,INDEX($E$13:$E$512,R332),""))</f>
      </c>
      <c r="AC332" s="0">
        <f>UPPER(SUBSTITUTE(SUBSTITUTE(SUBSTITUTE(SUBSTITUTE(SUBSTITUTE(TRIM(AB332),"²","2"),"³","3"),"^",""),".","")," ",""))</f>
      </c>
    </row>
    <row r="333" ht="35" customHeight="1">
      <c r="B333" s="35"/>
      <c r="C333" s="35"/>
      <c r="D333" s="37"/>
      <c r="E333" s="35"/>
      <c r="F333" s="38"/>
      <c r="G333" s="38"/>
      <c r="H333" s="38"/>
      <c r="I333" s="38"/>
      <c r="J333" s="38"/>
      <c r="K333" s="35"/>
      <c r="L333" s="35"/>
      <c r="M333" s="39">
        <f>IF(U333&lt;&gt;1,"",IF(P333="DIRECTA",G333,IF(ISNUMBER(G333),G333,1)*IF(ISNUMBER(H333),H333,1)*IF(ISNUMBER(I333),I333,1)*IF(ISNUMBER(J333),J333,1)))</f>
      </c>
      <c r="N333" s="30">
        <f>IF(COUNTA(B333:L333)=0,"",IF(X333=0,IF(P333="CABECERA","VERDE · Fila descriptiva; la suma usa las líneas del ID","VERDE · Datos numéricos interpretables"),IF(X333=2,"ROJO · ","ÁMBAR · ")&amp;IF(NOT(IF(ISNUMBER($E$6),AND($E$6&gt;=0,$E$6&lt;=6,$E$6=INT($E$6)),FALSE)),"Indicamos entre 0 y 6 decimales en E6. ","")&amp;IF(O333=0,"Falta un ID numérico. ","")&amp;IF(R333=0,"Faltan capítulo, código, unidad o total numérico del ID. ","")&amp;IF(T333&gt;0,"Los datos o el total del ID se contradicen. ","")&amp;IF(AND(P333&lt;&gt;"DIMENSIONES",P333&lt;&gt;"DIRECTA",P333&lt;&gt;"SIN LÍNEAS",P333&lt;&gt;"CABECERA"),"Tipo de fila no reconocido. ","")&amp;IF(AND(OR(P333="SIN LÍNEAS",P333="CABECERA"),COUNTA(G333:J333)&gt;0),"La fila dice que no mide, pero contiene medidas. ","")&amp;IF(AND(OR(P333="DIRECTA",P333="DIMENSIONES"),U333=0),"Línea incompleta o con medidas no numéricas. ","")&amp;IF(P333="SIN LÍNEAS","No constan medidas de esta fila. ","")&amp;IF(Y333&gt;0,"Parece m³: tres dimensiones bajo m². ","")&amp;IF(AND(AB333&lt;&gt;"",SUMPRODUCT(--('LÉEME'!$B$65:$B$86=AC333))&lt;&gt;1),"Revisamos el significado de la unidad. ","")&amp;IF(Z333&gt;0,"Más precisión que los decimales indicados: cotejamos el original. ","")&amp;IF(AA333&gt;0,"Revisamos dimensiones, cantidad directa, ceros o deducción. ","")))</f>
      </c>
      <c r="O333" s="0" t="n">
        <f>IF(ISNUMBER(K333),IF(AND(K333&gt;0,K333=INT(K333),K333&lt;=999999),K333,0),0)</f>
        <v>0</v>
      </c>
      <c r="P333" s="0">
        <f>IF(COUNTA(B333:L333)=0,"",IF(L333="",IF(COUNTA(G333:J333)&gt;0,"DIMENSIONES","SIN LÍNEAS"),UPPER(TRIM(L333))))</f>
      </c>
      <c r="Q333" s="0">
        <f>IF(AND(O333&gt;0,LEN(TRIM(B333&amp;""))&gt;0,LEN(TRIM(C333&amp;""))&gt;0,LEN(TRIM(E333&amp;""))&gt;0,ISNUMBER(F333)),O333,"")</f>
      </c>
      <c r="R333" s="0" t="n">
        <f>IF(O333=0,0,IF(COUNTIFS($Q$13:$Q$512,O333)&gt;0,MATCH(O333,$Q$13:$Q$512,0),0))</f>
        <v>0</v>
      </c>
      <c r="S333" s="0">
        <f>IF(AB333="","",IF(SUMPRODUCT(--('LÉEME'!$B$65:$B$86=AC333))=1,INDEX('LÉEME'!$C$65:$C$86,MATCH(AC333,'LÉEME'!$B$65:$B$86,0)),UPPER(TRIM(AB333))))</f>
      </c>
      <c r="T333" s="0" t="n">
        <f>IF(R333=0,0,IF(OR(AND(LEN(TRIM(B333&amp;""))&gt;0,UPPER(TRIM(B333&amp;""))&lt;&gt;UPPER(TRIM(INDEX($B$13:$B$512,R333)&amp;""))),AND(LEN(TRIM(C333&amp;""))&gt;0,UPPER(TRIM(C333&amp;""))&lt;&gt;UPPER(TRIM(INDEX($C$13:$C$512,R333)&amp;""))),AND(LEN(TRIM(E333&amp;""))&gt;0,S333&lt;&gt;INDEX($S$13:$S$512,R333)),AND(F333&lt;&gt;"",NOT(ISNUMBER(F333)))),1,IF(ISNUMBER(F333),IF(ABS(F333-INDEX($F$13:$F$512,R333))&gt;0.00000001,1,0),0)))</f>
        <v>0</v>
      </c>
      <c r="U333" s="0" t="n">
        <f>IF(P333="DIRECTA",IF(AND(ISNUMBER(G333),COUNTA(H333:J333)=0),1,0),IF(P333="DIMENSIONES",IF(AND(COUNT(G333:J333)&gt;0,COUNTA(G333:J333)=COUNT(G333:J333)),1,0),0))</f>
        <v>0</v>
      </c>
      <c r="V333" s="0" t="n">
        <f>IF(O333=0,0,IF(COUNTIFS($O$13:O333,O333)=1,1,0))</f>
        <v>0</v>
      </c>
      <c r="W333" s="0">
        <f>IF(V333=1,COUNTIFS($V$13:V333,1),"")</f>
      </c>
      <c r="X333" s="0">
        <f>IF(COUNTA(B333:L333)=0,"",IF(OR(NOT(IF(ISNUMBER($E$6),AND($E$6&gt;=0,$E$6&lt;=6,$E$6=INT($E$6)),FALSE)),O333=0,R333=0,T333&gt;0,AND(P333&lt;&gt;"DIMENSIONES",P333&lt;&gt;"DIRECTA",P333&lt;&gt;"SIN LÍNEAS",P333&lt;&gt;"CABECERA"),AND(OR(P333="DIRECTA",P333="DIMENSIONES"),U333=0),AND(OR(P333="SIN LÍNEAS",P333="CABECERA"),COUNTA(G333:J333)&gt;0)),2,IF(OR(P333="SIN LÍNEAS",Y333&gt;0,Z333&gt;0,AA333&gt;0,SUMPRODUCT(--('LÉEME'!$B$65:$B$86=AC333))&lt;&gt;1),1,0)))</f>
      </c>
      <c r="Y333" s="0" t="n">
        <f>IF(AND(P333="DIMENSIONES",S333="m²",COUNT(H333:J333)=3),1,0)</f>
        <v>0</v>
      </c>
      <c r="Z333" s="0" t="n">
        <f>IF(IF(ISNUMBER($E$6),AND($E$6&gt;=0,$E$6&lt;=6,$E$6=INT($E$6)),FALSE),IF(SUM(IF(ISNUMBER(F333),IF(ABS(F333-ROUND(F333,$E$6))&gt;0.00000001,1,0),0),IF(ISNUMBER(G333),IF(ABS(G333-ROUND(G333,$E$6))&gt;0.00000001,1,0),0),IF(ISNUMBER(H333),IF(ABS(H333-ROUND(H333,$E$6))&gt;0.00000001,1,0),0),IF(ISNUMBER(I333),IF(ABS(I333-ROUND(I333,$E$6))&gt;0.00000001,1,0),0),IF(ISNUMBER(J333),IF(ABS(J333-ROUND(J333,$E$6))&gt;0.00000001,1,0),0),IF(ISNUMBER(M333),IF(ABS(M333-ROUND(M333,$E$6))&gt;0.00000001,1,0),0))&gt;0,1,0),0)</f>
        <v>0</v>
      </c>
      <c r="AA333" s="0" t="n">
        <f>IF(COUNTA(B333:L333)=0,0,IF(OR(AND(ISNUMBER(F333),F333&lt;0),AND(U333=1,OR(SUM(IF(ISNUMBER(G333),IF(G333=0,1,0),0),IF(ISNUMBER(H333),IF(H333=0,1,0),0),IF(ISNUMBER(I333),IF(I333=0,1,0),0),IF(ISNUMBER(J333),IF(J333=0,1,0),0))&gt;0,COUNTIFS(G333:J333,"&lt;0")&gt;0)),AND(P333="DIMENSIONES",U333=1,OR(AND(S333="m",COUNT(H333:J333)&lt;&gt;1),AND(S333="m²",COUNT(H333:J333)&lt;&gt;2,Y333=0),AND(S333="m³",COUNT(H333:J333)&lt;&gt;3),AND(S333="ud",COUNT(H333:J333)&gt;0))),AND(P333="DIRECTA",OR(S333="m",S333="m²",S333="m³"))),1,0))</f>
        <v>0</v>
      </c>
      <c r="AB333" s="0">
        <f>IF(LEN(TRIM(E333&amp;""))&gt;0,E333,IF(R333&gt;0,INDEX($E$13:$E$512,R333),""))</f>
      </c>
      <c r="AC333" s="0">
        <f>UPPER(SUBSTITUTE(SUBSTITUTE(SUBSTITUTE(SUBSTITUTE(SUBSTITUTE(TRIM(AB333),"²","2"),"³","3"),"^",""),".","")," ",""))</f>
      </c>
    </row>
    <row r="334" ht="35" customHeight="1">
      <c r="B334" s="35"/>
      <c r="C334" s="35"/>
      <c r="D334" s="37"/>
      <c r="E334" s="35"/>
      <c r="F334" s="38"/>
      <c r="G334" s="38"/>
      <c r="H334" s="38"/>
      <c r="I334" s="38"/>
      <c r="J334" s="38"/>
      <c r="K334" s="35"/>
      <c r="L334" s="35"/>
      <c r="M334" s="39">
        <f>IF(U334&lt;&gt;1,"",IF(P334="DIRECTA",G334,IF(ISNUMBER(G334),G334,1)*IF(ISNUMBER(H334),H334,1)*IF(ISNUMBER(I334),I334,1)*IF(ISNUMBER(J334),J334,1)))</f>
      </c>
      <c r="N334" s="30">
        <f>IF(COUNTA(B334:L334)=0,"",IF(X334=0,IF(P334="CABECERA","VERDE · Fila descriptiva; la suma usa las líneas del ID","VERDE · Datos numéricos interpretables"),IF(X334=2,"ROJO · ","ÁMBAR · ")&amp;IF(NOT(IF(ISNUMBER($E$6),AND($E$6&gt;=0,$E$6&lt;=6,$E$6=INT($E$6)),FALSE)),"Indicamos entre 0 y 6 decimales en E6. ","")&amp;IF(O334=0,"Falta un ID numérico. ","")&amp;IF(R334=0,"Faltan capítulo, código, unidad o total numérico del ID. ","")&amp;IF(T334&gt;0,"Los datos o el total del ID se contradicen. ","")&amp;IF(AND(P334&lt;&gt;"DIMENSIONES",P334&lt;&gt;"DIRECTA",P334&lt;&gt;"SIN LÍNEAS",P334&lt;&gt;"CABECERA"),"Tipo de fila no reconocido. ","")&amp;IF(AND(OR(P334="SIN LÍNEAS",P334="CABECERA"),COUNTA(G334:J334)&gt;0),"La fila dice que no mide, pero contiene medidas. ","")&amp;IF(AND(OR(P334="DIRECTA",P334="DIMENSIONES"),U334=0),"Línea incompleta o con medidas no numéricas. ","")&amp;IF(P334="SIN LÍNEAS","No constan medidas de esta fila. ","")&amp;IF(Y334&gt;0,"Parece m³: tres dimensiones bajo m². ","")&amp;IF(AND(AB334&lt;&gt;"",SUMPRODUCT(--('LÉEME'!$B$65:$B$86=AC334))&lt;&gt;1),"Revisamos el significado de la unidad. ","")&amp;IF(Z334&gt;0,"Más precisión que los decimales indicados: cotejamos el original. ","")&amp;IF(AA334&gt;0,"Revisamos dimensiones, cantidad directa, ceros o deducción. ","")))</f>
      </c>
      <c r="O334" s="0" t="n">
        <f>IF(ISNUMBER(K334),IF(AND(K334&gt;0,K334=INT(K334),K334&lt;=999999),K334,0),0)</f>
        <v>0</v>
      </c>
      <c r="P334" s="0">
        <f>IF(COUNTA(B334:L334)=0,"",IF(L334="",IF(COUNTA(G334:J334)&gt;0,"DIMENSIONES","SIN LÍNEAS"),UPPER(TRIM(L334))))</f>
      </c>
      <c r="Q334" s="0">
        <f>IF(AND(O334&gt;0,LEN(TRIM(B334&amp;""))&gt;0,LEN(TRIM(C334&amp;""))&gt;0,LEN(TRIM(E334&amp;""))&gt;0,ISNUMBER(F334)),O334,"")</f>
      </c>
      <c r="R334" s="0" t="n">
        <f>IF(O334=0,0,IF(COUNTIFS($Q$13:$Q$512,O334)&gt;0,MATCH(O334,$Q$13:$Q$512,0),0))</f>
        <v>0</v>
      </c>
      <c r="S334" s="0">
        <f>IF(AB334="","",IF(SUMPRODUCT(--('LÉEME'!$B$65:$B$86=AC334))=1,INDEX('LÉEME'!$C$65:$C$86,MATCH(AC334,'LÉEME'!$B$65:$B$86,0)),UPPER(TRIM(AB334))))</f>
      </c>
      <c r="T334" s="0" t="n">
        <f>IF(R334=0,0,IF(OR(AND(LEN(TRIM(B334&amp;""))&gt;0,UPPER(TRIM(B334&amp;""))&lt;&gt;UPPER(TRIM(INDEX($B$13:$B$512,R334)&amp;""))),AND(LEN(TRIM(C334&amp;""))&gt;0,UPPER(TRIM(C334&amp;""))&lt;&gt;UPPER(TRIM(INDEX($C$13:$C$512,R334)&amp;""))),AND(LEN(TRIM(E334&amp;""))&gt;0,S334&lt;&gt;INDEX($S$13:$S$512,R334)),AND(F334&lt;&gt;"",NOT(ISNUMBER(F334)))),1,IF(ISNUMBER(F334),IF(ABS(F334-INDEX($F$13:$F$512,R334))&gt;0.00000001,1,0),0)))</f>
        <v>0</v>
      </c>
      <c r="U334" s="0" t="n">
        <f>IF(P334="DIRECTA",IF(AND(ISNUMBER(G334),COUNTA(H334:J334)=0),1,0),IF(P334="DIMENSIONES",IF(AND(COUNT(G334:J334)&gt;0,COUNTA(G334:J334)=COUNT(G334:J334)),1,0),0))</f>
        <v>0</v>
      </c>
      <c r="V334" s="0" t="n">
        <f>IF(O334=0,0,IF(COUNTIFS($O$13:O334,O334)=1,1,0))</f>
        <v>0</v>
      </c>
      <c r="W334" s="0">
        <f>IF(V334=1,COUNTIFS($V$13:V334,1),"")</f>
      </c>
      <c r="X334" s="0">
        <f>IF(COUNTA(B334:L334)=0,"",IF(OR(NOT(IF(ISNUMBER($E$6),AND($E$6&gt;=0,$E$6&lt;=6,$E$6=INT($E$6)),FALSE)),O334=0,R334=0,T334&gt;0,AND(P334&lt;&gt;"DIMENSIONES",P334&lt;&gt;"DIRECTA",P334&lt;&gt;"SIN LÍNEAS",P334&lt;&gt;"CABECERA"),AND(OR(P334="DIRECTA",P334="DIMENSIONES"),U334=0),AND(OR(P334="SIN LÍNEAS",P334="CABECERA"),COUNTA(G334:J334)&gt;0)),2,IF(OR(P334="SIN LÍNEAS",Y334&gt;0,Z334&gt;0,AA334&gt;0,SUMPRODUCT(--('LÉEME'!$B$65:$B$86=AC334))&lt;&gt;1),1,0)))</f>
      </c>
      <c r="Y334" s="0" t="n">
        <f>IF(AND(P334="DIMENSIONES",S334="m²",COUNT(H334:J334)=3),1,0)</f>
        <v>0</v>
      </c>
      <c r="Z334" s="0" t="n">
        <f>IF(IF(ISNUMBER($E$6),AND($E$6&gt;=0,$E$6&lt;=6,$E$6=INT($E$6)),FALSE),IF(SUM(IF(ISNUMBER(F334),IF(ABS(F334-ROUND(F334,$E$6))&gt;0.00000001,1,0),0),IF(ISNUMBER(G334),IF(ABS(G334-ROUND(G334,$E$6))&gt;0.00000001,1,0),0),IF(ISNUMBER(H334),IF(ABS(H334-ROUND(H334,$E$6))&gt;0.00000001,1,0),0),IF(ISNUMBER(I334),IF(ABS(I334-ROUND(I334,$E$6))&gt;0.00000001,1,0),0),IF(ISNUMBER(J334),IF(ABS(J334-ROUND(J334,$E$6))&gt;0.00000001,1,0),0),IF(ISNUMBER(M334),IF(ABS(M334-ROUND(M334,$E$6))&gt;0.00000001,1,0),0))&gt;0,1,0),0)</f>
        <v>0</v>
      </c>
      <c r="AA334" s="0" t="n">
        <f>IF(COUNTA(B334:L334)=0,0,IF(OR(AND(ISNUMBER(F334),F334&lt;0),AND(U334=1,OR(SUM(IF(ISNUMBER(G334),IF(G334=0,1,0),0),IF(ISNUMBER(H334),IF(H334=0,1,0),0),IF(ISNUMBER(I334),IF(I334=0,1,0),0),IF(ISNUMBER(J334),IF(J334=0,1,0),0))&gt;0,COUNTIFS(G334:J334,"&lt;0")&gt;0)),AND(P334="DIMENSIONES",U334=1,OR(AND(S334="m",COUNT(H334:J334)&lt;&gt;1),AND(S334="m²",COUNT(H334:J334)&lt;&gt;2,Y334=0),AND(S334="m³",COUNT(H334:J334)&lt;&gt;3),AND(S334="ud",COUNT(H334:J334)&gt;0))),AND(P334="DIRECTA",OR(S334="m",S334="m²",S334="m³"))),1,0))</f>
        <v>0</v>
      </c>
      <c r="AB334" s="0">
        <f>IF(LEN(TRIM(E334&amp;""))&gt;0,E334,IF(R334&gt;0,INDEX($E$13:$E$512,R334),""))</f>
      </c>
      <c r="AC334" s="0">
        <f>UPPER(SUBSTITUTE(SUBSTITUTE(SUBSTITUTE(SUBSTITUTE(SUBSTITUTE(TRIM(AB334),"²","2"),"³","3"),"^",""),".","")," ",""))</f>
      </c>
    </row>
    <row r="335" ht="35" customHeight="1">
      <c r="B335" s="35"/>
      <c r="C335" s="35"/>
      <c r="D335" s="37"/>
      <c r="E335" s="35"/>
      <c r="F335" s="38"/>
      <c r="G335" s="38"/>
      <c r="H335" s="38"/>
      <c r="I335" s="38"/>
      <c r="J335" s="38"/>
      <c r="K335" s="35"/>
      <c r="L335" s="35"/>
      <c r="M335" s="39">
        <f>IF(U335&lt;&gt;1,"",IF(P335="DIRECTA",G335,IF(ISNUMBER(G335),G335,1)*IF(ISNUMBER(H335),H335,1)*IF(ISNUMBER(I335),I335,1)*IF(ISNUMBER(J335),J335,1)))</f>
      </c>
      <c r="N335" s="30">
        <f>IF(COUNTA(B335:L335)=0,"",IF(X335=0,IF(P335="CABECERA","VERDE · Fila descriptiva; la suma usa las líneas del ID","VERDE · Datos numéricos interpretables"),IF(X335=2,"ROJO · ","ÁMBAR · ")&amp;IF(NOT(IF(ISNUMBER($E$6),AND($E$6&gt;=0,$E$6&lt;=6,$E$6=INT($E$6)),FALSE)),"Indicamos entre 0 y 6 decimales en E6. ","")&amp;IF(O335=0,"Falta un ID numérico. ","")&amp;IF(R335=0,"Faltan capítulo, código, unidad o total numérico del ID. ","")&amp;IF(T335&gt;0,"Los datos o el total del ID se contradicen. ","")&amp;IF(AND(P335&lt;&gt;"DIMENSIONES",P335&lt;&gt;"DIRECTA",P335&lt;&gt;"SIN LÍNEAS",P335&lt;&gt;"CABECERA"),"Tipo de fila no reconocido. ","")&amp;IF(AND(OR(P335="SIN LÍNEAS",P335="CABECERA"),COUNTA(G335:J335)&gt;0),"La fila dice que no mide, pero contiene medidas. ","")&amp;IF(AND(OR(P335="DIRECTA",P335="DIMENSIONES"),U335=0),"Línea incompleta o con medidas no numéricas. ","")&amp;IF(P335="SIN LÍNEAS","No constan medidas de esta fila. ","")&amp;IF(Y335&gt;0,"Parece m³: tres dimensiones bajo m². ","")&amp;IF(AND(AB335&lt;&gt;"",SUMPRODUCT(--('LÉEME'!$B$65:$B$86=AC335))&lt;&gt;1),"Revisamos el significado de la unidad. ","")&amp;IF(Z335&gt;0,"Más precisión que los decimales indicados: cotejamos el original. ","")&amp;IF(AA335&gt;0,"Revisamos dimensiones, cantidad directa, ceros o deducción. ","")))</f>
      </c>
      <c r="O335" s="0" t="n">
        <f>IF(ISNUMBER(K335),IF(AND(K335&gt;0,K335=INT(K335),K335&lt;=999999),K335,0),0)</f>
        <v>0</v>
      </c>
      <c r="P335" s="0">
        <f>IF(COUNTA(B335:L335)=0,"",IF(L335="",IF(COUNTA(G335:J335)&gt;0,"DIMENSIONES","SIN LÍNEAS"),UPPER(TRIM(L335))))</f>
      </c>
      <c r="Q335" s="0">
        <f>IF(AND(O335&gt;0,LEN(TRIM(B335&amp;""))&gt;0,LEN(TRIM(C335&amp;""))&gt;0,LEN(TRIM(E335&amp;""))&gt;0,ISNUMBER(F335)),O335,"")</f>
      </c>
      <c r="R335" s="0" t="n">
        <f>IF(O335=0,0,IF(COUNTIFS($Q$13:$Q$512,O335)&gt;0,MATCH(O335,$Q$13:$Q$512,0),0))</f>
        <v>0</v>
      </c>
      <c r="S335" s="0">
        <f>IF(AB335="","",IF(SUMPRODUCT(--('LÉEME'!$B$65:$B$86=AC335))=1,INDEX('LÉEME'!$C$65:$C$86,MATCH(AC335,'LÉEME'!$B$65:$B$86,0)),UPPER(TRIM(AB335))))</f>
      </c>
      <c r="T335" s="0" t="n">
        <f>IF(R335=0,0,IF(OR(AND(LEN(TRIM(B335&amp;""))&gt;0,UPPER(TRIM(B335&amp;""))&lt;&gt;UPPER(TRIM(INDEX($B$13:$B$512,R335)&amp;""))),AND(LEN(TRIM(C335&amp;""))&gt;0,UPPER(TRIM(C335&amp;""))&lt;&gt;UPPER(TRIM(INDEX($C$13:$C$512,R335)&amp;""))),AND(LEN(TRIM(E335&amp;""))&gt;0,S335&lt;&gt;INDEX($S$13:$S$512,R335)),AND(F335&lt;&gt;"",NOT(ISNUMBER(F335)))),1,IF(ISNUMBER(F335),IF(ABS(F335-INDEX($F$13:$F$512,R335))&gt;0.00000001,1,0),0)))</f>
        <v>0</v>
      </c>
      <c r="U335" s="0" t="n">
        <f>IF(P335="DIRECTA",IF(AND(ISNUMBER(G335),COUNTA(H335:J335)=0),1,0),IF(P335="DIMENSIONES",IF(AND(COUNT(G335:J335)&gt;0,COUNTA(G335:J335)=COUNT(G335:J335)),1,0),0))</f>
        <v>0</v>
      </c>
      <c r="V335" s="0" t="n">
        <f>IF(O335=0,0,IF(COUNTIFS($O$13:O335,O335)=1,1,0))</f>
        <v>0</v>
      </c>
      <c r="W335" s="0">
        <f>IF(V335=1,COUNTIFS($V$13:V335,1),"")</f>
      </c>
      <c r="X335" s="0">
        <f>IF(COUNTA(B335:L335)=0,"",IF(OR(NOT(IF(ISNUMBER($E$6),AND($E$6&gt;=0,$E$6&lt;=6,$E$6=INT($E$6)),FALSE)),O335=0,R335=0,T335&gt;0,AND(P335&lt;&gt;"DIMENSIONES",P335&lt;&gt;"DIRECTA",P335&lt;&gt;"SIN LÍNEAS",P335&lt;&gt;"CABECERA"),AND(OR(P335="DIRECTA",P335="DIMENSIONES"),U335=0),AND(OR(P335="SIN LÍNEAS",P335="CABECERA"),COUNTA(G335:J335)&gt;0)),2,IF(OR(P335="SIN LÍNEAS",Y335&gt;0,Z335&gt;0,AA335&gt;0,SUMPRODUCT(--('LÉEME'!$B$65:$B$86=AC335))&lt;&gt;1),1,0)))</f>
      </c>
      <c r="Y335" s="0" t="n">
        <f>IF(AND(P335="DIMENSIONES",S335="m²",COUNT(H335:J335)=3),1,0)</f>
        <v>0</v>
      </c>
      <c r="Z335" s="0" t="n">
        <f>IF(IF(ISNUMBER($E$6),AND($E$6&gt;=0,$E$6&lt;=6,$E$6=INT($E$6)),FALSE),IF(SUM(IF(ISNUMBER(F335),IF(ABS(F335-ROUND(F335,$E$6))&gt;0.00000001,1,0),0),IF(ISNUMBER(G335),IF(ABS(G335-ROUND(G335,$E$6))&gt;0.00000001,1,0),0),IF(ISNUMBER(H335),IF(ABS(H335-ROUND(H335,$E$6))&gt;0.00000001,1,0),0),IF(ISNUMBER(I335),IF(ABS(I335-ROUND(I335,$E$6))&gt;0.00000001,1,0),0),IF(ISNUMBER(J335),IF(ABS(J335-ROUND(J335,$E$6))&gt;0.00000001,1,0),0),IF(ISNUMBER(M335),IF(ABS(M335-ROUND(M335,$E$6))&gt;0.00000001,1,0),0))&gt;0,1,0),0)</f>
        <v>0</v>
      </c>
      <c r="AA335" s="0" t="n">
        <f>IF(COUNTA(B335:L335)=0,0,IF(OR(AND(ISNUMBER(F335),F335&lt;0),AND(U335=1,OR(SUM(IF(ISNUMBER(G335),IF(G335=0,1,0),0),IF(ISNUMBER(H335),IF(H335=0,1,0),0),IF(ISNUMBER(I335),IF(I335=0,1,0),0),IF(ISNUMBER(J335),IF(J335=0,1,0),0))&gt;0,COUNTIFS(G335:J335,"&lt;0")&gt;0)),AND(P335="DIMENSIONES",U335=1,OR(AND(S335="m",COUNT(H335:J335)&lt;&gt;1),AND(S335="m²",COUNT(H335:J335)&lt;&gt;2,Y335=0),AND(S335="m³",COUNT(H335:J335)&lt;&gt;3),AND(S335="ud",COUNT(H335:J335)&gt;0))),AND(P335="DIRECTA",OR(S335="m",S335="m²",S335="m³"))),1,0))</f>
        <v>0</v>
      </c>
      <c r="AB335" s="0">
        <f>IF(LEN(TRIM(E335&amp;""))&gt;0,E335,IF(R335&gt;0,INDEX($E$13:$E$512,R335),""))</f>
      </c>
      <c r="AC335" s="0">
        <f>UPPER(SUBSTITUTE(SUBSTITUTE(SUBSTITUTE(SUBSTITUTE(SUBSTITUTE(TRIM(AB335),"²","2"),"³","3"),"^",""),".","")," ",""))</f>
      </c>
    </row>
    <row r="336" ht="35" customHeight="1">
      <c r="B336" s="35"/>
      <c r="C336" s="35"/>
      <c r="D336" s="37"/>
      <c r="E336" s="35"/>
      <c r="F336" s="38"/>
      <c r="G336" s="38"/>
      <c r="H336" s="38"/>
      <c r="I336" s="38"/>
      <c r="J336" s="38"/>
      <c r="K336" s="35"/>
      <c r="L336" s="35"/>
      <c r="M336" s="39">
        <f>IF(U336&lt;&gt;1,"",IF(P336="DIRECTA",G336,IF(ISNUMBER(G336),G336,1)*IF(ISNUMBER(H336),H336,1)*IF(ISNUMBER(I336),I336,1)*IF(ISNUMBER(J336),J336,1)))</f>
      </c>
      <c r="N336" s="30">
        <f>IF(COUNTA(B336:L336)=0,"",IF(X336=0,IF(P336="CABECERA","VERDE · Fila descriptiva; la suma usa las líneas del ID","VERDE · Datos numéricos interpretables"),IF(X336=2,"ROJO · ","ÁMBAR · ")&amp;IF(NOT(IF(ISNUMBER($E$6),AND($E$6&gt;=0,$E$6&lt;=6,$E$6=INT($E$6)),FALSE)),"Indicamos entre 0 y 6 decimales en E6. ","")&amp;IF(O336=0,"Falta un ID numérico. ","")&amp;IF(R336=0,"Faltan capítulo, código, unidad o total numérico del ID. ","")&amp;IF(T336&gt;0,"Los datos o el total del ID se contradicen. ","")&amp;IF(AND(P336&lt;&gt;"DIMENSIONES",P336&lt;&gt;"DIRECTA",P336&lt;&gt;"SIN LÍNEAS",P336&lt;&gt;"CABECERA"),"Tipo de fila no reconocido. ","")&amp;IF(AND(OR(P336="SIN LÍNEAS",P336="CABECERA"),COUNTA(G336:J336)&gt;0),"La fila dice que no mide, pero contiene medidas. ","")&amp;IF(AND(OR(P336="DIRECTA",P336="DIMENSIONES"),U336=0),"Línea incompleta o con medidas no numéricas. ","")&amp;IF(P336="SIN LÍNEAS","No constan medidas de esta fila. ","")&amp;IF(Y336&gt;0,"Parece m³: tres dimensiones bajo m². ","")&amp;IF(AND(AB336&lt;&gt;"",SUMPRODUCT(--('LÉEME'!$B$65:$B$86=AC336))&lt;&gt;1),"Revisamos el significado de la unidad. ","")&amp;IF(Z336&gt;0,"Más precisión que los decimales indicados: cotejamos el original. ","")&amp;IF(AA336&gt;0,"Revisamos dimensiones, cantidad directa, ceros o deducción. ","")))</f>
      </c>
      <c r="O336" s="0" t="n">
        <f>IF(ISNUMBER(K336),IF(AND(K336&gt;0,K336=INT(K336),K336&lt;=999999),K336,0),0)</f>
        <v>0</v>
      </c>
      <c r="P336" s="0">
        <f>IF(COUNTA(B336:L336)=0,"",IF(L336="",IF(COUNTA(G336:J336)&gt;0,"DIMENSIONES","SIN LÍNEAS"),UPPER(TRIM(L336))))</f>
      </c>
      <c r="Q336" s="0">
        <f>IF(AND(O336&gt;0,LEN(TRIM(B336&amp;""))&gt;0,LEN(TRIM(C336&amp;""))&gt;0,LEN(TRIM(E336&amp;""))&gt;0,ISNUMBER(F336)),O336,"")</f>
      </c>
      <c r="R336" s="0" t="n">
        <f>IF(O336=0,0,IF(COUNTIFS($Q$13:$Q$512,O336)&gt;0,MATCH(O336,$Q$13:$Q$512,0),0))</f>
        <v>0</v>
      </c>
      <c r="S336" s="0">
        <f>IF(AB336="","",IF(SUMPRODUCT(--('LÉEME'!$B$65:$B$86=AC336))=1,INDEX('LÉEME'!$C$65:$C$86,MATCH(AC336,'LÉEME'!$B$65:$B$86,0)),UPPER(TRIM(AB336))))</f>
      </c>
      <c r="T336" s="0" t="n">
        <f>IF(R336=0,0,IF(OR(AND(LEN(TRIM(B336&amp;""))&gt;0,UPPER(TRIM(B336&amp;""))&lt;&gt;UPPER(TRIM(INDEX($B$13:$B$512,R336)&amp;""))),AND(LEN(TRIM(C336&amp;""))&gt;0,UPPER(TRIM(C336&amp;""))&lt;&gt;UPPER(TRIM(INDEX($C$13:$C$512,R336)&amp;""))),AND(LEN(TRIM(E336&amp;""))&gt;0,S336&lt;&gt;INDEX($S$13:$S$512,R336)),AND(F336&lt;&gt;"",NOT(ISNUMBER(F336)))),1,IF(ISNUMBER(F336),IF(ABS(F336-INDEX($F$13:$F$512,R336))&gt;0.00000001,1,0),0)))</f>
        <v>0</v>
      </c>
      <c r="U336" s="0" t="n">
        <f>IF(P336="DIRECTA",IF(AND(ISNUMBER(G336),COUNTA(H336:J336)=0),1,0),IF(P336="DIMENSIONES",IF(AND(COUNT(G336:J336)&gt;0,COUNTA(G336:J336)=COUNT(G336:J336)),1,0),0))</f>
        <v>0</v>
      </c>
      <c r="V336" s="0" t="n">
        <f>IF(O336=0,0,IF(COUNTIFS($O$13:O336,O336)=1,1,0))</f>
        <v>0</v>
      </c>
      <c r="W336" s="0">
        <f>IF(V336=1,COUNTIFS($V$13:V336,1),"")</f>
      </c>
      <c r="X336" s="0">
        <f>IF(COUNTA(B336:L336)=0,"",IF(OR(NOT(IF(ISNUMBER($E$6),AND($E$6&gt;=0,$E$6&lt;=6,$E$6=INT($E$6)),FALSE)),O336=0,R336=0,T336&gt;0,AND(P336&lt;&gt;"DIMENSIONES",P336&lt;&gt;"DIRECTA",P336&lt;&gt;"SIN LÍNEAS",P336&lt;&gt;"CABECERA"),AND(OR(P336="DIRECTA",P336="DIMENSIONES"),U336=0),AND(OR(P336="SIN LÍNEAS",P336="CABECERA"),COUNTA(G336:J336)&gt;0)),2,IF(OR(P336="SIN LÍNEAS",Y336&gt;0,Z336&gt;0,AA336&gt;0,SUMPRODUCT(--('LÉEME'!$B$65:$B$86=AC336))&lt;&gt;1),1,0)))</f>
      </c>
      <c r="Y336" s="0" t="n">
        <f>IF(AND(P336="DIMENSIONES",S336="m²",COUNT(H336:J336)=3),1,0)</f>
        <v>0</v>
      </c>
      <c r="Z336" s="0" t="n">
        <f>IF(IF(ISNUMBER($E$6),AND($E$6&gt;=0,$E$6&lt;=6,$E$6=INT($E$6)),FALSE),IF(SUM(IF(ISNUMBER(F336),IF(ABS(F336-ROUND(F336,$E$6))&gt;0.00000001,1,0),0),IF(ISNUMBER(G336),IF(ABS(G336-ROUND(G336,$E$6))&gt;0.00000001,1,0),0),IF(ISNUMBER(H336),IF(ABS(H336-ROUND(H336,$E$6))&gt;0.00000001,1,0),0),IF(ISNUMBER(I336),IF(ABS(I336-ROUND(I336,$E$6))&gt;0.00000001,1,0),0),IF(ISNUMBER(J336),IF(ABS(J336-ROUND(J336,$E$6))&gt;0.00000001,1,0),0),IF(ISNUMBER(M336),IF(ABS(M336-ROUND(M336,$E$6))&gt;0.00000001,1,0),0))&gt;0,1,0),0)</f>
        <v>0</v>
      </c>
      <c r="AA336" s="0" t="n">
        <f>IF(COUNTA(B336:L336)=0,0,IF(OR(AND(ISNUMBER(F336),F336&lt;0),AND(U336=1,OR(SUM(IF(ISNUMBER(G336),IF(G336=0,1,0),0),IF(ISNUMBER(H336),IF(H336=0,1,0),0),IF(ISNUMBER(I336),IF(I336=0,1,0),0),IF(ISNUMBER(J336),IF(J336=0,1,0),0))&gt;0,COUNTIFS(G336:J336,"&lt;0")&gt;0)),AND(P336="DIMENSIONES",U336=1,OR(AND(S336="m",COUNT(H336:J336)&lt;&gt;1),AND(S336="m²",COUNT(H336:J336)&lt;&gt;2,Y336=0),AND(S336="m³",COUNT(H336:J336)&lt;&gt;3),AND(S336="ud",COUNT(H336:J336)&gt;0))),AND(P336="DIRECTA",OR(S336="m",S336="m²",S336="m³"))),1,0))</f>
        <v>0</v>
      </c>
      <c r="AB336" s="0">
        <f>IF(LEN(TRIM(E336&amp;""))&gt;0,E336,IF(R336&gt;0,INDEX($E$13:$E$512,R336),""))</f>
      </c>
      <c r="AC336" s="0">
        <f>UPPER(SUBSTITUTE(SUBSTITUTE(SUBSTITUTE(SUBSTITUTE(SUBSTITUTE(TRIM(AB336),"²","2"),"³","3"),"^",""),".","")," ",""))</f>
      </c>
    </row>
    <row r="337" ht="35" customHeight="1">
      <c r="B337" s="35"/>
      <c r="C337" s="35"/>
      <c r="D337" s="37"/>
      <c r="E337" s="35"/>
      <c r="F337" s="38"/>
      <c r="G337" s="38"/>
      <c r="H337" s="38"/>
      <c r="I337" s="38"/>
      <c r="J337" s="38"/>
      <c r="K337" s="35"/>
      <c r="L337" s="35"/>
      <c r="M337" s="39">
        <f>IF(U337&lt;&gt;1,"",IF(P337="DIRECTA",G337,IF(ISNUMBER(G337),G337,1)*IF(ISNUMBER(H337),H337,1)*IF(ISNUMBER(I337),I337,1)*IF(ISNUMBER(J337),J337,1)))</f>
      </c>
      <c r="N337" s="30">
        <f>IF(COUNTA(B337:L337)=0,"",IF(X337=0,IF(P337="CABECERA","VERDE · Fila descriptiva; la suma usa las líneas del ID","VERDE · Datos numéricos interpretables"),IF(X337=2,"ROJO · ","ÁMBAR · ")&amp;IF(NOT(IF(ISNUMBER($E$6),AND($E$6&gt;=0,$E$6&lt;=6,$E$6=INT($E$6)),FALSE)),"Indicamos entre 0 y 6 decimales en E6. ","")&amp;IF(O337=0,"Falta un ID numérico. ","")&amp;IF(R337=0,"Faltan capítulo, código, unidad o total numérico del ID. ","")&amp;IF(T337&gt;0,"Los datos o el total del ID se contradicen. ","")&amp;IF(AND(P337&lt;&gt;"DIMENSIONES",P337&lt;&gt;"DIRECTA",P337&lt;&gt;"SIN LÍNEAS",P337&lt;&gt;"CABECERA"),"Tipo de fila no reconocido. ","")&amp;IF(AND(OR(P337="SIN LÍNEAS",P337="CABECERA"),COUNTA(G337:J337)&gt;0),"La fila dice que no mide, pero contiene medidas. ","")&amp;IF(AND(OR(P337="DIRECTA",P337="DIMENSIONES"),U337=0),"Línea incompleta o con medidas no numéricas. ","")&amp;IF(P337="SIN LÍNEAS","No constan medidas de esta fila. ","")&amp;IF(Y337&gt;0,"Parece m³: tres dimensiones bajo m². ","")&amp;IF(AND(AB337&lt;&gt;"",SUMPRODUCT(--('LÉEME'!$B$65:$B$86=AC337))&lt;&gt;1),"Revisamos el significado de la unidad. ","")&amp;IF(Z337&gt;0,"Más precisión que los decimales indicados: cotejamos el original. ","")&amp;IF(AA337&gt;0,"Revisamos dimensiones, cantidad directa, ceros o deducción. ","")))</f>
      </c>
      <c r="O337" s="0" t="n">
        <f>IF(ISNUMBER(K337),IF(AND(K337&gt;0,K337=INT(K337),K337&lt;=999999),K337,0),0)</f>
        <v>0</v>
      </c>
      <c r="P337" s="0">
        <f>IF(COUNTA(B337:L337)=0,"",IF(L337="",IF(COUNTA(G337:J337)&gt;0,"DIMENSIONES","SIN LÍNEAS"),UPPER(TRIM(L337))))</f>
      </c>
      <c r="Q337" s="0">
        <f>IF(AND(O337&gt;0,LEN(TRIM(B337&amp;""))&gt;0,LEN(TRIM(C337&amp;""))&gt;0,LEN(TRIM(E337&amp;""))&gt;0,ISNUMBER(F337)),O337,"")</f>
      </c>
      <c r="R337" s="0" t="n">
        <f>IF(O337=0,0,IF(COUNTIFS($Q$13:$Q$512,O337)&gt;0,MATCH(O337,$Q$13:$Q$512,0),0))</f>
        <v>0</v>
      </c>
      <c r="S337" s="0">
        <f>IF(AB337="","",IF(SUMPRODUCT(--('LÉEME'!$B$65:$B$86=AC337))=1,INDEX('LÉEME'!$C$65:$C$86,MATCH(AC337,'LÉEME'!$B$65:$B$86,0)),UPPER(TRIM(AB337))))</f>
      </c>
      <c r="T337" s="0" t="n">
        <f>IF(R337=0,0,IF(OR(AND(LEN(TRIM(B337&amp;""))&gt;0,UPPER(TRIM(B337&amp;""))&lt;&gt;UPPER(TRIM(INDEX($B$13:$B$512,R337)&amp;""))),AND(LEN(TRIM(C337&amp;""))&gt;0,UPPER(TRIM(C337&amp;""))&lt;&gt;UPPER(TRIM(INDEX($C$13:$C$512,R337)&amp;""))),AND(LEN(TRIM(E337&amp;""))&gt;0,S337&lt;&gt;INDEX($S$13:$S$512,R337)),AND(F337&lt;&gt;"",NOT(ISNUMBER(F337)))),1,IF(ISNUMBER(F337),IF(ABS(F337-INDEX($F$13:$F$512,R337))&gt;0.00000001,1,0),0)))</f>
        <v>0</v>
      </c>
      <c r="U337" s="0" t="n">
        <f>IF(P337="DIRECTA",IF(AND(ISNUMBER(G337),COUNTA(H337:J337)=0),1,0),IF(P337="DIMENSIONES",IF(AND(COUNT(G337:J337)&gt;0,COUNTA(G337:J337)=COUNT(G337:J337)),1,0),0))</f>
        <v>0</v>
      </c>
      <c r="V337" s="0" t="n">
        <f>IF(O337=0,0,IF(COUNTIFS($O$13:O337,O337)=1,1,0))</f>
        <v>0</v>
      </c>
      <c r="W337" s="0">
        <f>IF(V337=1,COUNTIFS($V$13:V337,1),"")</f>
      </c>
      <c r="X337" s="0">
        <f>IF(COUNTA(B337:L337)=0,"",IF(OR(NOT(IF(ISNUMBER($E$6),AND($E$6&gt;=0,$E$6&lt;=6,$E$6=INT($E$6)),FALSE)),O337=0,R337=0,T337&gt;0,AND(P337&lt;&gt;"DIMENSIONES",P337&lt;&gt;"DIRECTA",P337&lt;&gt;"SIN LÍNEAS",P337&lt;&gt;"CABECERA"),AND(OR(P337="DIRECTA",P337="DIMENSIONES"),U337=0),AND(OR(P337="SIN LÍNEAS",P337="CABECERA"),COUNTA(G337:J337)&gt;0)),2,IF(OR(P337="SIN LÍNEAS",Y337&gt;0,Z337&gt;0,AA337&gt;0,SUMPRODUCT(--('LÉEME'!$B$65:$B$86=AC337))&lt;&gt;1),1,0)))</f>
      </c>
      <c r="Y337" s="0" t="n">
        <f>IF(AND(P337="DIMENSIONES",S337="m²",COUNT(H337:J337)=3),1,0)</f>
        <v>0</v>
      </c>
      <c r="Z337" s="0" t="n">
        <f>IF(IF(ISNUMBER($E$6),AND($E$6&gt;=0,$E$6&lt;=6,$E$6=INT($E$6)),FALSE),IF(SUM(IF(ISNUMBER(F337),IF(ABS(F337-ROUND(F337,$E$6))&gt;0.00000001,1,0),0),IF(ISNUMBER(G337),IF(ABS(G337-ROUND(G337,$E$6))&gt;0.00000001,1,0),0),IF(ISNUMBER(H337),IF(ABS(H337-ROUND(H337,$E$6))&gt;0.00000001,1,0),0),IF(ISNUMBER(I337),IF(ABS(I337-ROUND(I337,$E$6))&gt;0.00000001,1,0),0),IF(ISNUMBER(J337),IF(ABS(J337-ROUND(J337,$E$6))&gt;0.00000001,1,0),0),IF(ISNUMBER(M337),IF(ABS(M337-ROUND(M337,$E$6))&gt;0.00000001,1,0),0))&gt;0,1,0),0)</f>
        <v>0</v>
      </c>
      <c r="AA337" s="0" t="n">
        <f>IF(COUNTA(B337:L337)=0,0,IF(OR(AND(ISNUMBER(F337),F337&lt;0),AND(U337=1,OR(SUM(IF(ISNUMBER(G337),IF(G337=0,1,0),0),IF(ISNUMBER(H337),IF(H337=0,1,0),0),IF(ISNUMBER(I337),IF(I337=0,1,0),0),IF(ISNUMBER(J337),IF(J337=0,1,0),0))&gt;0,COUNTIFS(G337:J337,"&lt;0")&gt;0)),AND(P337="DIMENSIONES",U337=1,OR(AND(S337="m",COUNT(H337:J337)&lt;&gt;1),AND(S337="m²",COUNT(H337:J337)&lt;&gt;2,Y337=0),AND(S337="m³",COUNT(H337:J337)&lt;&gt;3),AND(S337="ud",COUNT(H337:J337)&gt;0))),AND(P337="DIRECTA",OR(S337="m",S337="m²",S337="m³"))),1,0))</f>
        <v>0</v>
      </c>
      <c r="AB337" s="0">
        <f>IF(LEN(TRIM(E337&amp;""))&gt;0,E337,IF(R337&gt;0,INDEX($E$13:$E$512,R337),""))</f>
      </c>
      <c r="AC337" s="0">
        <f>UPPER(SUBSTITUTE(SUBSTITUTE(SUBSTITUTE(SUBSTITUTE(SUBSTITUTE(TRIM(AB337),"²","2"),"³","3"),"^",""),".","")," ",""))</f>
      </c>
    </row>
    <row r="338" ht="35" customHeight="1">
      <c r="B338" s="35"/>
      <c r="C338" s="35"/>
      <c r="D338" s="37"/>
      <c r="E338" s="35"/>
      <c r="F338" s="38"/>
      <c r="G338" s="38"/>
      <c r="H338" s="38"/>
      <c r="I338" s="38"/>
      <c r="J338" s="38"/>
      <c r="K338" s="35"/>
      <c r="L338" s="35"/>
      <c r="M338" s="39">
        <f>IF(U338&lt;&gt;1,"",IF(P338="DIRECTA",G338,IF(ISNUMBER(G338),G338,1)*IF(ISNUMBER(H338),H338,1)*IF(ISNUMBER(I338),I338,1)*IF(ISNUMBER(J338),J338,1)))</f>
      </c>
      <c r="N338" s="30">
        <f>IF(COUNTA(B338:L338)=0,"",IF(X338=0,IF(P338="CABECERA","VERDE · Fila descriptiva; la suma usa las líneas del ID","VERDE · Datos numéricos interpretables"),IF(X338=2,"ROJO · ","ÁMBAR · ")&amp;IF(NOT(IF(ISNUMBER($E$6),AND($E$6&gt;=0,$E$6&lt;=6,$E$6=INT($E$6)),FALSE)),"Indicamos entre 0 y 6 decimales en E6. ","")&amp;IF(O338=0,"Falta un ID numérico. ","")&amp;IF(R338=0,"Faltan capítulo, código, unidad o total numérico del ID. ","")&amp;IF(T338&gt;0,"Los datos o el total del ID se contradicen. ","")&amp;IF(AND(P338&lt;&gt;"DIMENSIONES",P338&lt;&gt;"DIRECTA",P338&lt;&gt;"SIN LÍNEAS",P338&lt;&gt;"CABECERA"),"Tipo de fila no reconocido. ","")&amp;IF(AND(OR(P338="SIN LÍNEAS",P338="CABECERA"),COUNTA(G338:J338)&gt;0),"La fila dice que no mide, pero contiene medidas. ","")&amp;IF(AND(OR(P338="DIRECTA",P338="DIMENSIONES"),U338=0),"Línea incompleta o con medidas no numéricas. ","")&amp;IF(P338="SIN LÍNEAS","No constan medidas de esta fila. ","")&amp;IF(Y338&gt;0,"Parece m³: tres dimensiones bajo m². ","")&amp;IF(AND(AB338&lt;&gt;"",SUMPRODUCT(--('LÉEME'!$B$65:$B$86=AC338))&lt;&gt;1),"Revisamos el significado de la unidad. ","")&amp;IF(Z338&gt;0,"Más precisión que los decimales indicados: cotejamos el original. ","")&amp;IF(AA338&gt;0,"Revisamos dimensiones, cantidad directa, ceros o deducción. ","")))</f>
      </c>
      <c r="O338" s="0" t="n">
        <f>IF(ISNUMBER(K338),IF(AND(K338&gt;0,K338=INT(K338),K338&lt;=999999),K338,0),0)</f>
        <v>0</v>
      </c>
      <c r="P338" s="0">
        <f>IF(COUNTA(B338:L338)=0,"",IF(L338="",IF(COUNTA(G338:J338)&gt;0,"DIMENSIONES","SIN LÍNEAS"),UPPER(TRIM(L338))))</f>
      </c>
      <c r="Q338" s="0">
        <f>IF(AND(O338&gt;0,LEN(TRIM(B338&amp;""))&gt;0,LEN(TRIM(C338&amp;""))&gt;0,LEN(TRIM(E338&amp;""))&gt;0,ISNUMBER(F338)),O338,"")</f>
      </c>
      <c r="R338" s="0" t="n">
        <f>IF(O338=0,0,IF(COUNTIFS($Q$13:$Q$512,O338)&gt;0,MATCH(O338,$Q$13:$Q$512,0),0))</f>
        <v>0</v>
      </c>
      <c r="S338" s="0">
        <f>IF(AB338="","",IF(SUMPRODUCT(--('LÉEME'!$B$65:$B$86=AC338))=1,INDEX('LÉEME'!$C$65:$C$86,MATCH(AC338,'LÉEME'!$B$65:$B$86,0)),UPPER(TRIM(AB338))))</f>
      </c>
      <c r="T338" s="0" t="n">
        <f>IF(R338=0,0,IF(OR(AND(LEN(TRIM(B338&amp;""))&gt;0,UPPER(TRIM(B338&amp;""))&lt;&gt;UPPER(TRIM(INDEX($B$13:$B$512,R338)&amp;""))),AND(LEN(TRIM(C338&amp;""))&gt;0,UPPER(TRIM(C338&amp;""))&lt;&gt;UPPER(TRIM(INDEX($C$13:$C$512,R338)&amp;""))),AND(LEN(TRIM(E338&amp;""))&gt;0,S338&lt;&gt;INDEX($S$13:$S$512,R338)),AND(F338&lt;&gt;"",NOT(ISNUMBER(F338)))),1,IF(ISNUMBER(F338),IF(ABS(F338-INDEX($F$13:$F$512,R338))&gt;0.00000001,1,0),0)))</f>
        <v>0</v>
      </c>
      <c r="U338" s="0" t="n">
        <f>IF(P338="DIRECTA",IF(AND(ISNUMBER(G338),COUNTA(H338:J338)=0),1,0),IF(P338="DIMENSIONES",IF(AND(COUNT(G338:J338)&gt;0,COUNTA(G338:J338)=COUNT(G338:J338)),1,0),0))</f>
        <v>0</v>
      </c>
      <c r="V338" s="0" t="n">
        <f>IF(O338=0,0,IF(COUNTIFS($O$13:O338,O338)=1,1,0))</f>
        <v>0</v>
      </c>
      <c r="W338" s="0">
        <f>IF(V338=1,COUNTIFS($V$13:V338,1),"")</f>
      </c>
      <c r="X338" s="0">
        <f>IF(COUNTA(B338:L338)=0,"",IF(OR(NOT(IF(ISNUMBER($E$6),AND($E$6&gt;=0,$E$6&lt;=6,$E$6=INT($E$6)),FALSE)),O338=0,R338=0,T338&gt;0,AND(P338&lt;&gt;"DIMENSIONES",P338&lt;&gt;"DIRECTA",P338&lt;&gt;"SIN LÍNEAS",P338&lt;&gt;"CABECERA"),AND(OR(P338="DIRECTA",P338="DIMENSIONES"),U338=0),AND(OR(P338="SIN LÍNEAS",P338="CABECERA"),COUNTA(G338:J338)&gt;0)),2,IF(OR(P338="SIN LÍNEAS",Y338&gt;0,Z338&gt;0,AA338&gt;0,SUMPRODUCT(--('LÉEME'!$B$65:$B$86=AC338))&lt;&gt;1),1,0)))</f>
      </c>
      <c r="Y338" s="0" t="n">
        <f>IF(AND(P338="DIMENSIONES",S338="m²",COUNT(H338:J338)=3),1,0)</f>
        <v>0</v>
      </c>
      <c r="Z338" s="0" t="n">
        <f>IF(IF(ISNUMBER($E$6),AND($E$6&gt;=0,$E$6&lt;=6,$E$6=INT($E$6)),FALSE),IF(SUM(IF(ISNUMBER(F338),IF(ABS(F338-ROUND(F338,$E$6))&gt;0.00000001,1,0),0),IF(ISNUMBER(G338),IF(ABS(G338-ROUND(G338,$E$6))&gt;0.00000001,1,0),0),IF(ISNUMBER(H338),IF(ABS(H338-ROUND(H338,$E$6))&gt;0.00000001,1,0),0),IF(ISNUMBER(I338),IF(ABS(I338-ROUND(I338,$E$6))&gt;0.00000001,1,0),0),IF(ISNUMBER(J338),IF(ABS(J338-ROUND(J338,$E$6))&gt;0.00000001,1,0),0),IF(ISNUMBER(M338),IF(ABS(M338-ROUND(M338,$E$6))&gt;0.00000001,1,0),0))&gt;0,1,0),0)</f>
        <v>0</v>
      </c>
      <c r="AA338" s="0" t="n">
        <f>IF(COUNTA(B338:L338)=0,0,IF(OR(AND(ISNUMBER(F338),F338&lt;0),AND(U338=1,OR(SUM(IF(ISNUMBER(G338),IF(G338=0,1,0),0),IF(ISNUMBER(H338),IF(H338=0,1,0),0),IF(ISNUMBER(I338),IF(I338=0,1,0),0),IF(ISNUMBER(J338),IF(J338=0,1,0),0))&gt;0,COUNTIFS(G338:J338,"&lt;0")&gt;0)),AND(P338="DIMENSIONES",U338=1,OR(AND(S338="m",COUNT(H338:J338)&lt;&gt;1),AND(S338="m²",COUNT(H338:J338)&lt;&gt;2,Y338=0),AND(S338="m³",COUNT(H338:J338)&lt;&gt;3),AND(S338="ud",COUNT(H338:J338)&gt;0))),AND(P338="DIRECTA",OR(S338="m",S338="m²",S338="m³"))),1,0))</f>
        <v>0</v>
      </c>
      <c r="AB338" s="0">
        <f>IF(LEN(TRIM(E338&amp;""))&gt;0,E338,IF(R338&gt;0,INDEX($E$13:$E$512,R338),""))</f>
      </c>
      <c r="AC338" s="0">
        <f>UPPER(SUBSTITUTE(SUBSTITUTE(SUBSTITUTE(SUBSTITUTE(SUBSTITUTE(TRIM(AB338),"²","2"),"³","3"),"^",""),".","")," ",""))</f>
      </c>
    </row>
    <row r="339" ht="35" customHeight="1">
      <c r="B339" s="35"/>
      <c r="C339" s="35"/>
      <c r="D339" s="37"/>
      <c r="E339" s="35"/>
      <c r="F339" s="38"/>
      <c r="G339" s="38"/>
      <c r="H339" s="38"/>
      <c r="I339" s="38"/>
      <c r="J339" s="38"/>
      <c r="K339" s="35"/>
      <c r="L339" s="35"/>
      <c r="M339" s="39">
        <f>IF(U339&lt;&gt;1,"",IF(P339="DIRECTA",G339,IF(ISNUMBER(G339),G339,1)*IF(ISNUMBER(H339),H339,1)*IF(ISNUMBER(I339),I339,1)*IF(ISNUMBER(J339),J339,1)))</f>
      </c>
      <c r="N339" s="30">
        <f>IF(COUNTA(B339:L339)=0,"",IF(X339=0,IF(P339="CABECERA","VERDE · Fila descriptiva; la suma usa las líneas del ID","VERDE · Datos numéricos interpretables"),IF(X339=2,"ROJO · ","ÁMBAR · ")&amp;IF(NOT(IF(ISNUMBER($E$6),AND($E$6&gt;=0,$E$6&lt;=6,$E$6=INT($E$6)),FALSE)),"Indicamos entre 0 y 6 decimales en E6. ","")&amp;IF(O339=0,"Falta un ID numérico. ","")&amp;IF(R339=0,"Faltan capítulo, código, unidad o total numérico del ID. ","")&amp;IF(T339&gt;0,"Los datos o el total del ID se contradicen. ","")&amp;IF(AND(P339&lt;&gt;"DIMENSIONES",P339&lt;&gt;"DIRECTA",P339&lt;&gt;"SIN LÍNEAS",P339&lt;&gt;"CABECERA"),"Tipo de fila no reconocido. ","")&amp;IF(AND(OR(P339="SIN LÍNEAS",P339="CABECERA"),COUNTA(G339:J339)&gt;0),"La fila dice que no mide, pero contiene medidas. ","")&amp;IF(AND(OR(P339="DIRECTA",P339="DIMENSIONES"),U339=0),"Línea incompleta o con medidas no numéricas. ","")&amp;IF(P339="SIN LÍNEAS","No constan medidas de esta fila. ","")&amp;IF(Y339&gt;0,"Parece m³: tres dimensiones bajo m². ","")&amp;IF(AND(AB339&lt;&gt;"",SUMPRODUCT(--('LÉEME'!$B$65:$B$86=AC339))&lt;&gt;1),"Revisamos el significado de la unidad. ","")&amp;IF(Z339&gt;0,"Más precisión que los decimales indicados: cotejamos el original. ","")&amp;IF(AA339&gt;0,"Revisamos dimensiones, cantidad directa, ceros o deducción. ","")))</f>
      </c>
      <c r="O339" s="0" t="n">
        <f>IF(ISNUMBER(K339),IF(AND(K339&gt;0,K339=INT(K339),K339&lt;=999999),K339,0),0)</f>
        <v>0</v>
      </c>
      <c r="P339" s="0">
        <f>IF(COUNTA(B339:L339)=0,"",IF(L339="",IF(COUNTA(G339:J339)&gt;0,"DIMENSIONES","SIN LÍNEAS"),UPPER(TRIM(L339))))</f>
      </c>
      <c r="Q339" s="0">
        <f>IF(AND(O339&gt;0,LEN(TRIM(B339&amp;""))&gt;0,LEN(TRIM(C339&amp;""))&gt;0,LEN(TRIM(E339&amp;""))&gt;0,ISNUMBER(F339)),O339,"")</f>
      </c>
      <c r="R339" s="0" t="n">
        <f>IF(O339=0,0,IF(COUNTIFS($Q$13:$Q$512,O339)&gt;0,MATCH(O339,$Q$13:$Q$512,0),0))</f>
        <v>0</v>
      </c>
      <c r="S339" s="0">
        <f>IF(AB339="","",IF(SUMPRODUCT(--('LÉEME'!$B$65:$B$86=AC339))=1,INDEX('LÉEME'!$C$65:$C$86,MATCH(AC339,'LÉEME'!$B$65:$B$86,0)),UPPER(TRIM(AB339))))</f>
      </c>
      <c r="T339" s="0" t="n">
        <f>IF(R339=0,0,IF(OR(AND(LEN(TRIM(B339&amp;""))&gt;0,UPPER(TRIM(B339&amp;""))&lt;&gt;UPPER(TRIM(INDEX($B$13:$B$512,R339)&amp;""))),AND(LEN(TRIM(C339&amp;""))&gt;0,UPPER(TRIM(C339&amp;""))&lt;&gt;UPPER(TRIM(INDEX($C$13:$C$512,R339)&amp;""))),AND(LEN(TRIM(E339&amp;""))&gt;0,S339&lt;&gt;INDEX($S$13:$S$512,R339)),AND(F339&lt;&gt;"",NOT(ISNUMBER(F339)))),1,IF(ISNUMBER(F339),IF(ABS(F339-INDEX($F$13:$F$512,R339))&gt;0.00000001,1,0),0)))</f>
        <v>0</v>
      </c>
      <c r="U339" s="0" t="n">
        <f>IF(P339="DIRECTA",IF(AND(ISNUMBER(G339),COUNTA(H339:J339)=0),1,0),IF(P339="DIMENSIONES",IF(AND(COUNT(G339:J339)&gt;0,COUNTA(G339:J339)=COUNT(G339:J339)),1,0),0))</f>
        <v>0</v>
      </c>
      <c r="V339" s="0" t="n">
        <f>IF(O339=0,0,IF(COUNTIFS($O$13:O339,O339)=1,1,0))</f>
        <v>0</v>
      </c>
      <c r="W339" s="0">
        <f>IF(V339=1,COUNTIFS($V$13:V339,1),"")</f>
      </c>
      <c r="X339" s="0">
        <f>IF(COUNTA(B339:L339)=0,"",IF(OR(NOT(IF(ISNUMBER($E$6),AND($E$6&gt;=0,$E$6&lt;=6,$E$6=INT($E$6)),FALSE)),O339=0,R339=0,T339&gt;0,AND(P339&lt;&gt;"DIMENSIONES",P339&lt;&gt;"DIRECTA",P339&lt;&gt;"SIN LÍNEAS",P339&lt;&gt;"CABECERA"),AND(OR(P339="DIRECTA",P339="DIMENSIONES"),U339=0),AND(OR(P339="SIN LÍNEAS",P339="CABECERA"),COUNTA(G339:J339)&gt;0)),2,IF(OR(P339="SIN LÍNEAS",Y339&gt;0,Z339&gt;0,AA339&gt;0,SUMPRODUCT(--('LÉEME'!$B$65:$B$86=AC339))&lt;&gt;1),1,0)))</f>
      </c>
      <c r="Y339" s="0" t="n">
        <f>IF(AND(P339="DIMENSIONES",S339="m²",COUNT(H339:J339)=3),1,0)</f>
        <v>0</v>
      </c>
      <c r="Z339" s="0" t="n">
        <f>IF(IF(ISNUMBER($E$6),AND($E$6&gt;=0,$E$6&lt;=6,$E$6=INT($E$6)),FALSE),IF(SUM(IF(ISNUMBER(F339),IF(ABS(F339-ROUND(F339,$E$6))&gt;0.00000001,1,0),0),IF(ISNUMBER(G339),IF(ABS(G339-ROUND(G339,$E$6))&gt;0.00000001,1,0),0),IF(ISNUMBER(H339),IF(ABS(H339-ROUND(H339,$E$6))&gt;0.00000001,1,0),0),IF(ISNUMBER(I339),IF(ABS(I339-ROUND(I339,$E$6))&gt;0.00000001,1,0),0),IF(ISNUMBER(J339),IF(ABS(J339-ROUND(J339,$E$6))&gt;0.00000001,1,0),0),IF(ISNUMBER(M339),IF(ABS(M339-ROUND(M339,$E$6))&gt;0.00000001,1,0),0))&gt;0,1,0),0)</f>
        <v>0</v>
      </c>
      <c r="AA339" s="0" t="n">
        <f>IF(COUNTA(B339:L339)=0,0,IF(OR(AND(ISNUMBER(F339),F339&lt;0),AND(U339=1,OR(SUM(IF(ISNUMBER(G339),IF(G339=0,1,0),0),IF(ISNUMBER(H339),IF(H339=0,1,0),0),IF(ISNUMBER(I339),IF(I339=0,1,0),0),IF(ISNUMBER(J339),IF(J339=0,1,0),0))&gt;0,COUNTIFS(G339:J339,"&lt;0")&gt;0)),AND(P339="DIMENSIONES",U339=1,OR(AND(S339="m",COUNT(H339:J339)&lt;&gt;1),AND(S339="m²",COUNT(H339:J339)&lt;&gt;2,Y339=0),AND(S339="m³",COUNT(H339:J339)&lt;&gt;3),AND(S339="ud",COUNT(H339:J339)&gt;0))),AND(P339="DIRECTA",OR(S339="m",S339="m²",S339="m³"))),1,0))</f>
        <v>0</v>
      </c>
      <c r="AB339" s="0">
        <f>IF(LEN(TRIM(E339&amp;""))&gt;0,E339,IF(R339&gt;0,INDEX($E$13:$E$512,R339),""))</f>
      </c>
      <c r="AC339" s="0">
        <f>UPPER(SUBSTITUTE(SUBSTITUTE(SUBSTITUTE(SUBSTITUTE(SUBSTITUTE(TRIM(AB339),"²","2"),"³","3"),"^",""),".","")," ",""))</f>
      </c>
    </row>
    <row r="340" ht="35" customHeight="1">
      <c r="B340" s="35"/>
      <c r="C340" s="35"/>
      <c r="D340" s="37"/>
      <c r="E340" s="35"/>
      <c r="F340" s="38"/>
      <c r="G340" s="38"/>
      <c r="H340" s="38"/>
      <c r="I340" s="38"/>
      <c r="J340" s="38"/>
      <c r="K340" s="35"/>
      <c r="L340" s="35"/>
      <c r="M340" s="39">
        <f>IF(U340&lt;&gt;1,"",IF(P340="DIRECTA",G340,IF(ISNUMBER(G340),G340,1)*IF(ISNUMBER(H340),H340,1)*IF(ISNUMBER(I340),I340,1)*IF(ISNUMBER(J340),J340,1)))</f>
      </c>
      <c r="N340" s="30">
        <f>IF(COUNTA(B340:L340)=0,"",IF(X340=0,IF(P340="CABECERA","VERDE · Fila descriptiva; la suma usa las líneas del ID","VERDE · Datos numéricos interpretables"),IF(X340=2,"ROJO · ","ÁMBAR · ")&amp;IF(NOT(IF(ISNUMBER($E$6),AND($E$6&gt;=0,$E$6&lt;=6,$E$6=INT($E$6)),FALSE)),"Indicamos entre 0 y 6 decimales en E6. ","")&amp;IF(O340=0,"Falta un ID numérico. ","")&amp;IF(R340=0,"Faltan capítulo, código, unidad o total numérico del ID. ","")&amp;IF(T340&gt;0,"Los datos o el total del ID se contradicen. ","")&amp;IF(AND(P340&lt;&gt;"DIMENSIONES",P340&lt;&gt;"DIRECTA",P340&lt;&gt;"SIN LÍNEAS",P340&lt;&gt;"CABECERA"),"Tipo de fila no reconocido. ","")&amp;IF(AND(OR(P340="SIN LÍNEAS",P340="CABECERA"),COUNTA(G340:J340)&gt;0),"La fila dice que no mide, pero contiene medidas. ","")&amp;IF(AND(OR(P340="DIRECTA",P340="DIMENSIONES"),U340=0),"Línea incompleta o con medidas no numéricas. ","")&amp;IF(P340="SIN LÍNEAS","No constan medidas de esta fila. ","")&amp;IF(Y340&gt;0,"Parece m³: tres dimensiones bajo m². ","")&amp;IF(AND(AB340&lt;&gt;"",SUMPRODUCT(--('LÉEME'!$B$65:$B$86=AC340))&lt;&gt;1),"Revisamos el significado de la unidad. ","")&amp;IF(Z340&gt;0,"Más precisión que los decimales indicados: cotejamos el original. ","")&amp;IF(AA340&gt;0,"Revisamos dimensiones, cantidad directa, ceros o deducción. ","")))</f>
      </c>
      <c r="O340" s="0" t="n">
        <f>IF(ISNUMBER(K340),IF(AND(K340&gt;0,K340=INT(K340),K340&lt;=999999),K340,0),0)</f>
        <v>0</v>
      </c>
      <c r="P340" s="0">
        <f>IF(COUNTA(B340:L340)=0,"",IF(L340="",IF(COUNTA(G340:J340)&gt;0,"DIMENSIONES","SIN LÍNEAS"),UPPER(TRIM(L340))))</f>
      </c>
      <c r="Q340" s="0">
        <f>IF(AND(O340&gt;0,LEN(TRIM(B340&amp;""))&gt;0,LEN(TRIM(C340&amp;""))&gt;0,LEN(TRIM(E340&amp;""))&gt;0,ISNUMBER(F340)),O340,"")</f>
      </c>
      <c r="R340" s="0" t="n">
        <f>IF(O340=0,0,IF(COUNTIFS($Q$13:$Q$512,O340)&gt;0,MATCH(O340,$Q$13:$Q$512,0),0))</f>
        <v>0</v>
      </c>
      <c r="S340" s="0">
        <f>IF(AB340="","",IF(SUMPRODUCT(--('LÉEME'!$B$65:$B$86=AC340))=1,INDEX('LÉEME'!$C$65:$C$86,MATCH(AC340,'LÉEME'!$B$65:$B$86,0)),UPPER(TRIM(AB340))))</f>
      </c>
      <c r="T340" s="0" t="n">
        <f>IF(R340=0,0,IF(OR(AND(LEN(TRIM(B340&amp;""))&gt;0,UPPER(TRIM(B340&amp;""))&lt;&gt;UPPER(TRIM(INDEX($B$13:$B$512,R340)&amp;""))),AND(LEN(TRIM(C340&amp;""))&gt;0,UPPER(TRIM(C340&amp;""))&lt;&gt;UPPER(TRIM(INDEX($C$13:$C$512,R340)&amp;""))),AND(LEN(TRIM(E340&amp;""))&gt;0,S340&lt;&gt;INDEX($S$13:$S$512,R340)),AND(F340&lt;&gt;"",NOT(ISNUMBER(F340)))),1,IF(ISNUMBER(F340),IF(ABS(F340-INDEX($F$13:$F$512,R340))&gt;0.00000001,1,0),0)))</f>
        <v>0</v>
      </c>
      <c r="U340" s="0" t="n">
        <f>IF(P340="DIRECTA",IF(AND(ISNUMBER(G340),COUNTA(H340:J340)=0),1,0),IF(P340="DIMENSIONES",IF(AND(COUNT(G340:J340)&gt;0,COUNTA(G340:J340)=COUNT(G340:J340)),1,0),0))</f>
        <v>0</v>
      </c>
      <c r="V340" s="0" t="n">
        <f>IF(O340=0,0,IF(COUNTIFS($O$13:O340,O340)=1,1,0))</f>
        <v>0</v>
      </c>
      <c r="W340" s="0">
        <f>IF(V340=1,COUNTIFS($V$13:V340,1),"")</f>
      </c>
      <c r="X340" s="0">
        <f>IF(COUNTA(B340:L340)=0,"",IF(OR(NOT(IF(ISNUMBER($E$6),AND($E$6&gt;=0,$E$6&lt;=6,$E$6=INT($E$6)),FALSE)),O340=0,R340=0,T340&gt;0,AND(P340&lt;&gt;"DIMENSIONES",P340&lt;&gt;"DIRECTA",P340&lt;&gt;"SIN LÍNEAS",P340&lt;&gt;"CABECERA"),AND(OR(P340="DIRECTA",P340="DIMENSIONES"),U340=0),AND(OR(P340="SIN LÍNEAS",P340="CABECERA"),COUNTA(G340:J340)&gt;0)),2,IF(OR(P340="SIN LÍNEAS",Y340&gt;0,Z340&gt;0,AA340&gt;0,SUMPRODUCT(--('LÉEME'!$B$65:$B$86=AC340))&lt;&gt;1),1,0)))</f>
      </c>
      <c r="Y340" s="0" t="n">
        <f>IF(AND(P340="DIMENSIONES",S340="m²",COUNT(H340:J340)=3),1,0)</f>
        <v>0</v>
      </c>
      <c r="Z340" s="0" t="n">
        <f>IF(IF(ISNUMBER($E$6),AND($E$6&gt;=0,$E$6&lt;=6,$E$6=INT($E$6)),FALSE),IF(SUM(IF(ISNUMBER(F340),IF(ABS(F340-ROUND(F340,$E$6))&gt;0.00000001,1,0),0),IF(ISNUMBER(G340),IF(ABS(G340-ROUND(G340,$E$6))&gt;0.00000001,1,0),0),IF(ISNUMBER(H340),IF(ABS(H340-ROUND(H340,$E$6))&gt;0.00000001,1,0),0),IF(ISNUMBER(I340),IF(ABS(I340-ROUND(I340,$E$6))&gt;0.00000001,1,0),0),IF(ISNUMBER(J340),IF(ABS(J340-ROUND(J340,$E$6))&gt;0.00000001,1,0),0),IF(ISNUMBER(M340),IF(ABS(M340-ROUND(M340,$E$6))&gt;0.00000001,1,0),0))&gt;0,1,0),0)</f>
        <v>0</v>
      </c>
      <c r="AA340" s="0" t="n">
        <f>IF(COUNTA(B340:L340)=0,0,IF(OR(AND(ISNUMBER(F340),F340&lt;0),AND(U340=1,OR(SUM(IF(ISNUMBER(G340),IF(G340=0,1,0),0),IF(ISNUMBER(H340),IF(H340=0,1,0),0),IF(ISNUMBER(I340),IF(I340=0,1,0),0),IF(ISNUMBER(J340),IF(J340=0,1,0),0))&gt;0,COUNTIFS(G340:J340,"&lt;0")&gt;0)),AND(P340="DIMENSIONES",U340=1,OR(AND(S340="m",COUNT(H340:J340)&lt;&gt;1),AND(S340="m²",COUNT(H340:J340)&lt;&gt;2,Y340=0),AND(S340="m³",COUNT(H340:J340)&lt;&gt;3),AND(S340="ud",COUNT(H340:J340)&gt;0))),AND(P340="DIRECTA",OR(S340="m",S340="m²",S340="m³"))),1,0))</f>
        <v>0</v>
      </c>
      <c r="AB340" s="0">
        <f>IF(LEN(TRIM(E340&amp;""))&gt;0,E340,IF(R340&gt;0,INDEX($E$13:$E$512,R340),""))</f>
      </c>
      <c r="AC340" s="0">
        <f>UPPER(SUBSTITUTE(SUBSTITUTE(SUBSTITUTE(SUBSTITUTE(SUBSTITUTE(TRIM(AB340),"²","2"),"³","3"),"^",""),".","")," ",""))</f>
      </c>
    </row>
    <row r="341" ht="35" customHeight="1">
      <c r="B341" s="35"/>
      <c r="C341" s="35"/>
      <c r="D341" s="37"/>
      <c r="E341" s="35"/>
      <c r="F341" s="38"/>
      <c r="G341" s="38"/>
      <c r="H341" s="38"/>
      <c r="I341" s="38"/>
      <c r="J341" s="38"/>
      <c r="K341" s="35"/>
      <c r="L341" s="35"/>
      <c r="M341" s="39">
        <f>IF(U341&lt;&gt;1,"",IF(P341="DIRECTA",G341,IF(ISNUMBER(G341),G341,1)*IF(ISNUMBER(H341),H341,1)*IF(ISNUMBER(I341),I341,1)*IF(ISNUMBER(J341),J341,1)))</f>
      </c>
      <c r="N341" s="30">
        <f>IF(COUNTA(B341:L341)=0,"",IF(X341=0,IF(P341="CABECERA","VERDE · Fila descriptiva; la suma usa las líneas del ID","VERDE · Datos numéricos interpretables"),IF(X341=2,"ROJO · ","ÁMBAR · ")&amp;IF(NOT(IF(ISNUMBER($E$6),AND($E$6&gt;=0,$E$6&lt;=6,$E$6=INT($E$6)),FALSE)),"Indicamos entre 0 y 6 decimales en E6. ","")&amp;IF(O341=0,"Falta un ID numérico. ","")&amp;IF(R341=0,"Faltan capítulo, código, unidad o total numérico del ID. ","")&amp;IF(T341&gt;0,"Los datos o el total del ID se contradicen. ","")&amp;IF(AND(P341&lt;&gt;"DIMENSIONES",P341&lt;&gt;"DIRECTA",P341&lt;&gt;"SIN LÍNEAS",P341&lt;&gt;"CABECERA"),"Tipo de fila no reconocido. ","")&amp;IF(AND(OR(P341="SIN LÍNEAS",P341="CABECERA"),COUNTA(G341:J341)&gt;0),"La fila dice que no mide, pero contiene medidas. ","")&amp;IF(AND(OR(P341="DIRECTA",P341="DIMENSIONES"),U341=0),"Línea incompleta o con medidas no numéricas. ","")&amp;IF(P341="SIN LÍNEAS","No constan medidas de esta fila. ","")&amp;IF(Y341&gt;0,"Parece m³: tres dimensiones bajo m². ","")&amp;IF(AND(AB341&lt;&gt;"",SUMPRODUCT(--('LÉEME'!$B$65:$B$86=AC341))&lt;&gt;1),"Revisamos el significado de la unidad. ","")&amp;IF(Z341&gt;0,"Más precisión que los decimales indicados: cotejamos el original. ","")&amp;IF(AA341&gt;0,"Revisamos dimensiones, cantidad directa, ceros o deducción. ","")))</f>
      </c>
      <c r="O341" s="0" t="n">
        <f>IF(ISNUMBER(K341),IF(AND(K341&gt;0,K341=INT(K341),K341&lt;=999999),K341,0),0)</f>
        <v>0</v>
      </c>
      <c r="P341" s="0">
        <f>IF(COUNTA(B341:L341)=0,"",IF(L341="",IF(COUNTA(G341:J341)&gt;0,"DIMENSIONES","SIN LÍNEAS"),UPPER(TRIM(L341))))</f>
      </c>
      <c r="Q341" s="0">
        <f>IF(AND(O341&gt;0,LEN(TRIM(B341&amp;""))&gt;0,LEN(TRIM(C341&amp;""))&gt;0,LEN(TRIM(E341&amp;""))&gt;0,ISNUMBER(F341)),O341,"")</f>
      </c>
      <c r="R341" s="0" t="n">
        <f>IF(O341=0,0,IF(COUNTIFS($Q$13:$Q$512,O341)&gt;0,MATCH(O341,$Q$13:$Q$512,0),0))</f>
        <v>0</v>
      </c>
      <c r="S341" s="0">
        <f>IF(AB341="","",IF(SUMPRODUCT(--('LÉEME'!$B$65:$B$86=AC341))=1,INDEX('LÉEME'!$C$65:$C$86,MATCH(AC341,'LÉEME'!$B$65:$B$86,0)),UPPER(TRIM(AB341))))</f>
      </c>
      <c r="T341" s="0" t="n">
        <f>IF(R341=0,0,IF(OR(AND(LEN(TRIM(B341&amp;""))&gt;0,UPPER(TRIM(B341&amp;""))&lt;&gt;UPPER(TRIM(INDEX($B$13:$B$512,R341)&amp;""))),AND(LEN(TRIM(C341&amp;""))&gt;0,UPPER(TRIM(C341&amp;""))&lt;&gt;UPPER(TRIM(INDEX($C$13:$C$512,R341)&amp;""))),AND(LEN(TRIM(E341&amp;""))&gt;0,S341&lt;&gt;INDEX($S$13:$S$512,R341)),AND(F341&lt;&gt;"",NOT(ISNUMBER(F341)))),1,IF(ISNUMBER(F341),IF(ABS(F341-INDEX($F$13:$F$512,R341))&gt;0.00000001,1,0),0)))</f>
        <v>0</v>
      </c>
      <c r="U341" s="0" t="n">
        <f>IF(P341="DIRECTA",IF(AND(ISNUMBER(G341),COUNTA(H341:J341)=0),1,0),IF(P341="DIMENSIONES",IF(AND(COUNT(G341:J341)&gt;0,COUNTA(G341:J341)=COUNT(G341:J341)),1,0),0))</f>
        <v>0</v>
      </c>
      <c r="V341" s="0" t="n">
        <f>IF(O341=0,0,IF(COUNTIFS($O$13:O341,O341)=1,1,0))</f>
        <v>0</v>
      </c>
      <c r="W341" s="0">
        <f>IF(V341=1,COUNTIFS($V$13:V341,1),"")</f>
      </c>
      <c r="X341" s="0">
        <f>IF(COUNTA(B341:L341)=0,"",IF(OR(NOT(IF(ISNUMBER($E$6),AND($E$6&gt;=0,$E$6&lt;=6,$E$6=INT($E$6)),FALSE)),O341=0,R341=0,T341&gt;0,AND(P341&lt;&gt;"DIMENSIONES",P341&lt;&gt;"DIRECTA",P341&lt;&gt;"SIN LÍNEAS",P341&lt;&gt;"CABECERA"),AND(OR(P341="DIRECTA",P341="DIMENSIONES"),U341=0),AND(OR(P341="SIN LÍNEAS",P341="CABECERA"),COUNTA(G341:J341)&gt;0)),2,IF(OR(P341="SIN LÍNEAS",Y341&gt;0,Z341&gt;0,AA341&gt;0,SUMPRODUCT(--('LÉEME'!$B$65:$B$86=AC341))&lt;&gt;1),1,0)))</f>
      </c>
      <c r="Y341" s="0" t="n">
        <f>IF(AND(P341="DIMENSIONES",S341="m²",COUNT(H341:J341)=3),1,0)</f>
        <v>0</v>
      </c>
      <c r="Z341" s="0" t="n">
        <f>IF(IF(ISNUMBER($E$6),AND($E$6&gt;=0,$E$6&lt;=6,$E$6=INT($E$6)),FALSE),IF(SUM(IF(ISNUMBER(F341),IF(ABS(F341-ROUND(F341,$E$6))&gt;0.00000001,1,0),0),IF(ISNUMBER(G341),IF(ABS(G341-ROUND(G341,$E$6))&gt;0.00000001,1,0),0),IF(ISNUMBER(H341),IF(ABS(H341-ROUND(H341,$E$6))&gt;0.00000001,1,0),0),IF(ISNUMBER(I341),IF(ABS(I341-ROUND(I341,$E$6))&gt;0.00000001,1,0),0),IF(ISNUMBER(J341),IF(ABS(J341-ROUND(J341,$E$6))&gt;0.00000001,1,0),0),IF(ISNUMBER(M341),IF(ABS(M341-ROUND(M341,$E$6))&gt;0.00000001,1,0),0))&gt;0,1,0),0)</f>
        <v>0</v>
      </c>
      <c r="AA341" s="0" t="n">
        <f>IF(COUNTA(B341:L341)=0,0,IF(OR(AND(ISNUMBER(F341),F341&lt;0),AND(U341=1,OR(SUM(IF(ISNUMBER(G341),IF(G341=0,1,0),0),IF(ISNUMBER(H341),IF(H341=0,1,0),0),IF(ISNUMBER(I341),IF(I341=0,1,0),0),IF(ISNUMBER(J341),IF(J341=0,1,0),0))&gt;0,COUNTIFS(G341:J341,"&lt;0")&gt;0)),AND(P341="DIMENSIONES",U341=1,OR(AND(S341="m",COUNT(H341:J341)&lt;&gt;1),AND(S341="m²",COUNT(H341:J341)&lt;&gt;2,Y341=0),AND(S341="m³",COUNT(H341:J341)&lt;&gt;3),AND(S341="ud",COUNT(H341:J341)&gt;0))),AND(P341="DIRECTA",OR(S341="m",S341="m²",S341="m³"))),1,0))</f>
        <v>0</v>
      </c>
      <c r="AB341" s="0">
        <f>IF(LEN(TRIM(E341&amp;""))&gt;0,E341,IF(R341&gt;0,INDEX($E$13:$E$512,R341),""))</f>
      </c>
      <c r="AC341" s="0">
        <f>UPPER(SUBSTITUTE(SUBSTITUTE(SUBSTITUTE(SUBSTITUTE(SUBSTITUTE(TRIM(AB341),"²","2"),"³","3"),"^",""),".","")," ",""))</f>
      </c>
    </row>
    <row r="342" ht="35" customHeight="1">
      <c r="B342" s="35"/>
      <c r="C342" s="35"/>
      <c r="D342" s="37"/>
      <c r="E342" s="35"/>
      <c r="F342" s="38"/>
      <c r="G342" s="38"/>
      <c r="H342" s="38"/>
      <c r="I342" s="38"/>
      <c r="J342" s="38"/>
      <c r="K342" s="35"/>
      <c r="L342" s="35"/>
      <c r="M342" s="39">
        <f>IF(U342&lt;&gt;1,"",IF(P342="DIRECTA",G342,IF(ISNUMBER(G342),G342,1)*IF(ISNUMBER(H342),H342,1)*IF(ISNUMBER(I342),I342,1)*IF(ISNUMBER(J342),J342,1)))</f>
      </c>
      <c r="N342" s="30">
        <f>IF(COUNTA(B342:L342)=0,"",IF(X342=0,IF(P342="CABECERA","VERDE · Fila descriptiva; la suma usa las líneas del ID","VERDE · Datos numéricos interpretables"),IF(X342=2,"ROJO · ","ÁMBAR · ")&amp;IF(NOT(IF(ISNUMBER($E$6),AND($E$6&gt;=0,$E$6&lt;=6,$E$6=INT($E$6)),FALSE)),"Indicamos entre 0 y 6 decimales en E6. ","")&amp;IF(O342=0,"Falta un ID numérico. ","")&amp;IF(R342=0,"Faltan capítulo, código, unidad o total numérico del ID. ","")&amp;IF(T342&gt;0,"Los datos o el total del ID se contradicen. ","")&amp;IF(AND(P342&lt;&gt;"DIMENSIONES",P342&lt;&gt;"DIRECTA",P342&lt;&gt;"SIN LÍNEAS",P342&lt;&gt;"CABECERA"),"Tipo de fila no reconocido. ","")&amp;IF(AND(OR(P342="SIN LÍNEAS",P342="CABECERA"),COUNTA(G342:J342)&gt;0),"La fila dice que no mide, pero contiene medidas. ","")&amp;IF(AND(OR(P342="DIRECTA",P342="DIMENSIONES"),U342=0),"Línea incompleta o con medidas no numéricas. ","")&amp;IF(P342="SIN LÍNEAS","No constan medidas de esta fila. ","")&amp;IF(Y342&gt;0,"Parece m³: tres dimensiones bajo m². ","")&amp;IF(AND(AB342&lt;&gt;"",SUMPRODUCT(--('LÉEME'!$B$65:$B$86=AC342))&lt;&gt;1),"Revisamos el significado de la unidad. ","")&amp;IF(Z342&gt;0,"Más precisión que los decimales indicados: cotejamos el original. ","")&amp;IF(AA342&gt;0,"Revisamos dimensiones, cantidad directa, ceros o deducción. ","")))</f>
      </c>
      <c r="O342" s="0" t="n">
        <f>IF(ISNUMBER(K342),IF(AND(K342&gt;0,K342=INT(K342),K342&lt;=999999),K342,0),0)</f>
        <v>0</v>
      </c>
      <c r="P342" s="0">
        <f>IF(COUNTA(B342:L342)=0,"",IF(L342="",IF(COUNTA(G342:J342)&gt;0,"DIMENSIONES","SIN LÍNEAS"),UPPER(TRIM(L342))))</f>
      </c>
      <c r="Q342" s="0">
        <f>IF(AND(O342&gt;0,LEN(TRIM(B342&amp;""))&gt;0,LEN(TRIM(C342&amp;""))&gt;0,LEN(TRIM(E342&amp;""))&gt;0,ISNUMBER(F342)),O342,"")</f>
      </c>
      <c r="R342" s="0" t="n">
        <f>IF(O342=0,0,IF(COUNTIFS($Q$13:$Q$512,O342)&gt;0,MATCH(O342,$Q$13:$Q$512,0),0))</f>
        <v>0</v>
      </c>
      <c r="S342" s="0">
        <f>IF(AB342="","",IF(SUMPRODUCT(--('LÉEME'!$B$65:$B$86=AC342))=1,INDEX('LÉEME'!$C$65:$C$86,MATCH(AC342,'LÉEME'!$B$65:$B$86,0)),UPPER(TRIM(AB342))))</f>
      </c>
      <c r="T342" s="0" t="n">
        <f>IF(R342=0,0,IF(OR(AND(LEN(TRIM(B342&amp;""))&gt;0,UPPER(TRIM(B342&amp;""))&lt;&gt;UPPER(TRIM(INDEX($B$13:$B$512,R342)&amp;""))),AND(LEN(TRIM(C342&amp;""))&gt;0,UPPER(TRIM(C342&amp;""))&lt;&gt;UPPER(TRIM(INDEX($C$13:$C$512,R342)&amp;""))),AND(LEN(TRIM(E342&amp;""))&gt;0,S342&lt;&gt;INDEX($S$13:$S$512,R342)),AND(F342&lt;&gt;"",NOT(ISNUMBER(F342)))),1,IF(ISNUMBER(F342),IF(ABS(F342-INDEX($F$13:$F$512,R342))&gt;0.00000001,1,0),0)))</f>
        <v>0</v>
      </c>
      <c r="U342" s="0" t="n">
        <f>IF(P342="DIRECTA",IF(AND(ISNUMBER(G342),COUNTA(H342:J342)=0),1,0),IF(P342="DIMENSIONES",IF(AND(COUNT(G342:J342)&gt;0,COUNTA(G342:J342)=COUNT(G342:J342)),1,0),0))</f>
        <v>0</v>
      </c>
      <c r="V342" s="0" t="n">
        <f>IF(O342=0,0,IF(COUNTIFS($O$13:O342,O342)=1,1,0))</f>
        <v>0</v>
      </c>
      <c r="W342" s="0">
        <f>IF(V342=1,COUNTIFS($V$13:V342,1),"")</f>
      </c>
      <c r="X342" s="0">
        <f>IF(COUNTA(B342:L342)=0,"",IF(OR(NOT(IF(ISNUMBER($E$6),AND($E$6&gt;=0,$E$6&lt;=6,$E$6=INT($E$6)),FALSE)),O342=0,R342=0,T342&gt;0,AND(P342&lt;&gt;"DIMENSIONES",P342&lt;&gt;"DIRECTA",P342&lt;&gt;"SIN LÍNEAS",P342&lt;&gt;"CABECERA"),AND(OR(P342="DIRECTA",P342="DIMENSIONES"),U342=0),AND(OR(P342="SIN LÍNEAS",P342="CABECERA"),COUNTA(G342:J342)&gt;0)),2,IF(OR(P342="SIN LÍNEAS",Y342&gt;0,Z342&gt;0,AA342&gt;0,SUMPRODUCT(--('LÉEME'!$B$65:$B$86=AC342))&lt;&gt;1),1,0)))</f>
      </c>
      <c r="Y342" s="0" t="n">
        <f>IF(AND(P342="DIMENSIONES",S342="m²",COUNT(H342:J342)=3),1,0)</f>
        <v>0</v>
      </c>
      <c r="Z342" s="0" t="n">
        <f>IF(IF(ISNUMBER($E$6),AND($E$6&gt;=0,$E$6&lt;=6,$E$6=INT($E$6)),FALSE),IF(SUM(IF(ISNUMBER(F342),IF(ABS(F342-ROUND(F342,$E$6))&gt;0.00000001,1,0),0),IF(ISNUMBER(G342),IF(ABS(G342-ROUND(G342,$E$6))&gt;0.00000001,1,0),0),IF(ISNUMBER(H342),IF(ABS(H342-ROUND(H342,$E$6))&gt;0.00000001,1,0),0),IF(ISNUMBER(I342),IF(ABS(I342-ROUND(I342,$E$6))&gt;0.00000001,1,0),0),IF(ISNUMBER(J342),IF(ABS(J342-ROUND(J342,$E$6))&gt;0.00000001,1,0),0),IF(ISNUMBER(M342),IF(ABS(M342-ROUND(M342,$E$6))&gt;0.00000001,1,0),0))&gt;0,1,0),0)</f>
        <v>0</v>
      </c>
      <c r="AA342" s="0" t="n">
        <f>IF(COUNTA(B342:L342)=0,0,IF(OR(AND(ISNUMBER(F342),F342&lt;0),AND(U342=1,OR(SUM(IF(ISNUMBER(G342),IF(G342=0,1,0),0),IF(ISNUMBER(H342),IF(H342=0,1,0),0),IF(ISNUMBER(I342),IF(I342=0,1,0),0),IF(ISNUMBER(J342),IF(J342=0,1,0),0))&gt;0,COUNTIFS(G342:J342,"&lt;0")&gt;0)),AND(P342="DIMENSIONES",U342=1,OR(AND(S342="m",COUNT(H342:J342)&lt;&gt;1),AND(S342="m²",COUNT(H342:J342)&lt;&gt;2,Y342=0),AND(S342="m³",COUNT(H342:J342)&lt;&gt;3),AND(S342="ud",COUNT(H342:J342)&gt;0))),AND(P342="DIRECTA",OR(S342="m",S342="m²",S342="m³"))),1,0))</f>
        <v>0</v>
      </c>
      <c r="AB342" s="0">
        <f>IF(LEN(TRIM(E342&amp;""))&gt;0,E342,IF(R342&gt;0,INDEX($E$13:$E$512,R342),""))</f>
      </c>
      <c r="AC342" s="0">
        <f>UPPER(SUBSTITUTE(SUBSTITUTE(SUBSTITUTE(SUBSTITUTE(SUBSTITUTE(TRIM(AB342),"²","2"),"³","3"),"^",""),".","")," ",""))</f>
      </c>
    </row>
    <row r="343" ht="35" customHeight="1">
      <c r="B343" s="35"/>
      <c r="C343" s="35"/>
      <c r="D343" s="37"/>
      <c r="E343" s="35"/>
      <c r="F343" s="38"/>
      <c r="G343" s="38"/>
      <c r="H343" s="38"/>
      <c r="I343" s="38"/>
      <c r="J343" s="38"/>
      <c r="K343" s="35"/>
      <c r="L343" s="35"/>
      <c r="M343" s="39">
        <f>IF(U343&lt;&gt;1,"",IF(P343="DIRECTA",G343,IF(ISNUMBER(G343),G343,1)*IF(ISNUMBER(H343),H343,1)*IF(ISNUMBER(I343),I343,1)*IF(ISNUMBER(J343),J343,1)))</f>
      </c>
      <c r="N343" s="30">
        <f>IF(COUNTA(B343:L343)=0,"",IF(X343=0,IF(P343="CABECERA","VERDE · Fila descriptiva; la suma usa las líneas del ID","VERDE · Datos numéricos interpretables"),IF(X343=2,"ROJO · ","ÁMBAR · ")&amp;IF(NOT(IF(ISNUMBER($E$6),AND($E$6&gt;=0,$E$6&lt;=6,$E$6=INT($E$6)),FALSE)),"Indicamos entre 0 y 6 decimales en E6. ","")&amp;IF(O343=0,"Falta un ID numérico. ","")&amp;IF(R343=0,"Faltan capítulo, código, unidad o total numérico del ID. ","")&amp;IF(T343&gt;0,"Los datos o el total del ID se contradicen. ","")&amp;IF(AND(P343&lt;&gt;"DIMENSIONES",P343&lt;&gt;"DIRECTA",P343&lt;&gt;"SIN LÍNEAS",P343&lt;&gt;"CABECERA"),"Tipo de fila no reconocido. ","")&amp;IF(AND(OR(P343="SIN LÍNEAS",P343="CABECERA"),COUNTA(G343:J343)&gt;0),"La fila dice que no mide, pero contiene medidas. ","")&amp;IF(AND(OR(P343="DIRECTA",P343="DIMENSIONES"),U343=0),"Línea incompleta o con medidas no numéricas. ","")&amp;IF(P343="SIN LÍNEAS","No constan medidas de esta fila. ","")&amp;IF(Y343&gt;0,"Parece m³: tres dimensiones bajo m². ","")&amp;IF(AND(AB343&lt;&gt;"",SUMPRODUCT(--('LÉEME'!$B$65:$B$86=AC343))&lt;&gt;1),"Revisamos el significado de la unidad. ","")&amp;IF(Z343&gt;0,"Más precisión que los decimales indicados: cotejamos el original. ","")&amp;IF(AA343&gt;0,"Revisamos dimensiones, cantidad directa, ceros o deducción. ","")))</f>
      </c>
      <c r="O343" s="0" t="n">
        <f>IF(ISNUMBER(K343),IF(AND(K343&gt;0,K343=INT(K343),K343&lt;=999999),K343,0),0)</f>
        <v>0</v>
      </c>
      <c r="P343" s="0">
        <f>IF(COUNTA(B343:L343)=0,"",IF(L343="",IF(COUNTA(G343:J343)&gt;0,"DIMENSIONES","SIN LÍNEAS"),UPPER(TRIM(L343))))</f>
      </c>
      <c r="Q343" s="0">
        <f>IF(AND(O343&gt;0,LEN(TRIM(B343&amp;""))&gt;0,LEN(TRIM(C343&amp;""))&gt;0,LEN(TRIM(E343&amp;""))&gt;0,ISNUMBER(F343)),O343,"")</f>
      </c>
      <c r="R343" s="0" t="n">
        <f>IF(O343=0,0,IF(COUNTIFS($Q$13:$Q$512,O343)&gt;0,MATCH(O343,$Q$13:$Q$512,0),0))</f>
        <v>0</v>
      </c>
      <c r="S343" s="0">
        <f>IF(AB343="","",IF(SUMPRODUCT(--('LÉEME'!$B$65:$B$86=AC343))=1,INDEX('LÉEME'!$C$65:$C$86,MATCH(AC343,'LÉEME'!$B$65:$B$86,0)),UPPER(TRIM(AB343))))</f>
      </c>
      <c r="T343" s="0" t="n">
        <f>IF(R343=0,0,IF(OR(AND(LEN(TRIM(B343&amp;""))&gt;0,UPPER(TRIM(B343&amp;""))&lt;&gt;UPPER(TRIM(INDEX($B$13:$B$512,R343)&amp;""))),AND(LEN(TRIM(C343&amp;""))&gt;0,UPPER(TRIM(C343&amp;""))&lt;&gt;UPPER(TRIM(INDEX($C$13:$C$512,R343)&amp;""))),AND(LEN(TRIM(E343&amp;""))&gt;0,S343&lt;&gt;INDEX($S$13:$S$512,R343)),AND(F343&lt;&gt;"",NOT(ISNUMBER(F343)))),1,IF(ISNUMBER(F343),IF(ABS(F343-INDEX($F$13:$F$512,R343))&gt;0.00000001,1,0),0)))</f>
        <v>0</v>
      </c>
      <c r="U343" s="0" t="n">
        <f>IF(P343="DIRECTA",IF(AND(ISNUMBER(G343),COUNTA(H343:J343)=0),1,0),IF(P343="DIMENSIONES",IF(AND(COUNT(G343:J343)&gt;0,COUNTA(G343:J343)=COUNT(G343:J343)),1,0),0))</f>
        <v>0</v>
      </c>
      <c r="V343" s="0" t="n">
        <f>IF(O343=0,0,IF(COUNTIFS($O$13:O343,O343)=1,1,0))</f>
        <v>0</v>
      </c>
      <c r="W343" s="0">
        <f>IF(V343=1,COUNTIFS($V$13:V343,1),"")</f>
      </c>
      <c r="X343" s="0">
        <f>IF(COUNTA(B343:L343)=0,"",IF(OR(NOT(IF(ISNUMBER($E$6),AND($E$6&gt;=0,$E$6&lt;=6,$E$6=INT($E$6)),FALSE)),O343=0,R343=0,T343&gt;0,AND(P343&lt;&gt;"DIMENSIONES",P343&lt;&gt;"DIRECTA",P343&lt;&gt;"SIN LÍNEAS",P343&lt;&gt;"CABECERA"),AND(OR(P343="DIRECTA",P343="DIMENSIONES"),U343=0),AND(OR(P343="SIN LÍNEAS",P343="CABECERA"),COUNTA(G343:J343)&gt;0)),2,IF(OR(P343="SIN LÍNEAS",Y343&gt;0,Z343&gt;0,AA343&gt;0,SUMPRODUCT(--('LÉEME'!$B$65:$B$86=AC343))&lt;&gt;1),1,0)))</f>
      </c>
      <c r="Y343" s="0" t="n">
        <f>IF(AND(P343="DIMENSIONES",S343="m²",COUNT(H343:J343)=3),1,0)</f>
        <v>0</v>
      </c>
      <c r="Z343" s="0" t="n">
        <f>IF(IF(ISNUMBER($E$6),AND($E$6&gt;=0,$E$6&lt;=6,$E$6=INT($E$6)),FALSE),IF(SUM(IF(ISNUMBER(F343),IF(ABS(F343-ROUND(F343,$E$6))&gt;0.00000001,1,0),0),IF(ISNUMBER(G343),IF(ABS(G343-ROUND(G343,$E$6))&gt;0.00000001,1,0),0),IF(ISNUMBER(H343),IF(ABS(H343-ROUND(H343,$E$6))&gt;0.00000001,1,0),0),IF(ISNUMBER(I343),IF(ABS(I343-ROUND(I343,$E$6))&gt;0.00000001,1,0),0),IF(ISNUMBER(J343),IF(ABS(J343-ROUND(J343,$E$6))&gt;0.00000001,1,0),0),IF(ISNUMBER(M343),IF(ABS(M343-ROUND(M343,$E$6))&gt;0.00000001,1,0),0))&gt;0,1,0),0)</f>
        <v>0</v>
      </c>
      <c r="AA343" s="0" t="n">
        <f>IF(COUNTA(B343:L343)=0,0,IF(OR(AND(ISNUMBER(F343),F343&lt;0),AND(U343=1,OR(SUM(IF(ISNUMBER(G343),IF(G343=0,1,0),0),IF(ISNUMBER(H343),IF(H343=0,1,0),0),IF(ISNUMBER(I343),IF(I343=0,1,0),0),IF(ISNUMBER(J343),IF(J343=0,1,0),0))&gt;0,COUNTIFS(G343:J343,"&lt;0")&gt;0)),AND(P343="DIMENSIONES",U343=1,OR(AND(S343="m",COUNT(H343:J343)&lt;&gt;1),AND(S343="m²",COUNT(H343:J343)&lt;&gt;2,Y343=0),AND(S343="m³",COUNT(H343:J343)&lt;&gt;3),AND(S343="ud",COUNT(H343:J343)&gt;0))),AND(P343="DIRECTA",OR(S343="m",S343="m²",S343="m³"))),1,0))</f>
        <v>0</v>
      </c>
      <c r="AB343" s="0">
        <f>IF(LEN(TRIM(E343&amp;""))&gt;0,E343,IF(R343&gt;0,INDEX($E$13:$E$512,R343),""))</f>
      </c>
      <c r="AC343" s="0">
        <f>UPPER(SUBSTITUTE(SUBSTITUTE(SUBSTITUTE(SUBSTITUTE(SUBSTITUTE(TRIM(AB343),"²","2"),"³","3"),"^",""),".","")," ",""))</f>
      </c>
    </row>
    <row r="344" ht="35" customHeight="1">
      <c r="B344" s="35"/>
      <c r="C344" s="35"/>
      <c r="D344" s="37"/>
      <c r="E344" s="35"/>
      <c r="F344" s="38"/>
      <c r="G344" s="38"/>
      <c r="H344" s="38"/>
      <c r="I344" s="38"/>
      <c r="J344" s="38"/>
      <c r="K344" s="35"/>
      <c r="L344" s="35"/>
      <c r="M344" s="39">
        <f>IF(U344&lt;&gt;1,"",IF(P344="DIRECTA",G344,IF(ISNUMBER(G344),G344,1)*IF(ISNUMBER(H344),H344,1)*IF(ISNUMBER(I344),I344,1)*IF(ISNUMBER(J344),J344,1)))</f>
      </c>
      <c r="N344" s="30">
        <f>IF(COUNTA(B344:L344)=0,"",IF(X344=0,IF(P344="CABECERA","VERDE · Fila descriptiva; la suma usa las líneas del ID","VERDE · Datos numéricos interpretables"),IF(X344=2,"ROJO · ","ÁMBAR · ")&amp;IF(NOT(IF(ISNUMBER($E$6),AND($E$6&gt;=0,$E$6&lt;=6,$E$6=INT($E$6)),FALSE)),"Indicamos entre 0 y 6 decimales en E6. ","")&amp;IF(O344=0,"Falta un ID numérico. ","")&amp;IF(R344=0,"Faltan capítulo, código, unidad o total numérico del ID. ","")&amp;IF(T344&gt;0,"Los datos o el total del ID se contradicen. ","")&amp;IF(AND(P344&lt;&gt;"DIMENSIONES",P344&lt;&gt;"DIRECTA",P344&lt;&gt;"SIN LÍNEAS",P344&lt;&gt;"CABECERA"),"Tipo de fila no reconocido. ","")&amp;IF(AND(OR(P344="SIN LÍNEAS",P344="CABECERA"),COUNTA(G344:J344)&gt;0),"La fila dice que no mide, pero contiene medidas. ","")&amp;IF(AND(OR(P344="DIRECTA",P344="DIMENSIONES"),U344=0),"Línea incompleta o con medidas no numéricas. ","")&amp;IF(P344="SIN LÍNEAS","No constan medidas de esta fila. ","")&amp;IF(Y344&gt;0,"Parece m³: tres dimensiones bajo m². ","")&amp;IF(AND(AB344&lt;&gt;"",SUMPRODUCT(--('LÉEME'!$B$65:$B$86=AC344))&lt;&gt;1),"Revisamos el significado de la unidad. ","")&amp;IF(Z344&gt;0,"Más precisión que los decimales indicados: cotejamos el original. ","")&amp;IF(AA344&gt;0,"Revisamos dimensiones, cantidad directa, ceros o deducción. ","")))</f>
      </c>
      <c r="O344" s="0" t="n">
        <f>IF(ISNUMBER(K344),IF(AND(K344&gt;0,K344=INT(K344),K344&lt;=999999),K344,0),0)</f>
        <v>0</v>
      </c>
      <c r="P344" s="0">
        <f>IF(COUNTA(B344:L344)=0,"",IF(L344="",IF(COUNTA(G344:J344)&gt;0,"DIMENSIONES","SIN LÍNEAS"),UPPER(TRIM(L344))))</f>
      </c>
      <c r="Q344" s="0">
        <f>IF(AND(O344&gt;0,LEN(TRIM(B344&amp;""))&gt;0,LEN(TRIM(C344&amp;""))&gt;0,LEN(TRIM(E344&amp;""))&gt;0,ISNUMBER(F344)),O344,"")</f>
      </c>
      <c r="R344" s="0" t="n">
        <f>IF(O344=0,0,IF(COUNTIFS($Q$13:$Q$512,O344)&gt;0,MATCH(O344,$Q$13:$Q$512,0),0))</f>
        <v>0</v>
      </c>
      <c r="S344" s="0">
        <f>IF(AB344="","",IF(SUMPRODUCT(--('LÉEME'!$B$65:$B$86=AC344))=1,INDEX('LÉEME'!$C$65:$C$86,MATCH(AC344,'LÉEME'!$B$65:$B$86,0)),UPPER(TRIM(AB344))))</f>
      </c>
      <c r="T344" s="0" t="n">
        <f>IF(R344=0,0,IF(OR(AND(LEN(TRIM(B344&amp;""))&gt;0,UPPER(TRIM(B344&amp;""))&lt;&gt;UPPER(TRIM(INDEX($B$13:$B$512,R344)&amp;""))),AND(LEN(TRIM(C344&amp;""))&gt;0,UPPER(TRIM(C344&amp;""))&lt;&gt;UPPER(TRIM(INDEX($C$13:$C$512,R344)&amp;""))),AND(LEN(TRIM(E344&amp;""))&gt;0,S344&lt;&gt;INDEX($S$13:$S$512,R344)),AND(F344&lt;&gt;"",NOT(ISNUMBER(F344)))),1,IF(ISNUMBER(F344),IF(ABS(F344-INDEX($F$13:$F$512,R344))&gt;0.00000001,1,0),0)))</f>
        <v>0</v>
      </c>
      <c r="U344" s="0" t="n">
        <f>IF(P344="DIRECTA",IF(AND(ISNUMBER(G344),COUNTA(H344:J344)=0),1,0),IF(P344="DIMENSIONES",IF(AND(COUNT(G344:J344)&gt;0,COUNTA(G344:J344)=COUNT(G344:J344)),1,0),0))</f>
        <v>0</v>
      </c>
      <c r="V344" s="0" t="n">
        <f>IF(O344=0,0,IF(COUNTIFS($O$13:O344,O344)=1,1,0))</f>
        <v>0</v>
      </c>
      <c r="W344" s="0">
        <f>IF(V344=1,COUNTIFS($V$13:V344,1),"")</f>
      </c>
      <c r="X344" s="0">
        <f>IF(COUNTA(B344:L344)=0,"",IF(OR(NOT(IF(ISNUMBER($E$6),AND($E$6&gt;=0,$E$6&lt;=6,$E$6=INT($E$6)),FALSE)),O344=0,R344=0,T344&gt;0,AND(P344&lt;&gt;"DIMENSIONES",P344&lt;&gt;"DIRECTA",P344&lt;&gt;"SIN LÍNEAS",P344&lt;&gt;"CABECERA"),AND(OR(P344="DIRECTA",P344="DIMENSIONES"),U344=0),AND(OR(P344="SIN LÍNEAS",P344="CABECERA"),COUNTA(G344:J344)&gt;0)),2,IF(OR(P344="SIN LÍNEAS",Y344&gt;0,Z344&gt;0,AA344&gt;0,SUMPRODUCT(--('LÉEME'!$B$65:$B$86=AC344))&lt;&gt;1),1,0)))</f>
      </c>
      <c r="Y344" s="0" t="n">
        <f>IF(AND(P344="DIMENSIONES",S344="m²",COUNT(H344:J344)=3),1,0)</f>
        <v>0</v>
      </c>
      <c r="Z344" s="0" t="n">
        <f>IF(IF(ISNUMBER($E$6),AND($E$6&gt;=0,$E$6&lt;=6,$E$6=INT($E$6)),FALSE),IF(SUM(IF(ISNUMBER(F344),IF(ABS(F344-ROUND(F344,$E$6))&gt;0.00000001,1,0),0),IF(ISNUMBER(G344),IF(ABS(G344-ROUND(G344,$E$6))&gt;0.00000001,1,0),0),IF(ISNUMBER(H344),IF(ABS(H344-ROUND(H344,$E$6))&gt;0.00000001,1,0),0),IF(ISNUMBER(I344),IF(ABS(I344-ROUND(I344,$E$6))&gt;0.00000001,1,0),0),IF(ISNUMBER(J344),IF(ABS(J344-ROUND(J344,$E$6))&gt;0.00000001,1,0),0),IF(ISNUMBER(M344),IF(ABS(M344-ROUND(M344,$E$6))&gt;0.00000001,1,0),0))&gt;0,1,0),0)</f>
        <v>0</v>
      </c>
      <c r="AA344" s="0" t="n">
        <f>IF(COUNTA(B344:L344)=0,0,IF(OR(AND(ISNUMBER(F344),F344&lt;0),AND(U344=1,OR(SUM(IF(ISNUMBER(G344),IF(G344=0,1,0),0),IF(ISNUMBER(H344),IF(H344=0,1,0),0),IF(ISNUMBER(I344),IF(I344=0,1,0),0),IF(ISNUMBER(J344),IF(J344=0,1,0),0))&gt;0,COUNTIFS(G344:J344,"&lt;0")&gt;0)),AND(P344="DIMENSIONES",U344=1,OR(AND(S344="m",COUNT(H344:J344)&lt;&gt;1),AND(S344="m²",COUNT(H344:J344)&lt;&gt;2,Y344=0),AND(S344="m³",COUNT(H344:J344)&lt;&gt;3),AND(S344="ud",COUNT(H344:J344)&gt;0))),AND(P344="DIRECTA",OR(S344="m",S344="m²",S344="m³"))),1,0))</f>
        <v>0</v>
      </c>
      <c r="AB344" s="0">
        <f>IF(LEN(TRIM(E344&amp;""))&gt;0,E344,IF(R344&gt;0,INDEX($E$13:$E$512,R344),""))</f>
      </c>
      <c r="AC344" s="0">
        <f>UPPER(SUBSTITUTE(SUBSTITUTE(SUBSTITUTE(SUBSTITUTE(SUBSTITUTE(TRIM(AB344),"²","2"),"³","3"),"^",""),".","")," ",""))</f>
      </c>
    </row>
    <row r="345" ht="35" customHeight="1">
      <c r="B345" s="35"/>
      <c r="C345" s="35"/>
      <c r="D345" s="37"/>
      <c r="E345" s="35"/>
      <c r="F345" s="38"/>
      <c r="G345" s="38"/>
      <c r="H345" s="38"/>
      <c r="I345" s="38"/>
      <c r="J345" s="38"/>
      <c r="K345" s="35"/>
      <c r="L345" s="35"/>
      <c r="M345" s="39">
        <f>IF(U345&lt;&gt;1,"",IF(P345="DIRECTA",G345,IF(ISNUMBER(G345),G345,1)*IF(ISNUMBER(H345),H345,1)*IF(ISNUMBER(I345),I345,1)*IF(ISNUMBER(J345),J345,1)))</f>
      </c>
      <c r="N345" s="30">
        <f>IF(COUNTA(B345:L345)=0,"",IF(X345=0,IF(P345="CABECERA","VERDE · Fila descriptiva; la suma usa las líneas del ID","VERDE · Datos numéricos interpretables"),IF(X345=2,"ROJO · ","ÁMBAR · ")&amp;IF(NOT(IF(ISNUMBER($E$6),AND($E$6&gt;=0,$E$6&lt;=6,$E$6=INT($E$6)),FALSE)),"Indicamos entre 0 y 6 decimales en E6. ","")&amp;IF(O345=0,"Falta un ID numérico. ","")&amp;IF(R345=0,"Faltan capítulo, código, unidad o total numérico del ID. ","")&amp;IF(T345&gt;0,"Los datos o el total del ID se contradicen. ","")&amp;IF(AND(P345&lt;&gt;"DIMENSIONES",P345&lt;&gt;"DIRECTA",P345&lt;&gt;"SIN LÍNEAS",P345&lt;&gt;"CABECERA"),"Tipo de fila no reconocido. ","")&amp;IF(AND(OR(P345="SIN LÍNEAS",P345="CABECERA"),COUNTA(G345:J345)&gt;0),"La fila dice que no mide, pero contiene medidas. ","")&amp;IF(AND(OR(P345="DIRECTA",P345="DIMENSIONES"),U345=0),"Línea incompleta o con medidas no numéricas. ","")&amp;IF(P345="SIN LÍNEAS","No constan medidas de esta fila. ","")&amp;IF(Y345&gt;0,"Parece m³: tres dimensiones bajo m². ","")&amp;IF(AND(AB345&lt;&gt;"",SUMPRODUCT(--('LÉEME'!$B$65:$B$86=AC345))&lt;&gt;1),"Revisamos el significado de la unidad. ","")&amp;IF(Z345&gt;0,"Más precisión que los decimales indicados: cotejamos el original. ","")&amp;IF(AA345&gt;0,"Revisamos dimensiones, cantidad directa, ceros o deducción. ","")))</f>
      </c>
      <c r="O345" s="0" t="n">
        <f>IF(ISNUMBER(K345),IF(AND(K345&gt;0,K345=INT(K345),K345&lt;=999999),K345,0),0)</f>
        <v>0</v>
      </c>
      <c r="P345" s="0">
        <f>IF(COUNTA(B345:L345)=0,"",IF(L345="",IF(COUNTA(G345:J345)&gt;0,"DIMENSIONES","SIN LÍNEAS"),UPPER(TRIM(L345))))</f>
      </c>
      <c r="Q345" s="0">
        <f>IF(AND(O345&gt;0,LEN(TRIM(B345&amp;""))&gt;0,LEN(TRIM(C345&amp;""))&gt;0,LEN(TRIM(E345&amp;""))&gt;0,ISNUMBER(F345)),O345,"")</f>
      </c>
      <c r="R345" s="0" t="n">
        <f>IF(O345=0,0,IF(COUNTIFS($Q$13:$Q$512,O345)&gt;0,MATCH(O345,$Q$13:$Q$512,0),0))</f>
        <v>0</v>
      </c>
      <c r="S345" s="0">
        <f>IF(AB345="","",IF(SUMPRODUCT(--('LÉEME'!$B$65:$B$86=AC345))=1,INDEX('LÉEME'!$C$65:$C$86,MATCH(AC345,'LÉEME'!$B$65:$B$86,0)),UPPER(TRIM(AB345))))</f>
      </c>
      <c r="T345" s="0" t="n">
        <f>IF(R345=0,0,IF(OR(AND(LEN(TRIM(B345&amp;""))&gt;0,UPPER(TRIM(B345&amp;""))&lt;&gt;UPPER(TRIM(INDEX($B$13:$B$512,R345)&amp;""))),AND(LEN(TRIM(C345&amp;""))&gt;0,UPPER(TRIM(C345&amp;""))&lt;&gt;UPPER(TRIM(INDEX($C$13:$C$512,R345)&amp;""))),AND(LEN(TRIM(E345&amp;""))&gt;0,S345&lt;&gt;INDEX($S$13:$S$512,R345)),AND(F345&lt;&gt;"",NOT(ISNUMBER(F345)))),1,IF(ISNUMBER(F345),IF(ABS(F345-INDEX($F$13:$F$512,R345))&gt;0.00000001,1,0),0)))</f>
        <v>0</v>
      </c>
      <c r="U345" s="0" t="n">
        <f>IF(P345="DIRECTA",IF(AND(ISNUMBER(G345),COUNTA(H345:J345)=0),1,0),IF(P345="DIMENSIONES",IF(AND(COUNT(G345:J345)&gt;0,COUNTA(G345:J345)=COUNT(G345:J345)),1,0),0))</f>
        <v>0</v>
      </c>
      <c r="V345" s="0" t="n">
        <f>IF(O345=0,0,IF(COUNTIFS($O$13:O345,O345)=1,1,0))</f>
        <v>0</v>
      </c>
      <c r="W345" s="0">
        <f>IF(V345=1,COUNTIFS($V$13:V345,1),"")</f>
      </c>
      <c r="X345" s="0">
        <f>IF(COUNTA(B345:L345)=0,"",IF(OR(NOT(IF(ISNUMBER($E$6),AND($E$6&gt;=0,$E$6&lt;=6,$E$6=INT($E$6)),FALSE)),O345=0,R345=0,T345&gt;0,AND(P345&lt;&gt;"DIMENSIONES",P345&lt;&gt;"DIRECTA",P345&lt;&gt;"SIN LÍNEAS",P345&lt;&gt;"CABECERA"),AND(OR(P345="DIRECTA",P345="DIMENSIONES"),U345=0),AND(OR(P345="SIN LÍNEAS",P345="CABECERA"),COUNTA(G345:J345)&gt;0)),2,IF(OR(P345="SIN LÍNEAS",Y345&gt;0,Z345&gt;0,AA345&gt;0,SUMPRODUCT(--('LÉEME'!$B$65:$B$86=AC345))&lt;&gt;1),1,0)))</f>
      </c>
      <c r="Y345" s="0" t="n">
        <f>IF(AND(P345="DIMENSIONES",S345="m²",COUNT(H345:J345)=3),1,0)</f>
        <v>0</v>
      </c>
      <c r="Z345" s="0" t="n">
        <f>IF(IF(ISNUMBER($E$6),AND($E$6&gt;=0,$E$6&lt;=6,$E$6=INT($E$6)),FALSE),IF(SUM(IF(ISNUMBER(F345),IF(ABS(F345-ROUND(F345,$E$6))&gt;0.00000001,1,0),0),IF(ISNUMBER(G345),IF(ABS(G345-ROUND(G345,$E$6))&gt;0.00000001,1,0),0),IF(ISNUMBER(H345),IF(ABS(H345-ROUND(H345,$E$6))&gt;0.00000001,1,0),0),IF(ISNUMBER(I345),IF(ABS(I345-ROUND(I345,$E$6))&gt;0.00000001,1,0),0),IF(ISNUMBER(J345),IF(ABS(J345-ROUND(J345,$E$6))&gt;0.00000001,1,0),0),IF(ISNUMBER(M345),IF(ABS(M345-ROUND(M345,$E$6))&gt;0.00000001,1,0),0))&gt;0,1,0),0)</f>
        <v>0</v>
      </c>
      <c r="AA345" s="0" t="n">
        <f>IF(COUNTA(B345:L345)=0,0,IF(OR(AND(ISNUMBER(F345),F345&lt;0),AND(U345=1,OR(SUM(IF(ISNUMBER(G345),IF(G345=0,1,0),0),IF(ISNUMBER(H345),IF(H345=0,1,0),0),IF(ISNUMBER(I345),IF(I345=0,1,0),0),IF(ISNUMBER(J345),IF(J345=0,1,0),0))&gt;0,COUNTIFS(G345:J345,"&lt;0")&gt;0)),AND(P345="DIMENSIONES",U345=1,OR(AND(S345="m",COUNT(H345:J345)&lt;&gt;1),AND(S345="m²",COUNT(H345:J345)&lt;&gt;2,Y345=0),AND(S345="m³",COUNT(H345:J345)&lt;&gt;3),AND(S345="ud",COUNT(H345:J345)&gt;0))),AND(P345="DIRECTA",OR(S345="m",S345="m²",S345="m³"))),1,0))</f>
        <v>0</v>
      </c>
      <c r="AB345" s="0">
        <f>IF(LEN(TRIM(E345&amp;""))&gt;0,E345,IF(R345&gt;0,INDEX($E$13:$E$512,R345),""))</f>
      </c>
      <c r="AC345" s="0">
        <f>UPPER(SUBSTITUTE(SUBSTITUTE(SUBSTITUTE(SUBSTITUTE(SUBSTITUTE(TRIM(AB345),"²","2"),"³","3"),"^",""),".","")," ",""))</f>
      </c>
    </row>
    <row r="346" ht="35" customHeight="1">
      <c r="B346" s="35"/>
      <c r="C346" s="35"/>
      <c r="D346" s="37"/>
      <c r="E346" s="35"/>
      <c r="F346" s="38"/>
      <c r="G346" s="38"/>
      <c r="H346" s="38"/>
      <c r="I346" s="38"/>
      <c r="J346" s="38"/>
      <c r="K346" s="35"/>
      <c r="L346" s="35"/>
      <c r="M346" s="39">
        <f>IF(U346&lt;&gt;1,"",IF(P346="DIRECTA",G346,IF(ISNUMBER(G346),G346,1)*IF(ISNUMBER(H346),H346,1)*IF(ISNUMBER(I346),I346,1)*IF(ISNUMBER(J346),J346,1)))</f>
      </c>
      <c r="N346" s="30">
        <f>IF(COUNTA(B346:L346)=0,"",IF(X346=0,IF(P346="CABECERA","VERDE · Fila descriptiva; la suma usa las líneas del ID","VERDE · Datos numéricos interpretables"),IF(X346=2,"ROJO · ","ÁMBAR · ")&amp;IF(NOT(IF(ISNUMBER($E$6),AND($E$6&gt;=0,$E$6&lt;=6,$E$6=INT($E$6)),FALSE)),"Indicamos entre 0 y 6 decimales en E6. ","")&amp;IF(O346=0,"Falta un ID numérico. ","")&amp;IF(R346=0,"Faltan capítulo, código, unidad o total numérico del ID. ","")&amp;IF(T346&gt;0,"Los datos o el total del ID se contradicen. ","")&amp;IF(AND(P346&lt;&gt;"DIMENSIONES",P346&lt;&gt;"DIRECTA",P346&lt;&gt;"SIN LÍNEAS",P346&lt;&gt;"CABECERA"),"Tipo de fila no reconocido. ","")&amp;IF(AND(OR(P346="SIN LÍNEAS",P346="CABECERA"),COUNTA(G346:J346)&gt;0),"La fila dice que no mide, pero contiene medidas. ","")&amp;IF(AND(OR(P346="DIRECTA",P346="DIMENSIONES"),U346=0),"Línea incompleta o con medidas no numéricas. ","")&amp;IF(P346="SIN LÍNEAS","No constan medidas de esta fila. ","")&amp;IF(Y346&gt;0,"Parece m³: tres dimensiones bajo m². ","")&amp;IF(AND(AB346&lt;&gt;"",SUMPRODUCT(--('LÉEME'!$B$65:$B$86=AC346))&lt;&gt;1),"Revisamos el significado de la unidad. ","")&amp;IF(Z346&gt;0,"Más precisión que los decimales indicados: cotejamos el original. ","")&amp;IF(AA346&gt;0,"Revisamos dimensiones, cantidad directa, ceros o deducción. ","")))</f>
      </c>
      <c r="O346" s="0" t="n">
        <f>IF(ISNUMBER(K346),IF(AND(K346&gt;0,K346=INT(K346),K346&lt;=999999),K346,0),0)</f>
        <v>0</v>
      </c>
      <c r="P346" s="0">
        <f>IF(COUNTA(B346:L346)=0,"",IF(L346="",IF(COUNTA(G346:J346)&gt;0,"DIMENSIONES","SIN LÍNEAS"),UPPER(TRIM(L346))))</f>
      </c>
      <c r="Q346" s="0">
        <f>IF(AND(O346&gt;0,LEN(TRIM(B346&amp;""))&gt;0,LEN(TRIM(C346&amp;""))&gt;0,LEN(TRIM(E346&amp;""))&gt;0,ISNUMBER(F346)),O346,"")</f>
      </c>
      <c r="R346" s="0" t="n">
        <f>IF(O346=0,0,IF(COUNTIFS($Q$13:$Q$512,O346)&gt;0,MATCH(O346,$Q$13:$Q$512,0),0))</f>
        <v>0</v>
      </c>
      <c r="S346" s="0">
        <f>IF(AB346="","",IF(SUMPRODUCT(--('LÉEME'!$B$65:$B$86=AC346))=1,INDEX('LÉEME'!$C$65:$C$86,MATCH(AC346,'LÉEME'!$B$65:$B$86,0)),UPPER(TRIM(AB346))))</f>
      </c>
      <c r="T346" s="0" t="n">
        <f>IF(R346=0,0,IF(OR(AND(LEN(TRIM(B346&amp;""))&gt;0,UPPER(TRIM(B346&amp;""))&lt;&gt;UPPER(TRIM(INDEX($B$13:$B$512,R346)&amp;""))),AND(LEN(TRIM(C346&amp;""))&gt;0,UPPER(TRIM(C346&amp;""))&lt;&gt;UPPER(TRIM(INDEX($C$13:$C$512,R346)&amp;""))),AND(LEN(TRIM(E346&amp;""))&gt;0,S346&lt;&gt;INDEX($S$13:$S$512,R346)),AND(F346&lt;&gt;"",NOT(ISNUMBER(F346)))),1,IF(ISNUMBER(F346),IF(ABS(F346-INDEX($F$13:$F$512,R346))&gt;0.00000001,1,0),0)))</f>
        <v>0</v>
      </c>
      <c r="U346" s="0" t="n">
        <f>IF(P346="DIRECTA",IF(AND(ISNUMBER(G346),COUNTA(H346:J346)=0),1,0),IF(P346="DIMENSIONES",IF(AND(COUNT(G346:J346)&gt;0,COUNTA(G346:J346)=COUNT(G346:J346)),1,0),0))</f>
        <v>0</v>
      </c>
      <c r="V346" s="0" t="n">
        <f>IF(O346=0,0,IF(COUNTIFS($O$13:O346,O346)=1,1,0))</f>
        <v>0</v>
      </c>
      <c r="W346" s="0">
        <f>IF(V346=1,COUNTIFS($V$13:V346,1),"")</f>
      </c>
      <c r="X346" s="0">
        <f>IF(COUNTA(B346:L346)=0,"",IF(OR(NOT(IF(ISNUMBER($E$6),AND($E$6&gt;=0,$E$6&lt;=6,$E$6=INT($E$6)),FALSE)),O346=0,R346=0,T346&gt;0,AND(P346&lt;&gt;"DIMENSIONES",P346&lt;&gt;"DIRECTA",P346&lt;&gt;"SIN LÍNEAS",P346&lt;&gt;"CABECERA"),AND(OR(P346="DIRECTA",P346="DIMENSIONES"),U346=0),AND(OR(P346="SIN LÍNEAS",P346="CABECERA"),COUNTA(G346:J346)&gt;0)),2,IF(OR(P346="SIN LÍNEAS",Y346&gt;0,Z346&gt;0,AA346&gt;0,SUMPRODUCT(--('LÉEME'!$B$65:$B$86=AC346))&lt;&gt;1),1,0)))</f>
      </c>
      <c r="Y346" s="0" t="n">
        <f>IF(AND(P346="DIMENSIONES",S346="m²",COUNT(H346:J346)=3),1,0)</f>
        <v>0</v>
      </c>
      <c r="Z346" s="0" t="n">
        <f>IF(IF(ISNUMBER($E$6),AND($E$6&gt;=0,$E$6&lt;=6,$E$6=INT($E$6)),FALSE),IF(SUM(IF(ISNUMBER(F346),IF(ABS(F346-ROUND(F346,$E$6))&gt;0.00000001,1,0),0),IF(ISNUMBER(G346),IF(ABS(G346-ROUND(G346,$E$6))&gt;0.00000001,1,0),0),IF(ISNUMBER(H346),IF(ABS(H346-ROUND(H346,$E$6))&gt;0.00000001,1,0),0),IF(ISNUMBER(I346),IF(ABS(I346-ROUND(I346,$E$6))&gt;0.00000001,1,0),0),IF(ISNUMBER(J346),IF(ABS(J346-ROUND(J346,$E$6))&gt;0.00000001,1,0),0),IF(ISNUMBER(M346),IF(ABS(M346-ROUND(M346,$E$6))&gt;0.00000001,1,0),0))&gt;0,1,0),0)</f>
        <v>0</v>
      </c>
      <c r="AA346" s="0" t="n">
        <f>IF(COUNTA(B346:L346)=0,0,IF(OR(AND(ISNUMBER(F346),F346&lt;0),AND(U346=1,OR(SUM(IF(ISNUMBER(G346),IF(G346=0,1,0),0),IF(ISNUMBER(H346),IF(H346=0,1,0),0),IF(ISNUMBER(I346),IF(I346=0,1,0),0),IF(ISNUMBER(J346),IF(J346=0,1,0),0))&gt;0,COUNTIFS(G346:J346,"&lt;0")&gt;0)),AND(P346="DIMENSIONES",U346=1,OR(AND(S346="m",COUNT(H346:J346)&lt;&gt;1),AND(S346="m²",COUNT(H346:J346)&lt;&gt;2,Y346=0),AND(S346="m³",COUNT(H346:J346)&lt;&gt;3),AND(S346="ud",COUNT(H346:J346)&gt;0))),AND(P346="DIRECTA",OR(S346="m",S346="m²",S346="m³"))),1,0))</f>
        <v>0</v>
      </c>
      <c r="AB346" s="0">
        <f>IF(LEN(TRIM(E346&amp;""))&gt;0,E346,IF(R346&gt;0,INDEX($E$13:$E$512,R346),""))</f>
      </c>
      <c r="AC346" s="0">
        <f>UPPER(SUBSTITUTE(SUBSTITUTE(SUBSTITUTE(SUBSTITUTE(SUBSTITUTE(TRIM(AB346),"²","2"),"³","3"),"^",""),".","")," ",""))</f>
      </c>
    </row>
    <row r="347" ht="35" customHeight="1">
      <c r="B347" s="35"/>
      <c r="C347" s="35"/>
      <c r="D347" s="37"/>
      <c r="E347" s="35"/>
      <c r="F347" s="38"/>
      <c r="G347" s="38"/>
      <c r="H347" s="38"/>
      <c r="I347" s="38"/>
      <c r="J347" s="38"/>
      <c r="K347" s="35"/>
      <c r="L347" s="35"/>
      <c r="M347" s="39">
        <f>IF(U347&lt;&gt;1,"",IF(P347="DIRECTA",G347,IF(ISNUMBER(G347),G347,1)*IF(ISNUMBER(H347),H347,1)*IF(ISNUMBER(I347),I347,1)*IF(ISNUMBER(J347),J347,1)))</f>
      </c>
      <c r="N347" s="30">
        <f>IF(COUNTA(B347:L347)=0,"",IF(X347=0,IF(P347="CABECERA","VERDE · Fila descriptiva; la suma usa las líneas del ID","VERDE · Datos numéricos interpretables"),IF(X347=2,"ROJO · ","ÁMBAR · ")&amp;IF(NOT(IF(ISNUMBER($E$6),AND($E$6&gt;=0,$E$6&lt;=6,$E$6=INT($E$6)),FALSE)),"Indicamos entre 0 y 6 decimales en E6. ","")&amp;IF(O347=0,"Falta un ID numérico. ","")&amp;IF(R347=0,"Faltan capítulo, código, unidad o total numérico del ID. ","")&amp;IF(T347&gt;0,"Los datos o el total del ID se contradicen. ","")&amp;IF(AND(P347&lt;&gt;"DIMENSIONES",P347&lt;&gt;"DIRECTA",P347&lt;&gt;"SIN LÍNEAS",P347&lt;&gt;"CABECERA"),"Tipo de fila no reconocido. ","")&amp;IF(AND(OR(P347="SIN LÍNEAS",P347="CABECERA"),COUNTA(G347:J347)&gt;0),"La fila dice que no mide, pero contiene medidas. ","")&amp;IF(AND(OR(P347="DIRECTA",P347="DIMENSIONES"),U347=0),"Línea incompleta o con medidas no numéricas. ","")&amp;IF(P347="SIN LÍNEAS","No constan medidas de esta fila. ","")&amp;IF(Y347&gt;0,"Parece m³: tres dimensiones bajo m². ","")&amp;IF(AND(AB347&lt;&gt;"",SUMPRODUCT(--('LÉEME'!$B$65:$B$86=AC347))&lt;&gt;1),"Revisamos el significado de la unidad. ","")&amp;IF(Z347&gt;0,"Más precisión que los decimales indicados: cotejamos el original. ","")&amp;IF(AA347&gt;0,"Revisamos dimensiones, cantidad directa, ceros o deducción. ","")))</f>
      </c>
      <c r="O347" s="0" t="n">
        <f>IF(ISNUMBER(K347),IF(AND(K347&gt;0,K347=INT(K347),K347&lt;=999999),K347,0),0)</f>
        <v>0</v>
      </c>
      <c r="P347" s="0">
        <f>IF(COUNTA(B347:L347)=0,"",IF(L347="",IF(COUNTA(G347:J347)&gt;0,"DIMENSIONES","SIN LÍNEAS"),UPPER(TRIM(L347))))</f>
      </c>
      <c r="Q347" s="0">
        <f>IF(AND(O347&gt;0,LEN(TRIM(B347&amp;""))&gt;0,LEN(TRIM(C347&amp;""))&gt;0,LEN(TRIM(E347&amp;""))&gt;0,ISNUMBER(F347)),O347,"")</f>
      </c>
      <c r="R347" s="0" t="n">
        <f>IF(O347=0,0,IF(COUNTIFS($Q$13:$Q$512,O347)&gt;0,MATCH(O347,$Q$13:$Q$512,0),0))</f>
        <v>0</v>
      </c>
      <c r="S347" s="0">
        <f>IF(AB347="","",IF(SUMPRODUCT(--('LÉEME'!$B$65:$B$86=AC347))=1,INDEX('LÉEME'!$C$65:$C$86,MATCH(AC347,'LÉEME'!$B$65:$B$86,0)),UPPER(TRIM(AB347))))</f>
      </c>
      <c r="T347" s="0" t="n">
        <f>IF(R347=0,0,IF(OR(AND(LEN(TRIM(B347&amp;""))&gt;0,UPPER(TRIM(B347&amp;""))&lt;&gt;UPPER(TRIM(INDEX($B$13:$B$512,R347)&amp;""))),AND(LEN(TRIM(C347&amp;""))&gt;0,UPPER(TRIM(C347&amp;""))&lt;&gt;UPPER(TRIM(INDEX($C$13:$C$512,R347)&amp;""))),AND(LEN(TRIM(E347&amp;""))&gt;0,S347&lt;&gt;INDEX($S$13:$S$512,R347)),AND(F347&lt;&gt;"",NOT(ISNUMBER(F347)))),1,IF(ISNUMBER(F347),IF(ABS(F347-INDEX($F$13:$F$512,R347))&gt;0.00000001,1,0),0)))</f>
        <v>0</v>
      </c>
      <c r="U347" s="0" t="n">
        <f>IF(P347="DIRECTA",IF(AND(ISNUMBER(G347),COUNTA(H347:J347)=0),1,0),IF(P347="DIMENSIONES",IF(AND(COUNT(G347:J347)&gt;0,COUNTA(G347:J347)=COUNT(G347:J347)),1,0),0))</f>
        <v>0</v>
      </c>
      <c r="V347" s="0" t="n">
        <f>IF(O347=0,0,IF(COUNTIFS($O$13:O347,O347)=1,1,0))</f>
        <v>0</v>
      </c>
      <c r="W347" s="0">
        <f>IF(V347=1,COUNTIFS($V$13:V347,1),"")</f>
      </c>
      <c r="X347" s="0">
        <f>IF(COUNTA(B347:L347)=0,"",IF(OR(NOT(IF(ISNUMBER($E$6),AND($E$6&gt;=0,$E$6&lt;=6,$E$6=INT($E$6)),FALSE)),O347=0,R347=0,T347&gt;0,AND(P347&lt;&gt;"DIMENSIONES",P347&lt;&gt;"DIRECTA",P347&lt;&gt;"SIN LÍNEAS",P347&lt;&gt;"CABECERA"),AND(OR(P347="DIRECTA",P347="DIMENSIONES"),U347=0),AND(OR(P347="SIN LÍNEAS",P347="CABECERA"),COUNTA(G347:J347)&gt;0)),2,IF(OR(P347="SIN LÍNEAS",Y347&gt;0,Z347&gt;0,AA347&gt;0,SUMPRODUCT(--('LÉEME'!$B$65:$B$86=AC347))&lt;&gt;1),1,0)))</f>
      </c>
      <c r="Y347" s="0" t="n">
        <f>IF(AND(P347="DIMENSIONES",S347="m²",COUNT(H347:J347)=3),1,0)</f>
        <v>0</v>
      </c>
      <c r="Z347" s="0" t="n">
        <f>IF(IF(ISNUMBER($E$6),AND($E$6&gt;=0,$E$6&lt;=6,$E$6=INT($E$6)),FALSE),IF(SUM(IF(ISNUMBER(F347),IF(ABS(F347-ROUND(F347,$E$6))&gt;0.00000001,1,0),0),IF(ISNUMBER(G347),IF(ABS(G347-ROUND(G347,$E$6))&gt;0.00000001,1,0),0),IF(ISNUMBER(H347),IF(ABS(H347-ROUND(H347,$E$6))&gt;0.00000001,1,0),0),IF(ISNUMBER(I347),IF(ABS(I347-ROUND(I347,$E$6))&gt;0.00000001,1,0),0),IF(ISNUMBER(J347),IF(ABS(J347-ROUND(J347,$E$6))&gt;0.00000001,1,0),0),IF(ISNUMBER(M347),IF(ABS(M347-ROUND(M347,$E$6))&gt;0.00000001,1,0),0))&gt;0,1,0),0)</f>
        <v>0</v>
      </c>
      <c r="AA347" s="0" t="n">
        <f>IF(COUNTA(B347:L347)=0,0,IF(OR(AND(ISNUMBER(F347),F347&lt;0),AND(U347=1,OR(SUM(IF(ISNUMBER(G347),IF(G347=0,1,0),0),IF(ISNUMBER(H347),IF(H347=0,1,0),0),IF(ISNUMBER(I347),IF(I347=0,1,0),0),IF(ISNUMBER(J347),IF(J347=0,1,0),0))&gt;0,COUNTIFS(G347:J347,"&lt;0")&gt;0)),AND(P347="DIMENSIONES",U347=1,OR(AND(S347="m",COUNT(H347:J347)&lt;&gt;1),AND(S347="m²",COUNT(H347:J347)&lt;&gt;2,Y347=0),AND(S347="m³",COUNT(H347:J347)&lt;&gt;3),AND(S347="ud",COUNT(H347:J347)&gt;0))),AND(P347="DIRECTA",OR(S347="m",S347="m²",S347="m³"))),1,0))</f>
        <v>0</v>
      </c>
      <c r="AB347" s="0">
        <f>IF(LEN(TRIM(E347&amp;""))&gt;0,E347,IF(R347&gt;0,INDEX($E$13:$E$512,R347),""))</f>
      </c>
      <c r="AC347" s="0">
        <f>UPPER(SUBSTITUTE(SUBSTITUTE(SUBSTITUTE(SUBSTITUTE(SUBSTITUTE(TRIM(AB347),"²","2"),"³","3"),"^",""),".","")," ",""))</f>
      </c>
    </row>
    <row r="348" ht="35" customHeight="1">
      <c r="B348" s="35"/>
      <c r="C348" s="35"/>
      <c r="D348" s="37"/>
      <c r="E348" s="35"/>
      <c r="F348" s="38"/>
      <c r="G348" s="38"/>
      <c r="H348" s="38"/>
      <c r="I348" s="38"/>
      <c r="J348" s="38"/>
      <c r="K348" s="35"/>
      <c r="L348" s="35"/>
      <c r="M348" s="39">
        <f>IF(U348&lt;&gt;1,"",IF(P348="DIRECTA",G348,IF(ISNUMBER(G348),G348,1)*IF(ISNUMBER(H348),H348,1)*IF(ISNUMBER(I348),I348,1)*IF(ISNUMBER(J348),J348,1)))</f>
      </c>
      <c r="N348" s="30">
        <f>IF(COUNTA(B348:L348)=0,"",IF(X348=0,IF(P348="CABECERA","VERDE · Fila descriptiva; la suma usa las líneas del ID","VERDE · Datos numéricos interpretables"),IF(X348=2,"ROJO · ","ÁMBAR · ")&amp;IF(NOT(IF(ISNUMBER($E$6),AND($E$6&gt;=0,$E$6&lt;=6,$E$6=INT($E$6)),FALSE)),"Indicamos entre 0 y 6 decimales en E6. ","")&amp;IF(O348=0,"Falta un ID numérico. ","")&amp;IF(R348=0,"Faltan capítulo, código, unidad o total numérico del ID. ","")&amp;IF(T348&gt;0,"Los datos o el total del ID se contradicen. ","")&amp;IF(AND(P348&lt;&gt;"DIMENSIONES",P348&lt;&gt;"DIRECTA",P348&lt;&gt;"SIN LÍNEAS",P348&lt;&gt;"CABECERA"),"Tipo de fila no reconocido. ","")&amp;IF(AND(OR(P348="SIN LÍNEAS",P348="CABECERA"),COUNTA(G348:J348)&gt;0),"La fila dice que no mide, pero contiene medidas. ","")&amp;IF(AND(OR(P348="DIRECTA",P348="DIMENSIONES"),U348=0),"Línea incompleta o con medidas no numéricas. ","")&amp;IF(P348="SIN LÍNEAS","No constan medidas de esta fila. ","")&amp;IF(Y348&gt;0,"Parece m³: tres dimensiones bajo m². ","")&amp;IF(AND(AB348&lt;&gt;"",SUMPRODUCT(--('LÉEME'!$B$65:$B$86=AC348))&lt;&gt;1),"Revisamos el significado de la unidad. ","")&amp;IF(Z348&gt;0,"Más precisión que los decimales indicados: cotejamos el original. ","")&amp;IF(AA348&gt;0,"Revisamos dimensiones, cantidad directa, ceros o deducción. ","")))</f>
      </c>
      <c r="O348" s="0" t="n">
        <f>IF(ISNUMBER(K348),IF(AND(K348&gt;0,K348=INT(K348),K348&lt;=999999),K348,0),0)</f>
        <v>0</v>
      </c>
      <c r="P348" s="0">
        <f>IF(COUNTA(B348:L348)=0,"",IF(L348="",IF(COUNTA(G348:J348)&gt;0,"DIMENSIONES","SIN LÍNEAS"),UPPER(TRIM(L348))))</f>
      </c>
      <c r="Q348" s="0">
        <f>IF(AND(O348&gt;0,LEN(TRIM(B348&amp;""))&gt;0,LEN(TRIM(C348&amp;""))&gt;0,LEN(TRIM(E348&amp;""))&gt;0,ISNUMBER(F348)),O348,"")</f>
      </c>
      <c r="R348" s="0" t="n">
        <f>IF(O348=0,0,IF(COUNTIFS($Q$13:$Q$512,O348)&gt;0,MATCH(O348,$Q$13:$Q$512,0),0))</f>
        <v>0</v>
      </c>
      <c r="S348" s="0">
        <f>IF(AB348="","",IF(SUMPRODUCT(--('LÉEME'!$B$65:$B$86=AC348))=1,INDEX('LÉEME'!$C$65:$C$86,MATCH(AC348,'LÉEME'!$B$65:$B$86,0)),UPPER(TRIM(AB348))))</f>
      </c>
      <c r="T348" s="0" t="n">
        <f>IF(R348=0,0,IF(OR(AND(LEN(TRIM(B348&amp;""))&gt;0,UPPER(TRIM(B348&amp;""))&lt;&gt;UPPER(TRIM(INDEX($B$13:$B$512,R348)&amp;""))),AND(LEN(TRIM(C348&amp;""))&gt;0,UPPER(TRIM(C348&amp;""))&lt;&gt;UPPER(TRIM(INDEX($C$13:$C$512,R348)&amp;""))),AND(LEN(TRIM(E348&amp;""))&gt;0,S348&lt;&gt;INDEX($S$13:$S$512,R348)),AND(F348&lt;&gt;"",NOT(ISNUMBER(F348)))),1,IF(ISNUMBER(F348),IF(ABS(F348-INDEX($F$13:$F$512,R348))&gt;0.00000001,1,0),0)))</f>
        <v>0</v>
      </c>
      <c r="U348" s="0" t="n">
        <f>IF(P348="DIRECTA",IF(AND(ISNUMBER(G348),COUNTA(H348:J348)=0),1,0),IF(P348="DIMENSIONES",IF(AND(COUNT(G348:J348)&gt;0,COUNTA(G348:J348)=COUNT(G348:J348)),1,0),0))</f>
        <v>0</v>
      </c>
      <c r="V348" s="0" t="n">
        <f>IF(O348=0,0,IF(COUNTIFS($O$13:O348,O348)=1,1,0))</f>
        <v>0</v>
      </c>
      <c r="W348" s="0">
        <f>IF(V348=1,COUNTIFS($V$13:V348,1),"")</f>
      </c>
      <c r="X348" s="0">
        <f>IF(COUNTA(B348:L348)=0,"",IF(OR(NOT(IF(ISNUMBER($E$6),AND($E$6&gt;=0,$E$6&lt;=6,$E$6=INT($E$6)),FALSE)),O348=0,R348=0,T348&gt;0,AND(P348&lt;&gt;"DIMENSIONES",P348&lt;&gt;"DIRECTA",P348&lt;&gt;"SIN LÍNEAS",P348&lt;&gt;"CABECERA"),AND(OR(P348="DIRECTA",P348="DIMENSIONES"),U348=0),AND(OR(P348="SIN LÍNEAS",P348="CABECERA"),COUNTA(G348:J348)&gt;0)),2,IF(OR(P348="SIN LÍNEAS",Y348&gt;0,Z348&gt;0,AA348&gt;0,SUMPRODUCT(--('LÉEME'!$B$65:$B$86=AC348))&lt;&gt;1),1,0)))</f>
      </c>
      <c r="Y348" s="0" t="n">
        <f>IF(AND(P348="DIMENSIONES",S348="m²",COUNT(H348:J348)=3),1,0)</f>
        <v>0</v>
      </c>
      <c r="Z348" s="0" t="n">
        <f>IF(IF(ISNUMBER($E$6),AND($E$6&gt;=0,$E$6&lt;=6,$E$6=INT($E$6)),FALSE),IF(SUM(IF(ISNUMBER(F348),IF(ABS(F348-ROUND(F348,$E$6))&gt;0.00000001,1,0),0),IF(ISNUMBER(G348),IF(ABS(G348-ROUND(G348,$E$6))&gt;0.00000001,1,0),0),IF(ISNUMBER(H348),IF(ABS(H348-ROUND(H348,$E$6))&gt;0.00000001,1,0),0),IF(ISNUMBER(I348),IF(ABS(I348-ROUND(I348,$E$6))&gt;0.00000001,1,0),0),IF(ISNUMBER(J348),IF(ABS(J348-ROUND(J348,$E$6))&gt;0.00000001,1,0),0),IF(ISNUMBER(M348),IF(ABS(M348-ROUND(M348,$E$6))&gt;0.00000001,1,0),0))&gt;0,1,0),0)</f>
        <v>0</v>
      </c>
      <c r="AA348" s="0" t="n">
        <f>IF(COUNTA(B348:L348)=0,0,IF(OR(AND(ISNUMBER(F348),F348&lt;0),AND(U348=1,OR(SUM(IF(ISNUMBER(G348),IF(G348=0,1,0),0),IF(ISNUMBER(H348),IF(H348=0,1,0),0),IF(ISNUMBER(I348),IF(I348=0,1,0),0),IF(ISNUMBER(J348),IF(J348=0,1,0),0))&gt;0,COUNTIFS(G348:J348,"&lt;0")&gt;0)),AND(P348="DIMENSIONES",U348=1,OR(AND(S348="m",COUNT(H348:J348)&lt;&gt;1),AND(S348="m²",COUNT(H348:J348)&lt;&gt;2,Y348=0),AND(S348="m³",COUNT(H348:J348)&lt;&gt;3),AND(S348="ud",COUNT(H348:J348)&gt;0))),AND(P348="DIRECTA",OR(S348="m",S348="m²",S348="m³"))),1,0))</f>
        <v>0</v>
      </c>
      <c r="AB348" s="0">
        <f>IF(LEN(TRIM(E348&amp;""))&gt;0,E348,IF(R348&gt;0,INDEX($E$13:$E$512,R348),""))</f>
      </c>
      <c r="AC348" s="0">
        <f>UPPER(SUBSTITUTE(SUBSTITUTE(SUBSTITUTE(SUBSTITUTE(SUBSTITUTE(TRIM(AB348),"²","2"),"³","3"),"^",""),".","")," ",""))</f>
      </c>
    </row>
    <row r="349" ht="35" customHeight="1">
      <c r="B349" s="35"/>
      <c r="C349" s="35"/>
      <c r="D349" s="37"/>
      <c r="E349" s="35"/>
      <c r="F349" s="38"/>
      <c r="G349" s="38"/>
      <c r="H349" s="38"/>
      <c r="I349" s="38"/>
      <c r="J349" s="38"/>
      <c r="K349" s="35"/>
      <c r="L349" s="35"/>
      <c r="M349" s="39">
        <f>IF(U349&lt;&gt;1,"",IF(P349="DIRECTA",G349,IF(ISNUMBER(G349),G349,1)*IF(ISNUMBER(H349),H349,1)*IF(ISNUMBER(I349),I349,1)*IF(ISNUMBER(J349),J349,1)))</f>
      </c>
      <c r="N349" s="30">
        <f>IF(COUNTA(B349:L349)=0,"",IF(X349=0,IF(P349="CABECERA","VERDE · Fila descriptiva; la suma usa las líneas del ID","VERDE · Datos numéricos interpretables"),IF(X349=2,"ROJO · ","ÁMBAR · ")&amp;IF(NOT(IF(ISNUMBER($E$6),AND($E$6&gt;=0,$E$6&lt;=6,$E$6=INT($E$6)),FALSE)),"Indicamos entre 0 y 6 decimales en E6. ","")&amp;IF(O349=0,"Falta un ID numérico. ","")&amp;IF(R349=0,"Faltan capítulo, código, unidad o total numérico del ID. ","")&amp;IF(T349&gt;0,"Los datos o el total del ID se contradicen. ","")&amp;IF(AND(P349&lt;&gt;"DIMENSIONES",P349&lt;&gt;"DIRECTA",P349&lt;&gt;"SIN LÍNEAS",P349&lt;&gt;"CABECERA"),"Tipo de fila no reconocido. ","")&amp;IF(AND(OR(P349="SIN LÍNEAS",P349="CABECERA"),COUNTA(G349:J349)&gt;0),"La fila dice que no mide, pero contiene medidas. ","")&amp;IF(AND(OR(P349="DIRECTA",P349="DIMENSIONES"),U349=0),"Línea incompleta o con medidas no numéricas. ","")&amp;IF(P349="SIN LÍNEAS","No constan medidas de esta fila. ","")&amp;IF(Y349&gt;0,"Parece m³: tres dimensiones bajo m². ","")&amp;IF(AND(AB349&lt;&gt;"",SUMPRODUCT(--('LÉEME'!$B$65:$B$86=AC349))&lt;&gt;1),"Revisamos el significado de la unidad. ","")&amp;IF(Z349&gt;0,"Más precisión que los decimales indicados: cotejamos el original. ","")&amp;IF(AA349&gt;0,"Revisamos dimensiones, cantidad directa, ceros o deducción. ","")))</f>
      </c>
      <c r="O349" s="0" t="n">
        <f>IF(ISNUMBER(K349),IF(AND(K349&gt;0,K349=INT(K349),K349&lt;=999999),K349,0),0)</f>
        <v>0</v>
      </c>
      <c r="P349" s="0">
        <f>IF(COUNTA(B349:L349)=0,"",IF(L349="",IF(COUNTA(G349:J349)&gt;0,"DIMENSIONES","SIN LÍNEAS"),UPPER(TRIM(L349))))</f>
      </c>
      <c r="Q349" s="0">
        <f>IF(AND(O349&gt;0,LEN(TRIM(B349&amp;""))&gt;0,LEN(TRIM(C349&amp;""))&gt;0,LEN(TRIM(E349&amp;""))&gt;0,ISNUMBER(F349)),O349,"")</f>
      </c>
      <c r="R349" s="0" t="n">
        <f>IF(O349=0,0,IF(COUNTIFS($Q$13:$Q$512,O349)&gt;0,MATCH(O349,$Q$13:$Q$512,0),0))</f>
        <v>0</v>
      </c>
      <c r="S349" s="0">
        <f>IF(AB349="","",IF(SUMPRODUCT(--('LÉEME'!$B$65:$B$86=AC349))=1,INDEX('LÉEME'!$C$65:$C$86,MATCH(AC349,'LÉEME'!$B$65:$B$86,0)),UPPER(TRIM(AB349))))</f>
      </c>
      <c r="T349" s="0" t="n">
        <f>IF(R349=0,0,IF(OR(AND(LEN(TRIM(B349&amp;""))&gt;0,UPPER(TRIM(B349&amp;""))&lt;&gt;UPPER(TRIM(INDEX($B$13:$B$512,R349)&amp;""))),AND(LEN(TRIM(C349&amp;""))&gt;0,UPPER(TRIM(C349&amp;""))&lt;&gt;UPPER(TRIM(INDEX($C$13:$C$512,R349)&amp;""))),AND(LEN(TRIM(E349&amp;""))&gt;0,S349&lt;&gt;INDEX($S$13:$S$512,R349)),AND(F349&lt;&gt;"",NOT(ISNUMBER(F349)))),1,IF(ISNUMBER(F349),IF(ABS(F349-INDEX($F$13:$F$512,R349))&gt;0.00000001,1,0),0)))</f>
        <v>0</v>
      </c>
      <c r="U349" s="0" t="n">
        <f>IF(P349="DIRECTA",IF(AND(ISNUMBER(G349),COUNTA(H349:J349)=0),1,0),IF(P349="DIMENSIONES",IF(AND(COUNT(G349:J349)&gt;0,COUNTA(G349:J349)=COUNT(G349:J349)),1,0),0))</f>
        <v>0</v>
      </c>
      <c r="V349" s="0" t="n">
        <f>IF(O349=0,0,IF(COUNTIFS($O$13:O349,O349)=1,1,0))</f>
        <v>0</v>
      </c>
      <c r="W349" s="0">
        <f>IF(V349=1,COUNTIFS($V$13:V349,1),"")</f>
      </c>
      <c r="X349" s="0">
        <f>IF(COUNTA(B349:L349)=0,"",IF(OR(NOT(IF(ISNUMBER($E$6),AND($E$6&gt;=0,$E$6&lt;=6,$E$6=INT($E$6)),FALSE)),O349=0,R349=0,T349&gt;0,AND(P349&lt;&gt;"DIMENSIONES",P349&lt;&gt;"DIRECTA",P349&lt;&gt;"SIN LÍNEAS",P349&lt;&gt;"CABECERA"),AND(OR(P349="DIRECTA",P349="DIMENSIONES"),U349=0),AND(OR(P349="SIN LÍNEAS",P349="CABECERA"),COUNTA(G349:J349)&gt;0)),2,IF(OR(P349="SIN LÍNEAS",Y349&gt;0,Z349&gt;0,AA349&gt;0,SUMPRODUCT(--('LÉEME'!$B$65:$B$86=AC349))&lt;&gt;1),1,0)))</f>
      </c>
      <c r="Y349" s="0" t="n">
        <f>IF(AND(P349="DIMENSIONES",S349="m²",COUNT(H349:J349)=3),1,0)</f>
        <v>0</v>
      </c>
      <c r="Z349" s="0" t="n">
        <f>IF(IF(ISNUMBER($E$6),AND($E$6&gt;=0,$E$6&lt;=6,$E$6=INT($E$6)),FALSE),IF(SUM(IF(ISNUMBER(F349),IF(ABS(F349-ROUND(F349,$E$6))&gt;0.00000001,1,0),0),IF(ISNUMBER(G349),IF(ABS(G349-ROUND(G349,$E$6))&gt;0.00000001,1,0),0),IF(ISNUMBER(H349),IF(ABS(H349-ROUND(H349,$E$6))&gt;0.00000001,1,0),0),IF(ISNUMBER(I349),IF(ABS(I349-ROUND(I349,$E$6))&gt;0.00000001,1,0),0),IF(ISNUMBER(J349),IF(ABS(J349-ROUND(J349,$E$6))&gt;0.00000001,1,0),0),IF(ISNUMBER(M349),IF(ABS(M349-ROUND(M349,$E$6))&gt;0.00000001,1,0),0))&gt;0,1,0),0)</f>
        <v>0</v>
      </c>
      <c r="AA349" s="0" t="n">
        <f>IF(COUNTA(B349:L349)=0,0,IF(OR(AND(ISNUMBER(F349),F349&lt;0),AND(U349=1,OR(SUM(IF(ISNUMBER(G349),IF(G349=0,1,0),0),IF(ISNUMBER(H349),IF(H349=0,1,0),0),IF(ISNUMBER(I349),IF(I349=0,1,0),0),IF(ISNUMBER(J349),IF(J349=0,1,0),0))&gt;0,COUNTIFS(G349:J349,"&lt;0")&gt;0)),AND(P349="DIMENSIONES",U349=1,OR(AND(S349="m",COUNT(H349:J349)&lt;&gt;1),AND(S349="m²",COUNT(H349:J349)&lt;&gt;2,Y349=0),AND(S349="m³",COUNT(H349:J349)&lt;&gt;3),AND(S349="ud",COUNT(H349:J349)&gt;0))),AND(P349="DIRECTA",OR(S349="m",S349="m²",S349="m³"))),1,0))</f>
        <v>0</v>
      </c>
      <c r="AB349" s="0">
        <f>IF(LEN(TRIM(E349&amp;""))&gt;0,E349,IF(R349&gt;0,INDEX($E$13:$E$512,R349),""))</f>
      </c>
      <c r="AC349" s="0">
        <f>UPPER(SUBSTITUTE(SUBSTITUTE(SUBSTITUTE(SUBSTITUTE(SUBSTITUTE(TRIM(AB349),"²","2"),"³","3"),"^",""),".","")," ",""))</f>
      </c>
    </row>
    <row r="350" ht="35" customHeight="1">
      <c r="B350" s="35"/>
      <c r="C350" s="35"/>
      <c r="D350" s="37"/>
      <c r="E350" s="35"/>
      <c r="F350" s="38"/>
      <c r="G350" s="38"/>
      <c r="H350" s="38"/>
      <c r="I350" s="38"/>
      <c r="J350" s="38"/>
      <c r="K350" s="35"/>
      <c r="L350" s="35"/>
      <c r="M350" s="39">
        <f>IF(U350&lt;&gt;1,"",IF(P350="DIRECTA",G350,IF(ISNUMBER(G350),G350,1)*IF(ISNUMBER(H350),H350,1)*IF(ISNUMBER(I350),I350,1)*IF(ISNUMBER(J350),J350,1)))</f>
      </c>
      <c r="N350" s="30">
        <f>IF(COUNTA(B350:L350)=0,"",IF(X350=0,IF(P350="CABECERA","VERDE · Fila descriptiva; la suma usa las líneas del ID","VERDE · Datos numéricos interpretables"),IF(X350=2,"ROJO · ","ÁMBAR · ")&amp;IF(NOT(IF(ISNUMBER($E$6),AND($E$6&gt;=0,$E$6&lt;=6,$E$6=INT($E$6)),FALSE)),"Indicamos entre 0 y 6 decimales en E6. ","")&amp;IF(O350=0,"Falta un ID numérico. ","")&amp;IF(R350=0,"Faltan capítulo, código, unidad o total numérico del ID. ","")&amp;IF(T350&gt;0,"Los datos o el total del ID se contradicen. ","")&amp;IF(AND(P350&lt;&gt;"DIMENSIONES",P350&lt;&gt;"DIRECTA",P350&lt;&gt;"SIN LÍNEAS",P350&lt;&gt;"CABECERA"),"Tipo de fila no reconocido. ","")&amp;IF(AND(OR(P350="SIN LÍNEAS",P350="CABECERA"),COUNTA(G350:J350)&gt;0),"La fila dice que no mide, pero contiene medidas. ","")&amp;IF(AND(OR(P350="DIRECTA",P350="DIMENSIONES"),U350=0),"Línea incompleta o con medidas no numéricas. ","")&amp;IF(P350="SIN LÍNEAS","No constan medidas de esta fila. ","")&amp;IF(Y350&gt;0,"Parece m³: tres dimensiones bajo m². ","")&amp;IF(AND(AB350&lt;&gt;"",SUMPRODUCT(--('LÉEME'!$B$65:$B$86=AC350))&lt;&gt;1),"Revisamos el significado de la unidad. ","")&amp;IF(Z350&gt;0,"Más precisión que los decimales indicados: cotejamos el original. ","")&amp;IF(AA350&gt;0,"Revisamos dimensiones, cantidad directa, ceros o deducción. ","")))</f>
      </c>
      <c r="O350" s="0" t="n">
        <f>IF(ISNUMBER(K350),IF(AND(K350&gt;0,K350=INT(K350),K350&lt;=999999),K350,0),0)</f>
        <v>0</v>
      </c>
      <c r="P350" s="0">
        <f>IF(COUNTA(B350:L350)=0,"",IF(L350="",IF(COUNTA(G350:J350)&gt;0,"DIMENSIONES","SIN LÍNEAS"),UPPER(TRIM(L350))))</f>
      </c>
      <c r="Q350" s="0">
        <f>IF(AND(O350&gt;0,LEN(TRIM(B350&amp;""))&gt;0,LEN(TRIM(C350&amp;""))&gt;0,LEN(TRIM(E350&amp;""))&gt;0,ISNUMBER(F350)),O350,"")</f>
      </c>
      <c r="R350" s="0" t="n">
        <f>IF(O350=0,0,IF(COUNTIFS($Q$13:$Q$512,O350)&gt;0,MATCH(O350,$Q$13:$Q$512,0),0))</f>
        <v>0</v>
      </c>
      <c r="S350" s="0">
        <f>IF(AB350="","",IF(SUMPRODUCT(--('LÉEME'!$B$65:$B$86=AC350))=1,INDEX('LÉEME'!$C$65:$C$86,MATCH(AC350,'LÉEME'!$B$65:$B$86,0)),UPPER(TRIM(AB350))))</f>
      </c>
      <c r="T350" s="0" t="n">
        <f>IF(R350=0,0,IF(OR(AND(LEN(TRIM(B350&amp;""))&gt;0,UPPER(TRIM(B350&amp;""))&lt;&gt;UPPER(TRIM(INDEX($B$13:$B$512,R350)&amp;""))),AND(LEN(TRIM(C350&amp;""))&gt;0,UPPER(TRIM(C350&amp;""))&lt;&gt;UPPER(TRIM(INDEX($C$13:$C$512,R350)&amp;""))),AND(LEN(TRIM(E350&amp;""))&gt;0,S350&lt;&gt;INDEX($S$13:$S$512,R350)),AND(F350&lt;&gt;"",NOT(ISNUMBER(F350)))),1,IF(ISNUMBER(F350),IF(ABS(F350-INDEX($F$13:$F$512,R350))&gt;0.00000001,1,0),0)))</f>
        <v>0</v>
      </c>
      <c r="U350" s="0" t="n">
        <f>IF(P350="DIRECTA",IF(AND(ISNUMBER(G350),COUNTA(H350:J350)=0),1,0),IF(P350="DIMENSIONES",IF(AND(COUNT(G350:J350)&gt;0,COUNTA(G350:J350)=COUNT(G350:J350)),1,0),0))</f>
        <v>0</v>
      </c>
      <c r="V350" s="0" t="n">
        <f>IF(O350=0,0,IF(COUNTIFS($O$13:O350,O350)=1,1,0))</f>
        <v>0</v>
      </c>
      <c r="W350" s="0">
        <f>IF(V350=1,COUNTIFS($V$13:V350,1),"")</f>
      </c>
      <c r="X350" s="0">
        <f>IF(COUNTA(B350:L350)=0,"",IF(OR(NOT(IF(ISNUMBER($E$6),AND($E$6&gt;=0,$E$6&lt;=6,$E$6=INT($E$6)),FALSE)),O350=0,R350=0,T350&gt;0,AND(P350&lt;&gt;"DIMENSIONES",P350&lt;&gt;"DIRECTA",P350&lt;&gt;"SIN LÍNEAS",P350&lt;&gt;"CABECERA"),AND(OR(P350="DIRECTA",P350="DIMENSIONES"),U350=0),AND(OR(P350="SIN LÍNEAS",P350="CABECERA"),COUNTA(G350:J350)&gt;0)),2,IF(OR(P350="SIN LÍNEAS",Y350&gt;0,Z350&gt;0,AA350&gt;0,SUMPRODUCT(--('LÉEME'!$B$65:$B$86=AC350))&lt;&gt;1),1,0)))</f>
      </c>
      <c r="Y350" s="0" t="n">
        <f>IF(AND(P350="DIMENSIONES",S350="m²",COUNT(H350:J350)=3),1,0)</f>
        <v>0</v>
      </c>
      <c r="Z350" s="0" t="n">
        <f>IF(IF(ISNUMBER($E$6),AND($E$6&gt;=0,$E$6&lt;=6,$E$6=INT($E$6)),FALSE),IF(SUM(IF(ISNUMBER(F350),IF(ABS(F350-ROUND(F350,$E$6))&gt;0.00000001,1,0),0),IF(ISNUMBER(G350),IF(ABS(G350-ROUND(G350,$E$6))&gt;0.00000001,1,0),0),IF(ISNUMBER(H350),IF(ABS(H350-ROUND(H350,$E$6))&gt;0.00000001,1,0),0),IF(ISNUMBER(I350),IF(ABS(I350-ROUND(I350,$E$6))&gt;0.00000001,1,0),0),IF(ISNUMBER(J350),IF(ABS(J350-ROUND(J350,$E$6))&gt;0.00000001,1,0),0),IF(ISNUMBER(M350),IF(ABS(M350-ROUND(M350,$E$6))&gt;0.00000001,1,0),0))&gt;0,1,0),0)</f>
        <v>0</v>
      </c>
      <c r="AA350" s="0" t="n">
        <f>IF(COUNTA(B350:L350)=0,0,IF(OR(AND(ISNUMBER(F350),F350&lt;0),AND(U350=1,OR(SUM(IF(ISNUMBER(G350),IF(G350=0,1,0),0),IF(ISNUMBER(H350),IF(H350=0,1,0),0),IF(ISNUMBER(I350),IF(I350=0,1,0),0),IF(ISNUMBER(J350),IF(J350=0,1,0),0))&gt;0,COUNTIFS(G350:J350,"&lt;0")&gt;0)),AND(P350="DIMENSIONES",U350=1,OR(AND(S350="m",COUNT(H350:J350)&lt;&gt;1),AND(S350="m²",COUNT(H350:J350)&lt;&gt;2,Y350=0),AND(S350="m³",COUNT(H350:J350)&lt;&gt;3),AND(S350="ud",COUNT(H350:J350)&gt;0))),AND(P350="DIRECTA",OR(S350="m",S350="m²",S350="m³"))),1,0))</f>
        <v>0</v>
      </c>
      <c r="AB350" s="0">
        <f>IF(LEN(TRIM(E350&amp;""))&gt;0,E350,IF(R350&gt;0,INDEX($E$13:$E$512,R350),""))</f>
      </c>
      <c r="AC350" s="0">
        <f>UPPER(SUBSTITUTE(SUBSTITUTE(SUBSTITUTE(SUBSTITUTE(SUBSTITUTE(TRIM(AB350),"²","2"),"³","3"),"^",""),".","")," ",""))</f>
      </c>
    </row>
    <row r="351" ht="35" customHeight="1">
      <c r="B351" s="35"/>
      <c r="C351" s="35"/>
      <c r="D351" s="37"/>
      <c r="E351" s="35"/>
      <c r="F351" s="38"/>
      <c r="G351" s="38"/>
      <c r="H351" s="38"/>
      <c r="I351" s="38"/>
      <c r="J351" s="38"/>
      <c r="K351" s="35"/>
      <c r="L351" s="35"/>
      <c r="M351" s="39">
        <f>IF(U351&lt;&gt;1,"",IF(P351="DIRECTA",G351,IF(ISNUMBER(G351),G351,1)*IF(ISNUMBER(H351),H351,1)*IF(ISNUMBER(I351),I351,1)*IF(ISNUMBER(J351),J351,1)))</f>
      </c>
      <c r="N351" s="30">
        <f>IF(COUNTA(B351:L351)=0,"",IF(X351=0,IF(P351="CABECERA","VERDE · Fila descriptiva; la suma usa las líneas del ID","VERDE · Datos numéricos interpretables"),IF(X351=2,"ROJO · ","ÁMBAR · ")&amp;IF(NOT(IF(ISNUMBER($E$6),AND($E$6&gt;=0,$E$6&lt;=6,$E$6=INT($E$6)),FALSE)),"Indicamos entre 0 y 6 decimales en E6. ","")&amp;IF(O351=0,"Falta un ID numérico. ","")&amp;IF(R351=0,"Faltan capítulo, código, unidad o total numérico del ID. ","")&amp;IF(T351&gt;0,"Los datos o el total del ID se contradicen. ","")&amp;IF(AND(P351&lt;&gt;"DIMENSIONES",P351&lt;&gt;"DIRECTA",P351&lt;&gt;"SIN LÍNEAS",P351&lt;&gt;"CABECERA"),"Tipo de fila no reconocido. ","")&amp;IF(AND(OR(P351="SIN LÍNEAS",P351="CABECERA"),COUNTA(G351:J351)&gt;0),"La fila dice que no mide, pero contiene medidas. ","")&amp;IF(AND(OR(P351="DIRECTA",P351="DIMENSIONES"),U351=0),"Línea incompleta o con medidas no numéricas. ","")&amp;IF(P351="SIN LÍNEAS","No constan medidas de esta fila. ","")&amp;IF(Y351&gt;0,"Parece m³: tres dimensiones bajo m². ","")&amp;IF(AND(AB351&lt;&gt;"",SUMPRODUCT(--('LÉEME'!$B$65:$B$86=AC351))&lt;&gt;1),"Revisamos el significado de la unidad. ","")&amp;IF(Z351&gt;0,"Más precisión que los decimales indicados: cotejamos el original. ","")&amp;IF(AA351&gt;0,"Revisamos dimensiones, cantidad directa, ceros o deducción. ","")))</f>
      </c>
      <c r="O351" s="0" t="n">
        <f>IF(ISNUMBER(K351),IF(AND(K351&gt;0,K351=INT(K351),K351&lt;=999999),K351,0),0)</f>
        <v>0</v>
      </c>
      <c r="P351" s="0">
        <f>IF(COUNTA(B351:L351)=0,"",IF(L351="",IF(COUNTA(G351:J351)&gt;0,"DIMENSIONES","SIN LÍNEAS"),UPPER(TRIM(L351))))</f>
      </c>
      <c r="Q351" s="0">
        <f>IF(AND(O351&gt;0,LEN(TRIM(B351&amp;""))&gt;0,LEN(TRIM(C351&amp;""))&gt;0,LEN(TRIM(E351&amp;""))&gt;0,ISNUMBER(F351)),O351,"")</f>
      </c>
      <c r="R351" s="0" t="n">
        <f>IF(O351=0,0,IF(COUNTIFS($Q$13:$Q$512,O351)&gt;0,MATCH(O351,$Q$13:$Q$512,0),0))</f>
        <v>0</v>
      </c>
      <c r="S351" s="0">
        <f>IF(AB351="","",IF(SUMPRODUCT(--('LÉEME'!$B$65:$B$86=AC351))=1,INDEX('LÉEME'!$C$65:$C$86,MATCH(AC351,'LÉEME'!$B$65:$B$86,0)),UPPER(TRIM(AB351))))</f>
      </c>
      <c r="T351" s="0" t="n">
        <f>IF(R351=0,0,IF(OR(AND(LEN(TRIM(B351&amp;""))&gt;0,UPPER(TRIM(B351&amp;""))&lt;&gt;UPPER(TRIM(INDEX($B$13:$B$512,R351)&amp;""))),AND(LEN(TRIM(C351&amp;""))&gt;0,UPPER(TRIM(C351&amp;""))&lt;&gt;UPPER(TRIM(INDEX($C$13:$C$512,R351)&amp;""))),AND(LEN(TRIM(E351&amp;""))&gt;0,S351&lt;&gt;INDEX($S$13:$S$512,R351)),AND(F351&lt;&gt;"",NOT(ISNUMBER(F351)))),1,IF(ISNUMBER(F351),IF(ABS(F351-INDEX($F$13:$F$512,R351))&gt;0.00000001,1,0),0)))</f>
        <v>0</v>
      </c>
      <c r="U351" s="0" t="n">
        <f>IF(P351="DIRECTA",IF(AND(ISNUMBER(G351),COUNTA(H351:J351)=0),1,0),IF(P351="DIMENSIONES",IF(AND(COUNT(G351:J351)&gt;0,COUNTA(G351:J351)=COUNT(G351:J351)),1,0),0))</f>
        <v>0</v>
      </c>
      <c r="V351" s="0" t="n">
        <f>IF(O351=0,0,IF(COUNTIFS($O$13:O351,O351)=1,1,0))</f>
        <v>0</v>
      </c>
      <c r="W351" s="0">
        <f>IF(V351=1,COUNTIFS($V$13:V351,1),"")</f>
      </c>
      <c r="X351" s="0">
        <f>IF(COUNTA(B351:L351)=0,"",IF(OR(NOT(IF(ISNUMBER($E$6),AND($E$6&gt;=0,$E$6&lt;=6,$E$6=INT($E$6)),FALSE)),O351=0,R351=0,T351&gt;0,AND(P351&lt;&gt;"DIMENSIONES",P351&lt;&gt;"DIRECTA",P351&lt;&gt;"SIN LÍNEAS",P351&lt;&gt;"CABECERA"),AND(OR(P351="DIRECTA",P351="DIMENSIONES"),U351=0),AND(OR(P351="SIN LÍNEAS",P351="CABECERA"),COUNTA(G351:J351)&gt;0)),2,IF(OR(P351="SIN LÍNEAS",Y351&gt;0,Z351&gt;0,AA351&gt;0,SUMPRODUCT(--('LÉEME'!$B$65:$B$86=AC351))&lt;&gt;1),1,0)))</f>
      </c>
      <c r="Y351" s="0" t="n">
        <f>IF(AND(P351="DIMENSIONES",S351="m²",COUNT(H351:J351)=3),1,0)</f>
        <v>0</v>
      </c>
      <c r="Z351" s="0" t="n">
        <f>IF(IF(ISNUMBER($E$6),AND($E$6&gt;=0,$E$6&lt;=6,$E$6=INT($E$6)),FALSE),IF(SUM(IF(ISNUMBER(F351),IF(ABS(F351-ROUND(F351,$E$6))&gt;0.00000001,1,0),0),IF(ISNUMBER(G351),IF(ABS(G351-ROUND(G351,$E$6))&gt;0.00000001,1,0),0),IF(ISNUMBER(H351),IF(ABS(H351-ROUND(H351,$E$6))&gt;0.00000001,1,0),0),IF(ISNUMBER(I351),IF(ABS(I351-ROUND(I351,$E$6))&gt;0.00000001,1,0),0),IF(ISNUMBER(J351),IF(ABS(J351-ROUND(J351,$E$6))&gt;0.00000001,1,0),0),IF(ISNUMBER(M351),IF(ABS(M351-ROUND(M351,$E$6))&gt;0.00000001,1,0),0))&gt;0,1,0),0)</f>
        <v>0</v>
      </c>
      <c r="AA351" s="0" t="n">
        <f>IF(COUNTA(B351:L351)=0,0,IF(OR(AND(ISNUMBER(F351),F351&lt;0),AND(U351=1,OR(SUM(IF(ISNUMBER(G351),IF(G351=0,1,0),0),IF(ISNUMBER(H351),IF(H351=0,1,0),0),IF(ISNUMBER(I351),IF(I351=0,1,0),0),IF(ISNUMBER(J351),IF(J351=0,1,0),0))&gt;0,COUNTIFS(G351:J351,"&lt;0")&gt;0)),AND(P351="DIMENSIONES",U351=1,OR(AND(S351="m",COUNT(H351:J351)&lt;&gt;1),AND(S351="m²",COUNT(H351:J351)&lt;&gt;2,Y351=0),AND(S351="m³",COUNT(H351:J351)&lt;&gt;3),AND(S351="ud",COUNT(H351:J351)&gt;0))),AND(P351="DIRECTA",OR(S351="m",S351="m²",S351="m³"))),1,0))</f>
        <v>0</v>
      </c>
      <c r="AB351" s="0">
        <f>IF(LEN(TRIM(E351&amp;""))&gt;0,E351,IF(R351&gt;0,INDEX($E$13:$E$512,R351),""))</f>
      </c>
      <c r="AC351" s="0">
        <f>UPPER(SUBSTITUTE(SUBSTITUTE(SUBSTITUTE(SUBSTITUTE(SUBSTITUTE(TRIM(AB351),"²","2"),"³","3"),"^",""),".","")," ",""))</f>
      </c>
    </row>
    <row r="352" ht="35" customHeight="1">
      <c r="B352" s="35"/>
      <c r="C352" s="35"/>
      <c r="D352" s="37"/>
      <c r="E352" s="35"/>
      <c r="F352" s="38"/>
      <c r="G352" s="38"/>
      <c r="H352" s="38"/>
      <c r="I352" s="38"/>
      <c r="J352" s="38"/>
      <c r="K352" s="35"/>
      <c r="L352" s="35"/>
      <c r="M352" s="39">
        <f>IF(U352&lt;&gt;1,"",IF(P352="DIRECTA",G352,IF(ISNUMBER(G352),G352,1)*IF(ISNUMBER(H352),H352,1)*IF(ISNUMBER(I352),I352,1)*IF(ISNUMBER(J352),J352,1)))</f>
      </c>
      <c r="N352" s="30">
        <f>IF(COUNTA(B352:L352)=0,"",IF(X352=0,IF(P352="CABECERA","VERDE · Fila descriptiva; la suma usa las líneas del ID","VERDE · Datos numéricos interpretables"),IF(X352=2,"ROJO · ","ÁMBAR · ")&amp;IF(NOT(IF(ISNUMBER($E$6),AND($E$6&gt;=0,$E$6&lt;=6,$E$6=INT($E$6)),FALSE)),"Indicamos entre 0 y 6 decimales en E6. ","")&amp;IF(O352=0,"Falta un ID numérico. ","")&amp;IF(R352=0,"Faltan capítulo, código, unidad o total numérico del ID. ","")&amp;IF(T352&gt;0,"Los datos o el total del ID se contradicen. ","")&amp;IF(AND(P352&lt;&gt;"DIMENSIONES",P352&lt;&gt;"DIRECTA",P352&lt;&gt;"SIN LÍNEAS",P352&lt;&gt;"CABECERA"),"Tipo de fila no reconocido. ","")&amp;IF(AND(OR(P352="SIN LÍNEAS",P352="CABECERA"),COUNTA(G352:J352)&gt;0),"La fila dice que no mide, pero contiene medidas. ","")&amp;IF(AND(OR(P352="DIRECTA",P352="DIMENSIONES"),U352=0),"Línea incompleta o con medidas no numéricas. ","")&amp;IF(P352="SIN LÍNEAS","No constan medidas de esta fila. ","")&amp;IF(Y352&gt;0,"Parece m³: tres dimensiones bajo m². ","")&amp;IF(AND(AB352&lt;&gt;"",SUMPRODUCT(--('LÉEME'!$B$65:$B$86=AC352))&lt;&gt;1),"Revisamos el significado de la unidad. ","")&amp;IF(Z352&gt;0,"Más precisión que los decimales indicados: cotejamos el original. ","")&amp;IF(AA352&gt;0,"Revisamos dimensiones, cantidad directa, ceros o deducción. ","")))</f>
      </c>
      <c r="O352" s="0" t="n">
        <f>IF(ISNUMBER(K352),IF(AND(K352&gt;0,K352=INT(K352),K352&lt;=999999),K352,0),0)</f>
        <v>0</v>
      </c>
      <c r="P352" s="0">
        <f>IF(COUNTA(B352:L352)=0,"",IF(L352="",IF(COUNTA(G352:J352)&gt;0,"DIMENSIONES","SIN LÍNEAS"),UPPER(TRIM(L352))))</f>
      </c>
      <c r="Q352" s="0">
        <f>IF(AND(O352&gt;0,LEN(TRIM(B352&amp;""))&gt;0,LEN(TRIM(C352&amp;""))&gt;0,LEN(TRIM(E352&amp;""))&gt;0,ISNUMBER(F352)),O352,"")</f>
      </c>
      <c r="R352" s="0" t="n">
        <f>IF(O352=0,0,IF(COUNTIFS($Q$13:$Q$512,O352)&gt;0,MATCH(O352,$Q$13:$Q$512,0),0))</f>
        <v>0</v>
      </c>
      <c r="S352" s="0">
        <f>IF(AB352="","",IF(SUMPRODUCT(--('LÉEME'!$B$65:$B$86=AC352))=1,INDEX('LÉEME'!$C$65:$C$86,MATCH(AC352,'LÉEME'!$B$65:$B$86,0)),UPPER(TRIM(AB352))))</f>
      </c>
      <c r="T352" s="0" t="n">
        <f>IF(R352=0,0,IF(OR(AND(LEN(TRIM(B352&amp;""))&gt;0,UPPER(TRIM(B352&amp;""))&lt;&gt;UPPER(TRIM(INDEX($B$13:$B$512,R352)&amp;""))),AND(LEN(TRIM(C352&amp;""))&gt;0,UPPER(TRIM(C352&amp;""))&lt;&gt;UPPER(TRIM(INDEX($C$13:$C$512,R352)&amp;""))),AND(LEN(TRIM(E352&amp;""))&gt;0,S352&lt;&gt;INDEX($S$13:$S$512,R352)),AND(F352&lt;&gt;"",NOT(ISNUMBER(F352)))),1,IF(ISNUMBER(F352),IF(ABS(F352-INDEX($F$13:$F$512,R352))&gt;0.00000001,1,0),0)))</f>
        <v>0</v>
      </c>
      <c r="U352" s="0" t="n">
        <f>IF(P352="DIRECTA",IF(AND(ISNUMBER(G352),COUNTA(H352:J352)=0),1,0),IF(P352="DIMENSIONES",IF(AND(COUNT(G352:J352)&gt;0,COUNTA(G352:J352)=COUNT(G352:J352)),1,0),0))</f>
        <v>0</v>
      </c>
      <c r="V352" s="0" t="n">
        <f>IF(O352=0,0,IF(COUNTIFS($O$13:O352,O352)=1,1,0))</f>
        <v>0</v>
      </c>
      <c r="W352" s="0">
        <f>IF(V352=1,COUNTIFS($V$13:V352,1),"")</f>
      </c>
      <c r="X352" s="0">
        <f>IF(COUNTA(B352:L352)=0,"",IF(OR(NOT(IF(ISNUMBER($E$6),AND($E$6&gt;=0,$E$6&lt;=6,$E$6=INT($E$6)),FALSE)),O352=0,R352=0,T352&gt;0,AND(P352&lt;&gt;"DIMENSIONES",P352&lt;&gt;"DIRECTA",P352&lt;&gt;"SIN LÍNEAS",P352&lt;&gt;"CABECERA"),AND(OR(P352="DIRECTA",P352="DIMENSIONES"),U352=0),AND(OR(P352="SIN LÍNEAS",P352="CABECERA"),COUNTA(G352:J352)&gt;0)),2,IF(OR(P352="SIN LÍNEAS",Y352&gt;0,Z352&gt;0,AA352&gt;0,SUMPRODUCT(--('LÉEME'!$B$65:$B$86=AC352))&lt;&gt;1),1,0)))</f>
      </c>
      <c r="Y352" s="0" t="n">
        <f>IF(AND(P352="DIMENSIONES",S352="m²",COUNT(H352:J352)=3),1,0)</f>
        <v>0</v>
      </c>
      <c r="Z352" s="0" t="n">
        <f>IF(IF(ISNUMBER($E$6),AND($E$6&gt;=0,$E$6&lt;=6,$E$6=INT($E$6)),FALSE),IF(SUM(IF(ISNUMBER(F352),IF(ABS(F352-ROUND(F352,$E$6))&gt;0.00000001,1,0),0),IF(ISNUMBER(G352),IF(ABS(G352-ROUND(G352,$E$6))&gt;0.00000001,1,0),0),IF(ISNUMBER(H352),IF(ABS(H352-ROUND(H352,$E$6))&gt;0.00000001,1,0),0),IF(ISNUMBER(I352),IF(ABS(I352-ROUND(I352,$E$6))&gt;0.00000001,1,0),0),IF(ISNUMBER(J352),IF(ABS(J352-ROUND(J352,$E$6))&gt;0.00000001,1,0),0),IF(ISNUMBER(M352),IF(ABS(M352-ROUND(M352,$E$6))&gt;0.00000001,1,0),0))&gt;0,1,0),0)</f>
        <v>0</v>
      </c>
      <c r="AA352" s="0" t="n">
        <f>IF(COUNTA(B352:L352)=0,0,IF(OR(AND(ISNUMBER(F352),F352&lt;0),AND(U352=1,OR(SUM(IF(ISNUMBER(G352),IF(G352=0,1,0),0),IF(ISNUMBER(H352),IF(H352=0,1,0),0),IF(ISNUMBER(I352),IF(I352=0,1,0),0),IF(ISNUMBER(J352),IF(J352=0,1,0),0))&gt;0,COUNTIFS(G352:J352,"&lt;0")&gt;0)),AND(P352="DIMENSIONES",U352=1,OR(AND(S352="m",COUNT(H352:J352)&lt;&gt;1),AND(S352="m²",COUNT(H352:J352)&lt;&gt;2,Y352=0),AND(S352="m³",COUNT(H352:J352)&lt;&gt;3),AND(S352="ud",COUNT(H352:J352)&gt;0))),AND(P352="DIRECTA",OR(S352="m",S352="m²",S352="m³"))),1,0))</f>
        <v>0</v>
      </c>
      <c r="AB352" s="0">
        <f>IF(LEN(TRIM(E352&amp;""))&gt;0,E352,IF(R352&gt;0,INDEX($E$13:$E$512,R352),""))</f>
      </c>
      <c r="AC352" s="0">
        <f>UPPER(SUBSTITUTE(SUBSTITUTE(SUBSTITUTE(SUBSTITUTE(SUBSTITUTE(TRIM(AB352),"²","2"),"³","3"),"^",""),".","")," ",""))</f>
      </c>
    </row>
    <row r="353" ht="35" customHeight="1">
      <c r="B353" s="35"/>
      <c r="C353" s="35"/>
      <c r="D353" s="37"/>
      <c r="E353" s="35"/>
      <c r="F353" s="38"/>
      <c r="G353" s="38"/>
      <c r="H353" s="38"/>
      <c r="I353" s="38"/>
      <c r="J353" s="38"/>
      <c r="K353" s="35"/>
      <c r="L353" s="35"/>
      <c r="M353" s="39">
        <f>IF(U353&lt;&gt;1,"",IF(P353="DIRECTA",G353,IF(ISNUMBER(G353),G353,1)*IF(ISNUMBER(H353),H353,1)*IF(ISNUMBER(I353),I353,1)*IF(ISNUMBER(J353),J353,1)))</f>
      </c>
      <c r="N353" s="30">
        <f>IF(COUNTA(B353:L353)=0,"",IF(X353=0,IF(P353="CABECERA","VERDE · Fila descriptiva; la suma usa las líneas del ID","VERDE · Datos numéricos interpretables"),IF(X353=2,"ROJO · ","ÁMBAR · ")&amp;IF(NOT(IF(ISNUMBER($E$6),AND($E$6&gt;=0,$E$6&lt;=6,$E$6=INT($E$6)),FALSE)),"Indicamos entre 0 y 6 decimales en E6. ","")&amp;IF(O353=0,"Falta un ID numérico. ","")&amp;IF(R353=0,"Faltan capítulo, código, unidad o total numérico del ID. ","")&amp;IF(T353&gt;0,"Los datos o el total del ID se contradicen. ","")&amp;IF(AND(P353&lt;&gt;"DIMENSIONES",P353&lt;&gt;"DIRECTA",P353&lt;&gt;"SIN LÍNEAS",P353&lt;&gt;"CABECERA"),"Tipo de fila no reconocido. ","")&amp;IF(AND(OR(P353="SIN LÍNEAS",P353="CABECERA"),COUNTA(G353:J353)&gt;0),"La fila dice que no mide, pero contiene medidas. ","")&amp;IF(AND(OR(P353="DIRECTA",P353="DIMENSIONES"),U353=0),"Línea incompleta o con medidas no numéricas. ","")&amp;IF(P353="SIN LÍNEAS","No constan medidas de esta fila. ","")&amp;IF(Y353&gt;0,"Parece m³: tres dimensiones bajo m². ","")&amp;IF(AND(AB353&lt;&gt;"",SUMPRODUCT(--('LÉEME'!$B$65:$B$86=AC353))&lt;&gt;1),"Revisamos el significado de la unidad. ","")&amp;IF(Z353&gt;0,"Más precisión que los decimales indicados: cotejamos el original. ","")&amp;IF(AA353&gt;0,"Revisamos dimensiones, cantidad directa, ceros o deducción. ","")))</f>
      </c>
      <c r="O353" s="0" t="n">
        <f>IF(ISNUMBER(K353),IF(AND(K353&gt;0,K353=INT(K353),K353&lt;=999999),K353,0),0)</f>
        <v>0</v>
      </c>
      <c r="P353" s="0">
        <f>IF(COUNTA(B353:L353)=0,"",IF(L353="",IF(COUNTA(G353:J353)&gt;0,"DIMENSIONES","SIN LÍNEAS"),UPPER(TRIM(L353))))</f>
      </c>
      <c r="Q353" s="0">
        <f>IF(AND(O353&gt;0,LEN(TRIM(B353&amp;""))&gt;0,LEN(TRIM(C353&amp;""))&gt;0,LEN(TRIM(E353&amp;""))&gt;0,ISNUMBER(F353)),O353,"")</f>
      </c>
      <c r="R353" s="0" t="n">
        <f>IF(O353=0,0,IF(COUNTIFS($Q$13:$Q$512,O353)&gt;0,MATCH(O353,$Q$13:$Q$512,0),0))</f>
        <v>0</v>
      </c>
      <c r="S353" s="0">
        <f>IF(AB353="","",IF(SUMPRODUCT(--('LÉEME'!$B$65:$B$86=AC353))=1,INDEX('LÉEME'!$C$65:$C$86,MATCH(AC353,'LÉEME'!$B$65:$B$86,0)),UPPER(TRIM(AB353))))</f>
      </c>
      <c r="T353" s="0" t="n">
        <f>IF(R353=0,0,IF(OR(AND(LEN(TRIM(B353&amp;""))&gt;0,UPPER(TRIM(B353&amp;""))&lt;&gt;UPPER(TRIM(INDEX($B$13:$B$512,R353)&amp;""))),AND(LEN(TRIM(C353&amp;""))&gt;0,UPPER(TRIM(C353&amp;""))&lt;&gt;UPPER(TRIM(INDEX($C$13:$C$512,R353)&amp;""))),AND(LEN(TRIM(E353&amp;""))&gt;0,S353&lt;&gt;INDEX($S$13:$S$512,R353)),AND(F353&lt;&gt;"",NOT(ISNUMBER(F353)))),1,IF(ISNUMBER(F353),IF(ABS(F353-INDEX($F$13:$F$512,R353))&gt;0.00000001,1,0),0)))</f>
        <v>0</v>
      </c>
      <c r="U353" s="0" t="n">
        <f>IF(P353="DIRECTA",IF(AND(ISNUMBER(G353),COUNTA(H353:J353)=0),1,0),IF(P353="DIMENSIONES",IF(AND(COUNT(G353:J353)&gt;0,COUNTA(G353:J353)=COUNT(G353:J353)),1,0),0))</f>
        <v>0</v>
      </c>
      <c r="V353" s="0" t="n">
        <f>IF(O353=0,0,IF(COUNTIFS($O$13:O353,O353)=1,1,0))</f>
        <v>0</v>
      </c>
      <c r="W353" s="0">
        <f>IF(V353=1,COUNTIFS($V$13:V353,1),"")</f>
      </c>
      <c r="X353" s="0">
        <f>IF(COUNTA(B353:L353)=0,"",IF(OR(NOT(IF(ISNUMBER($E$6),AND($E$6&gt;=0,$E$6&lt;=6,$E$6=INT($E$6)),FALSE)),O353=0,R353=0,T353&gt;0,AND(P353&lt;&gt;"DIMENSIONES",P353&lt;&gt;"DIRECTA",P353&lt;&gt;"SIN LÍNEAS",P353&lt;&gt;"CABECERA"),AND(OR(P353="DIRECTA",P353="DIMENSIONES"),U353=0),AND(OR(P353="SIN LÍNEAS",P353="CABECERA"),COUNTA(G353:J353)&gt;0)),2,IF(OR(P353="SIN LÍNEAS",Y353&gt;0,Z353&gt;0,AA353&gt;0,SUMPRODUCT(--('LÉEME'!$B$65:$B$86=AC353))&lt;&gt;1),1,0)))</f>
      </c>
      <c r="Y353" s="0" t="n">
        <f>IF(AND(P353="DIMENSIONES",S353="m²",COUNT(H353:J353)=3),1,0)</f>
        <v>0</v>
      </c>
      <c r="Z353" s="0" t="n">
        <f>IF(IF(ISNUMBER($E$6),AND($E$6&gt;=0,$E$6&lt;=6,$E$6=INT($E$6)),FALSE),IF(SUM(IF(ISNUMBER(F353),IF(ABS(F353-ROUND(F353,$E$6))&gt;0.00000001,1,0),0),IF(ISNUMBER(G353),IF(ABS(G353-ROUND(G353,$E$6))&gt;0.00000001,1,0),0),IF(ISNUMBER(H353),IF(ABS(H353-ROUND(H353,$E$6))&gt;0.00000001,1,0),0),IF(ISNUMBER(I353),IF(ABS(I353-ROUND(I353,$E$6))&gt;0.00000001,1,0),0),IF(ISNUMBER(J353),IF(ABS(J353-ROUND(J353,$E$6))&gt;0.00000001,1,0),0),IF(ISNUMBER(M353),IF(ABS(M353-ROUND(M353,$E$6))&gt;0.00000001,1,0),0))&gt;0,1,0),0)</f>
        <v>0</v>
      </c>
      <c r="AA353" s="0" t="n">
        <f>IF(COUNTA(B353:L353)=0,0,IF(OR(AND(ISNUMBER(F353),F353&lt;0),AND(U353=1,OR(SUM(IF(ISNUMBER(G353),IF(G353=0,1,0),0),IF(ISNUMBER(H353),IF(H353=0,1,0),0),IF(ISNUMBER(I353),IF(I353=0,1,0),0),IF(ISNUMBER(J353),IF(J353=0,1,0),0))&gt;0,COUNTIFS(G353:J353,"&lt;0")&gt;0)),AND(P353="DIMENSIONES",U353=1,OR(AND(S353="m",COUNT(H353:J353)&lt;&gt;1),AND(S353="m²",COUNT(H353:J353)&lt;&gt;2,Y353=0),AND(S353="m³",COUNT(H353:J353)&lt;&gt;3),AND(S353="ud",COUNT(H353:J353)&gt;0))),AND(P353="DIRECTA",OR(S353="m",S353="m²",S353="m³"))),1,0))</f>
        <v>0</v>
      </c>
      <c r="AB353" s="0">
        <f>IF(LEN(TRIM(E353&amp;""))&gt;0,E353,IF(R353&gt;0,INDEX($E$13:$E$512,R353),""))</f>
      </c>
      <c r="AC353" s="0">
        <f>UPPER(SUBSTITUTE(SUBSTITUTE(SUBSTITUTE(SUBSTITUTE(SUBSTITUTE(TRIM(AB353),"²","2"),"³","3"),"^",""),".","")," ",""))</f>
      </c>
    </row>
    <row r="354" ht="35" customHeight="1">
      <c r="B354" s="35"/>
      <c r="C354" s="35"/>
      <c r="D354" s="37"/>
      <c r="E354" s="35"/>
      <c r="F354" s="38"/>
      <c r="G354" s="38"/>
      <c r="H354" s="38"/>
      <c r="I354" s="38"/>
      <c r="J354" s="38"/>
      <c r="K354" s="35"/>
      <c r="L354" s="35"/>
      <c r="M354" s="39">
        <f>IF(U354&lt;&gt;1,"",IF(P354="DIRECTA",G354,IF(ISNUMBER(G354),G354,1)*IF(ISNUMBER(H354),H354,1)*IF(ISNUMBER(I354),I354,1)*IF(ISNUMBER(J354),J354,1)))</f>
      </c>
      <c r="N354" s="30">
        <f>IF(COUNTA(B354:L354)=0,"",IF(X354=0,IF(P354="CABECERA","VERDE · Fila descriptiva; la suma usa las líneas del ID","VERDE · Datos numéricos interpretables"),IF(X354=2,"ROJO · ","ÁMBAR · ")&amp;IF(NOT(IF(ISNUMBER($E$6),AND($E$6&gt;=0,$E$6&lt;=6,$E$6=INT($E$6)),FALSE)),"Indicamos entre 0 y 6 decimales en E6. ","")&amp;IF(O354=0,"Falta un ID numérico. ","")&amp;IF(R354=0,"Faltan capítulo, código, unidad o total numérico del ID. ","")&amp;IF(T354&gt;0,"Los datos o el total del ID se contradicen. ","")&amp;IF(AND(P354&lt;&gt;"DIMENSIONES",P354&lt;&gt;"DIRECTA",P354&lt;&gt;"SIN LÍNEAS",P354&lt;&gt;"CABECERA"),"Tipo de fila no reconocido. ","")&amp;IF(AND(OR(P354="SIN LÍNEAS",P354="CABECERA"),COUNTA(G354:J354)&gt;0),"La fila dice que no mide, pero contiene medidas. ","")&amp;IF(AND(OR(P354="DIRECTA",P354="DIMENSIONES"),U354=0),"Línea incompleta o con medidas no numéricas. ","")&amp;IF(P354="SIN LÍNEAS","No constan medidas de esta fila. ","")&amp;IF(Y354&gt;0,"Parece m³: tres dimensiones bajo m². ","")&amp;IF(AND(AB354&lt;&gt;"",SUMPRODUCT(--('LÉEME'!$B$65:$B$86=AC354))&lt;&gt;1),"Revisamos el significado de la unidad. ","")&amp;IF(Z354&gt;0,"Más precisión que los decimales indicados: cotejamos el original. ","")&amp;IF(AA354&gt;0,"Revisamos dimensiones, cantidad directa, ceros o deducción. ","")))</f>
      </c>
      <c r="O354" s="0" t="n">
        <f>IF(ISNUMBER(K354),IF(AND(K354&gt;0,K354=INT(K354),K354&lt;=999999),K354,0),0)</f>
        <v>0</v>
      </c>
      <c r="P354" s="0">
        <f>IF(COUNTA(B354:L354)=0,"",IF(L354="",IF(COUNTA(G354:J354)&gt;0,"DIMENSIONES","SIN LÍNEAS"),UPPER(TRIM(L354))))</f>
      </c>
      <c r="Q354" s="0">
        <f>IF(AND(O354&gt;0,LEN(TRIM(B354&amp;""))&gt;0,LEN(TRIM(C354&amp;""))&gt;0,LEN(TRIM(E354&amp;""))&gt;0,ISNUMBER(F354)),O354,"")</f>
      </c>
      <c r="R354" s="0" t="n">
        <f>IF(O354=0,0,IF(COUNTIFS($Q$13:$Q$512,O354)&gt;0,MATCH(O354,$Q$13:$Q$512,0),0))</f>
        <v>0</v>
      </c>
      <c r="S354" s="0">
        <f>IF(AB354="","",IF(SUMPRODUCT(--('LÉEME'!$B$65:$B$86=AC354))=1,INDEX('LÉEME'!$C$65:$C$86,MATCH(AC354,'LÉEME'!$B$65:$B$86,0)),UPPER(TRIM(AB354))))</f>
      </c>
      <c r="T354" s="0" t="n">
        <f>IF(R354=0,0,IF(OR(AND(LEN(TRIM(B354&amp;""))&gt;0,UPPER(TRIM(B354&amp;""))&lt;&gt;UPPER(TRIM(INDEX($B$13:$B$512,R354)&amp;""))),AND(LEN(TRIM(C354&amp;""))&gt;0,UPPER(TRIM(C354&amp;""))&lt;&gt;UPPER(TRIM(INDEX($C$13:$C$512,R354)&amp;""))),AND(LEN(TRIM(E354&amp;""))&gt;0,S354&lt;&gt;INDEX($S$13:$S$512,R354)),AND(F354&lt;&gt;"",NOT(ISNUMBER(F354)))),1,IF(ISNUMBER(F354),IF(ABS(F354-INDEX($F$13:$F$512,R354))&gt;0.00000001,1,0),0)))</f>
        <v>0</v>
      </c>
      <c r="U354" s="0" t="n">
        <f>IF(P354="DIRECTA",IF(AND(ISNUMBER(G354),COUNTA(H354:J354)=0),1,0),IF(P354="DIMENSIONES",IF(AND(COUNT(G354:J354)&gt;0,COUNTA(G354:J354)=COUNT(G354:J354)),1,0),0))</f>
        <v>0</v>
      </c>
      <c r="V354" s="0" t="n">
        <f>IF(O354=0,0,IF(COUNTIFS($O$13:O354,O354)=1,1,0))</f>
        <v>0</v>
      </c>
      <c r="W354" s="0">
        <f>IF(V354=1,COUNTIFS($V$13:V354,1),"")</f>
      </c>
      <c r="X354" s="0">
        <f>IF(COUNTA(B354:L354)=0,"",IF(OR(NOT(IF(ISNUMBER($E$6),AND($E$6&gt;=0,$E$6&lt;=6,$E$6=INT($E$6)),FALSE)),O354=0,R354=0,T354&gt;0,AND(P354&lt;&gt;"DIMENSIONES",P354&lt;&gt;"DIRECTA",P354&lt;&gt;"SIN LÍNEAS",P354&lt;&gt;"CABECERA"),AND(OR(P354="DIRECTA",P354="DIMENSIONES"),U354=0),AND(OR(P354="SIN LÍNEAS",P354="CABECERA"),COUNTA(G354:J354)&gt;0)),2,IF(OR(P354="SIN LÍNEAS",Y354&gt;0,Z354&gt;0,AA354&gt;0,SUMPRODUCT(--('LÉEME'!$B$65:$B$86=AC354))&lt;&gt;1),1,0)))</f>
      </c>
      <c r="Y354" s="0" t="n">
        <f>IF(AND(P354="DIMENSIONES",S354="m²",COUNT(H354:J354)=3),1,0)</f>
        <v>0</v>
      </c>
      <c r="Z354" s="0" t="n">
        <f>IF(IF(ISNUMBER($E$6),AND($E$6&gt;=0,$E$6&lt;=6,$E$6=INT($E$6)),FALSE),IF(SUM(IF(ISNUMBER(F354),IF(ABS(F354-ROUND(F354,$E$6))&gt;0.00000001,1,0),0),IF(ISNUMBER(G354),IF(ABS(G354-ROUND(G354,$E$6))&gt;0.00000001,1,0),0),IF(ISNUMBER(H354),IF(ABS(H354-ROUND(H354,$E$6))&gt;0.00000001,1,0),0),IF(ISNUMBER(I354),IF(ABS(I354-ROUND(I354,$E$6))&gt;0.00000001,1,0),0),IF(ISNUMBER(J354),IF(ABS(J354-ROUND(J354,$E$6))&gt;0.00000001,1,0),0),IF(ISNUMBER(M354),IF(ABS(M354-ROUND(M354,$E$6))&gt;0.00000001,1,0),0))&gt;0,1,0),0)</f>
        <v>0</v>
      </c>
      <c r="AA354" s="0" t="n">
        <f>IF(COUNTA(B354:L354)=0,0,IF(OR(AND(ISNUMBER(F354),F354&lt;0),AND(U354=1,OR(SUM(IF(ISNUMBER(G354),IF(G354=0,1,0),0),IF(ISNUMBER(H354),IF(H354=0,1,0),0),IF(ISNUMBER(I354),IF(I354=0,1,0),0),IF(ISNUMBER(J354),IF(J354=0,1,0),0))&gt;0,COUNTIFS(G354:J354,"&lt;0")&gt;0)),AND(P354="DIMENSIONES",U354=1,OR(AND(S354="m",COUNT(H354:J354)&lt;&gt;1),AND(S354="m²",COUNT(H354:J354)&lt;&gt;2,Y354=0),AND(S354="m³",COUNT(H354:J354)&lt;&gt;3),AND(S354="ud",COUNT(H354:J354)&gt;0))),AND(P354="DIRECTA",OR(S354="m",S354="m²",S354="m³"))),1,0))</f>
        <v>0</v>
      </c>
      <c r="AB354" s="0">
        <f>IF(LEN(TRIM(E354&amp;""))&gt;0,E354,IF(R354&gt;0,INDEX($E$13:$E$512,R354),""))</f>
      </c>
      <c r="AC354" s="0">
        <f>UPPER(SUBSTITUTE(SUBSTITUTE(SUBSTITUTE(SUBSTITUTE(SUBSTITUTE(TRIM(AB354),"²","2"),"³","3"),"^",""),".","")," ",""))</f>
      </c>
    </row>
    <row r="355" ht="35" customHeight="1">
      <c r="B355" s="35"/>
      <c r="C355" s="35"/>
      <c r="D355" s="37"/>
      <c r="E355" s="35"/>
      <c r="F355" s="38"/>
      <c r="G355" s="38"/>
      <c r="H355" s="38"/>
      <c r="I355" s="38"/>
      <c r="J355" s="38"/>
      <c r="K355" s="35"/>
      <c r="L355" s="35"/>
      <c r="M355" s="39">
        <f>IF(U355&lt;&gt;1,"",IF(P355="DIRECTA",G355,IF(ISNUMBER(G355),G355,1)*IF(ISNUMBER(H355),H355,1)*IF(ISNUMBER(I355),I355,1)*IF(ISNUMBER(J355),J355,1)))</f>
      </c>
      <c r="N355" s="30">
        <f>IF(COUNTA(B355:L355)=0,"",IF(X355=0,IF(P355="CABECERA","VERDE · Fila descriptiva; la suma usa las líneas del ID","VERDE · Datos numéricos interpretables"),IF(X355=2,"ROJO · ","ÁMBAR · ")&amp;IF(NOT(IF(ISNUMBER($E$6),AND($E$6&gt;=0,$E$6&lt;=6,$E$6=INT($E$6)),FALSE)),"Indicamos entre 0 y 6 decimales en E6. ","")&amp;IF(O355=0,"Falta un ID numérico. ","")&amp;IF(R355=0,"Faltan capítulo, código, unidad o total numérico del ID. ","")&amp;IF(T355&gt;0,"Los datos o el total del ID se contradicen. ","")&amp;IF(AND(P355&lt;&gt;"DIMENSIONES",P355&lt;&gt;"DIRECTA",P355&lt;&gt;"SIN LÍNEAS",P355&lt;&gt;"CABECERA"),"Tipo de fila no reconocido. ","")&amp;IF(AND(OR(P355="SIN LÍNEAS",P355="CABECERA"),COUNTA(G355:J355)&gt;0),"La fila dice que no mide, pero contiene medidas. ","")&amp;IF(AND(OR(P355="DIRECTA",P355="DIMENSIONES"),U355=0),"Línea incompleta o con medidas no numéricas. ","")&amp;IF(P355="SIN LÍNEAS","No constan medidas de esta fila. ","")&amp;IF(Y355&gt;0,"Parece m³: tres dimensiones bajo m². ","")&amp;IF(AND(AB355&lt;&gt;"",SUMPRODUCT(--('LÉEME'!$B$65:$B$86=AC355))&lt;&gt;1),"Revisamos el significado de la unidad. ","")&amp;IF(Z355&gt;0,"Más precisión que los decimales indicados: cotejamos el original. ","")&amp;IF(AA355&gt;0,"Revisamos dimensiones, cantidad directa, ceros o deducción. ","")))</f>
      </c>
      <c r="O355" s="0" t="n">
        <f>IF(ISNUMBER(K355),IF(AND(K355&gt;0,K355=INT(K355),K355&lt;=999999),K355,0),0)</f>
        <v>0</v>
      </c>
      <c r="P355" s="0">
        <f>IF(COUNTA(B355:L355)=0,"",IF(L355="",IF(COUNTA(G355:J355)&gt;0,"DIMENSIONES","SIN LÍNEAS"),UPPER(TRIM(L355))))</f>
      </c>
      <c r="Q355" s="0">
        <f>IF(AND(O355&gt;0,LEN(TRIM(B355&amp;""))&gt;0,LEN(TRIM(C355&amp;""))&gt;0,LEN(TRIM(E355&amp;""))&gt;0,ISNUMBER(F355)),O355,"")</f>
      </c>
      <c r="R355" s="0" t="n">
        <f>IF(O355=0,0,IF(COUNTIFS($Q$13:$Q$512,O355)&gt;0,MATCH(O355,$Q$13:$Q$512,0),0))</f>
        <v>0</v>
      </c>
      <c r="S355" s="0">
        <f>IF(AB355="","",IF(SUMPRODUCT(--('LÉEME'!$B$65:$B$86=AC355))=1,INDEX('LÉEME'!$C$65:$C$86,MATCH(AC355,'LÉEME'!$B$65:$B$86,0)),UPPER(TRIM(AB355))))</f>
      </c>
      <c r="T355" s="0" t="n">
        <f>IF(R355=0,0,IF(OR(AND(LEN(TRIM(B355&amp;""))&gt;0,UPPER(TRIM(B355&amp;""))&lt;&gt;UPPER(TRIM(INDEX($B$13:$B$512,R355)&amp;""))),AND(LEN(TRIM(C355&amp;""))&gt;0,UPPER(TRIM(C355&amp;""))&lt;&gt;UPPER(TRIM(INDEX($C$13:$C$512,R355)&amp;""))),AND(LEN(TRIM(E355&amp;""))&gt;0,S355&lt;&gt;INDEX($S$13:$S$512,R355)),AND(F355&lt;&gt;"",NOT(ISNUMBER(F355)))),1,IF(ISNUMBER(F355),IF(ABS(F355-INDEX($F$13:$F$512,R355))&gt;0.00000001,1,0),0)))</f>
        <v>0</v>
      </c>
      <c r="U355" s="0" t="n">
        <f>IF(P355="DIRECTA",IF(AND(ISNUMBER(G355),COUNTA(H355:J355)=0),1,0),IF(P355="DIMENSIONES",IF(AND(COUNT(G355:J355)&gt;0,COUNTA(G355:J355)=COUNT(G355:J355)),1,0),0))</f>
        <v>0</v>
      </c>
      <c r="V355" s="0" t="n">
        <f>IF(O355=0,0,IF(COUNTIFS($O$13:O355,O355)=1,1,0))</f>
        <v>0</v>
      </c>
      <c r="W355" s="0">
        <f>IF(V355=1,COUNTIFS($V$13:V355,1),"")</f>
      </c>
      <c r="X355" s="0">
        <f>IF(COUNTA(B355:L355)=0,"",IF(OR(NOT(IF(ISNUMBER($E$6),AND($E$6&gt;=0,$E$6&lt;=6,$E$6=INT($E$6)),FALSE)),O355=0,R355=0,T355&gt;0,AND(P355&lt;&gt;"DIMENSIONES",P355&lt;&gt;"DIRECTA",P355&lt;&gt;"SIN LÍNEAS",P355&lt;&gt;"CABECERA"),AND(OR(P355="DIRECTA",P355="DIMENSIONES"),U355=0),AND(OR(P355="SIN LÍNEAS",P355="CABECERA"),COUNTA(G355:J355)&gt;0)),2,IF(OR(P355="SIN LÍNEAS",Y355&gt;0,Z355&gt;0,AA355&gt;0,SUMPRODUCT(--('LÉEME'!$B$65:$B$86=AC355))&lt;&gt;1),1,0)))</f>
      </c>
      <c r="Y355" s="0" t="n">
        <f>IF(AND(P355="DIMENSIONES",S355="m²",COUNT(H355:J355)=3),1,0)</f>
        <v>0</v>
      </c>
      <c r="Z355" s="0" t="n">
        <f>IF(IF(ISNUMBER($E$6),AND($E$6&gt;=0,$E$6&lt;=6,$E$6=INT($E$6)),FALSE),IF(SUM(IF(ISNUMBER(F355),IF(ABS(F355-ROUND(F355,$E$6))&gt;0.00000001,1,0),0),IF(ISNUMBER(G355),IF(ABS(G355-ROUND(G355,$E$6))&gt;0.00000001,1,0),0),IF(ISNUMBER(H355),IF(ABS(H355-ROUND(H355,$E$6))&gt;0.00000001,1,0),0),IF(ISNUMBER(I355),IF(ABS(I355-ROUND(I355,$E$6))&gt;0.00000001,1,0),0),IF(ISNUMBER(J355),IF(ABS(J355-ROUND(J355,$E$6))&gt;0.00000001,1,0),0),IF(ISNUMBER(M355),IF(ABS(M355-ROUND(M355,$E$6))&gt;0.00000001,1,0),0))&gt;0,1,0),0)</f>
        <v>0</v>
      </c>
      <c r="AA355" s="0" t="n">
        <f>IF(COUNTA(B355:L355)=0,0,IF(OR(AND(ISNUMBER(F355),F355&lt;0),AND(U355=1,OR(SUM(IF(ISNUMBER(G355),IF(G355=0,1,0),0),IF(ISNUMBER(H355),IF(H355=0,1,0),0),IF(ISNUMBER(I355),IF(I355=0,1,0),0),IF(ISNUMBER(J355),IF(J355=0,1,0),0))&gt;0,COUNTIFS(G355:J355,"&lt;0")&gt;0)),AND(P355="DIMENSIONES",U355=1,OR(AND(S355="m",COUNT(H355:J355)&lt;&gt;1),AND(S355="m²",COUNT(H355:J355)&lt;&gt;2,Y355=0),AND(S355="m³",COUNT(H355:J355)&lt;&gt;3),AND(S355="ud",COUNT(H355:J355)&gt;0))),AND(P355="DIRECTA",OR(S355="m",S355="m²",S355="m³"))),1,0))</f>
        <v>0</v>
      </c>
      <c r="AB355" s="0">
        <f>IF(LEN(TRIM(E355&amp;""))&gt;0,E355,IF(R355&gt;0,INDEX($E$13:$E$512,R355),""))</f>
      </c>
      <c r="AC355" s="0">
        <f>UPPER(SUBSTITUTE(SUBSTITUTE(SUBSTITUTE(SUBSTITUTE(SUBSTITUTE(TRIM(AB355),"²","2"),"³","3"),"^",""),".","")," ",""))</f>
      </c>
    </row>
    <row r="356" ht="35" customHeight="1">
      <c r="B356" s="35"/>
      <c r="C356" s="35"/>
      <c r="D356" s="37"/>
      <c r="E356" s="35"/>
      <c r="F356" s="38"/>
      <c r="G356" s="38"/>
      <c r="H356" s="38"/>
      <c r="I356" s="38"/>
      <c r="J356" s="38"/>
      <c r="K356" s="35"/>
      <c r="L356" s="35"/>
      <c r="M356" s="39">
        <f>IF(U356&lt;&gt;1,"",IF(P356="DIRECTA",G356,IF(ISNUMBER(G356),G356,1)*IF(ISNUMBER(H356),H356,1)*IF(ISNUMBER(I356),I356,1)*IF(ISNUMBER(J356),J356,1)))</f>
      </c>
      <c r="N356" s="30">
        <f>IF(COUNTA(B356:L356)=0,"",IF(X356=0,IF(P356="CABECERA","VERDE · Fila descriptiva; la suma usa las líneas del ID","VERDE · Datos numéricos interpretables"),IF(X356=2,"ROJO · ","ÁMBAR · ")&amp;IF(NOT(IF(ISNUMBER($E$6),AND($E$6&gt;=0,$E$6&lt;=6,$E$6=INT($E$6)),FALSE)),"Indicamos entre 0 y 6 decimales en E6. ","")&amp;IF(O356=0,"Falta un ID numérico. ","")&amp;IF(R356=0,"Faltan capítulo, código, unidad o total numérico del ID. ","")&amp;IF(T356&gt;0,"Los datos o el total del ID se contradicen. ","")&amp;IF(AND(P356&lt;&gt;"DIMENSIONES",P356&lt;&gt;"DIRECTA",P356&lt;&gt;"SIN LÍNEAS",P356&lt;&gt;"CABECERA"),"Tipo de fila no reconocido. ","")&amp;IF(AND(OR(P356="SIN LÍNEAS",P356="CABECERA"),COUNTA(G356:J356)&gt;0),"La fila dice que no mide, pero contiene medidas. ","")&amp;IF(AND(OR(P356="DIRECTA",P356="DIMENSIONES"),U356=0),"Línea incompleta o con medidas no numéricas. ","")&amp;IF(P356="SIN LÍNEAS","No constan medidas de esta fila. ","")&amp;IF(Y356&gt;0,"Parece m³: tres dimensiones bajo m². ","")&amp;IF(AND(AB356&lt;&gt;"",SUMPRODUCT(--('LÉEME'!$B$65:$B$86=AC356))&lt;&gt;1),"Revisamos el significado de la unidad. ","")&amp;IF(Z356&gt;0,"Más precisión que los decimales indicados: cotejamos el original. ","")&amp;IF(AA356&gt;0,"Revisamos dimensiones, cantidad directa, ceros o deducción. ","")))</f>
      </c>
      <c r="O356" s="0" t="n">
        <f>IF(ISNUMBER(K356),IF(AND(K356&gt;0,K356=INT(K356),K356&lt;=999999),K356,0),0)</f>
        <v>0</v>
      </c>
      <c r="P356" s="0">
        <f>IF(COUNTA(B356:L356)=0,"",IF(L356="",IF(COUNTA(G356:J356)&gt;0,"DIMENSIONES","SIN LÍNEAS"),UPPER(TRIM(L356))))</f>
      </c>
      <c r="Q356" s="0">
        <f>IF(AND(O356&gt;0,LEN(TRIM(B356&amp;""))&gt;0,LEN(TRIM(C356&amp;""))&gt;0,LEN(TRIM(E356&amp;""))&gt;0,ISNUMBER(F356)),O356,"")</f>
      </c>
      <c r="R356" s="0" t="n">
        <f>IF(O356=0,0,IF(COUNTIFS($Q$13:$Q$512,O356)&gt;0,MATCH(O356,$Q$13:$Q$512,0),0))</f>
        <v>0</v>
      </c>
      <c r="S356" s="0">
        <f>IF(AB356="","",IF(SUMPRODUCT(--('LÉEME'!$B$65:$B$86=AC356))=1,INDEX('LÉEME'!$C$65:$C$86,MATCH(AC356,'LÉEME'!$B$65:$B$86,0)),UPPER(TRIM(AB356))))</f>
      </c>
      <c r="T356" s="0" t="n">
        <f>IF(R356=0,0,IF(OR(AND(LEN(TRIM(B356&amp;""))&gt;0,UPPER(TRIM(B356&amp;""))&lt;&gt;UPPER(TRIM(INDEX($B$13:$B$512,R356)&amp;""))),AND(LEN(TRIM(C356&amp;""))&gt;0,UPPER(TRIM(C356&amp;""))&lt;&gt;UPPER(TRIM(INDEX($C$13:$C$512,R356)&amp;""))),AND(LEN(TRIM(E356&amp;""))&gt;0,S356&lt;&gt;INDEX($S$13:$S$512,R356)),AND(F356&lt;&gt;"",NOT(ISNUMBER(F356)))),1,IF(ISNUMBER(F356),IF(ABS(F356-INDEX($F$13:$F$512,R356))&gt;0.00000001,1,0),0)))</f>
        <v>0</v>
      </c>
      <c r="U356" s="0" t="n">
        <f>IF(P356="DIRECTA",IF(AND(ISNUMBER(G356),COUNTA(H356:J356)=0),1,0),IF(P356="DIMENSIONES",IF(AND(COUNT(G356:J356)&gt;0,COUNTA(G356:J356)=COUNT(G356:J356)),1,0),0))</f>
        <v>0</v>
      </c>
      <c r="V356" s="0" t="n">
        <f>IF(O356=0,0,IF(COUNTIFS($O$13:O356,O356)=1,1,0))</f>
        <v>0</v>
      </c>
      <c r="W356" s="0">
        <f>IF(V356=1,COUNTIFS($V$13:V356,1),"")</f>
      </c>
      <c r="X356" s="0">
        <f>IF(COUNTA(B356:L356)=0,"",IF(OR(NOT(IF(ISNUMBER($E$6),AND($E$6&gt;=0,$E$6&lt;=6,$E$6=INT($E$6)),FALSE)),O356=0,R356=0,T356&gt;0,AND(P356&lt;&gt;"DIMENSIONES",P356&lt;&gt;"DIRECTA",P356&lt;&gt;"SIN LÍNEAS",P356&lt;&gt;"CABECERA"),AND(OR(P356="DIRECTA",P356="DIMENSIONES"),U356=0),AND(OR(P356="SIN LÍNEAS",P356="CABECERA"),COUNTA(G356:J356)&gt;0)),2,IF(OR(P356="SIN LÍNEAS",Y356&gt;0,Z356&gt;0,AA356&gt;0,SUMPRODUCT(--('LÉEME'!$B$65:$B$86=AC356))&lt;&gt;1),1,0)))</f>
      </c>
      <c r="Y356" s="0" t="n">
        <f>IF(AND(P356="DIMENSIONES",S356="m²",COUNT(H356:J356)=3),1,0)</f>
        <v>0</v>
      </c>
      <c r="Z356" s="0" t="n">
        <f>IF(IF(ISNUMBER($E$6),AND($E$6&gt;=0,$E$6&lt;=6,$E$6=INT($E$6)),FALSE),IF(SUM(IF(ISNUMBER(F356),IF(ABS(F356-ROUND(F356,$E$6))&gt;0.00000001,1,0),0),IF(ISNUMBER(G356),IF(ABS(G356-ROUND(G356,$E$6))&gt;0.00000001,1,0),0),IF(ISNUMBER(H356),IF(ABS(H356-ROUND(H356,$E$6))&gt;0.00000001,1,0),0),IF(ISNUMBER(I356),IF(ABS(I356-ROUND(I356,$E$6))&gt;0.00000001,1,0),0),IF(ISNUMBER(J356),IF(ABS(J356-ROUND(J356,$E$6))&gt;0.00000001,1,0),0),IF(ISNUMBER(M356),IF(ABS(M356-ROUND(M356,$E$6))&gt;0.00000001,1,0),0))&gt;0,1,0),0)</f>
        <v>0</v>
      </c>
      <c r="AA356" s="0" t="n">
        <f>IF(COUNTA(B356:L356)=0,0,IF(OR(AND(ISNUMBER(F356),F356&lt;0),AND(U356=1,OR(SUM(IF(ISNUMBER(G356),IF(G356=0,1,0),0),IF(ISNUMBER(H356),IF(H356=0,1,0),0),IF(ISNUMBER(I356),IF(I356=0,1,0),0),IF(ISNUMBER(J356),IF(J356=0,1,0),0))&gt;0,COUNTIFS(G356:J356,"&lt;0")&gt;0)),AND(P356="DIMENSIONES",U356=1,OR(AND(S356="m",COUNT(H356:J356)&lt;&gt;1),AND(S356="m²",COUNT(H356:J356)&lt;&gt;2,Y356=0),AND(S356="m³",COUNT(H356:J356)&lt;&gt;3),AND(S356="ud",COUNT(H356:J356)&gt;0))),AND(P356="DIRECTA",OR(S356="m",S356="m²",S356="m³"))),1,0))</f>
        <v>0</v>
      </c>
      <c r="AB356" s="0">
        <f>IF(LEN(TRIM(E356&amp;""))&gt;0,E356,IF(R356&gt;0,INDEX($E$13:$E$512,R356),""))</f>
      </c>
      <c r="AC356" s="0">
        <f>UPPER(SUBSTITUTE(SUBSTITUTE(SUBSTITUTE(SUBSTITUTE(SUBSTITUTE(TRIM(AB356),"²","2"),"³","3"),"^",""),".","")," ",""))</f>
      </c>
    </row>
    <row r="357" ht="35" customHeight="1">
      <c r="B357" s="35"/>
      <c r="C357" s="35"/>
      <c r="D357" s="37"/>
      <c r="E357" s="35"/>
      <c r="F357" s="38"/>
      <c r="G357" s="38"/>
      <c r="H357" s="38"/>
      <c r="I357" s="38"/>
      <c r="J357" s="38"/>
      <c r="K357" s="35"/>
      <c r="L357" s="35"/>
      <c r="M357" s="39">
        <f>IF(U357&lt;&gt;1,"",IF(P357="DIRECTA",G357,IF(ISNUMBER(G357),G357,1)*IF(ISNUMBER(H357),H357,1)*IF(ISNUMBER(I357),I357,1)*IF(ISNUMBER(J357),J357,1)))</f>
      </c>
      <c r="N357" s="30">
        <f>IF(COUNTA(B357:L357)=0,"",IF(X357=0,IF(P357="CABECERA","VERDE · Fila descriptiva; la suma usa las líneas del ID","VERDE · Datos numéricos interpretables"),IF(X357=2,"ROJO · ","ÁMBAR · ")&amp;IF(NOT(IF(ISNUMBER($E$6),AND($E$6&gt;=0,$E$6&lt;=6,$E$6=INT($E$6)),FALSE)),"Indicamos entre 0 y 6 decimales en E6. ","")&amp;IF(O357=0,"Falta un ID numérico. ","")&amp;IF(R357=0,"Faltan capítulo, código, unidad o total numérico del ID. ","")&amp;IF(T357&gt;0,"Los datos o el total del ID se contradicen. ","")&amp;IF(AND(P357&lt;&gt;"DIMENSIONES",P357&lt;&gt;"DIRECTA",P357&lt;&gt;"SIN LÍNEAS",P357&lt;&gt;"CABECERA"),"Tipo de fila no reconocido. ","")&amp;IF(AND(OR(P357="SIN LÍNEAS",P357="CABECERA"),COUNTA(G357:J357)&gt;0),"La fila dice que no mide, pero contiene medidas. ","")&amp;IF(AND(OR(P357="DIRECTA",P357="DIMENSIONES"),U357=0),"Línea incompleta o con medidas no numéricas. ","")&amp;IF(P357="SIN LÍNEAS","No constan medidas de esta fila. ","")&amp;IF(Y357&gt;0,"Parece m³: tres dimensiones bajo m². ","")&amp;IF(AND(AB357&lt;&gt;"",SUMPRODUCT(--('LÉEME'!$B$65:$B$86=AC357))&lt;&gt;1),"Revisamos el significado de la unidad. ","")&amp;IF(Z357&gt;0,"Más precisión que los decimales indicados: cotejamos el original. ","")&amp;IF(AA357&gt;0,"Revisamos dimensiones, cantidad directa, ceros o deducción. ","")))</f>
      </c>
      <c r="O357" s="0" t="n">
        <f>IF(ISNUMBER(K357),IF(AND(K357&gt;0,K357=INT(K357),K357&lt;=999999),K357,0),0)</f>
        <v>0</v>
      </c>
      <c r="P357" s="0">
        <f>IF(COUNTA(B357:L357)=0,"",IF(L357="",IF(COUNTA(G357:J357)&gt;0,"DIMENSIONES","SIN LÍNEAS"),UPPER(TRIM(L357))))</f>
      </c>
      <c r="Q357" s="0">
        <f>IF(AND(O357&gt;0,LEN(TRIM(B357&amp;""))&gt;0,LEN(TRIM(C357&amp;""))&gt;0,LEN(TRIM(E357&amp;""))&gt;0,ISNUMBER(F357)),O357,"")</f>
      </c>
      <c r="R357" s="0" t="n">
        <f>IF(O357=0,0,IF(COUNTIFS($Q$13:$Q$512,O357)&gt;0,MATCH(O357,$Q$13:$Q$512,0),0))</f>
        <v>0</v>
      </c>
      <c r="S357" s="0">
        <f>IF(AB357="","",IF(SUMPRODUCT(--('LÉEME'!$B$65:$B$86=AC357))=1,INDEX('LÉEME'!$C$65:$C$86,MATCH(AC357,'LÉEME'!$B$65:$B$86,0)),UPPER(TRIM(AB357))))</f>
      </c>
      <c r="T357" s="0" t="n">
        <f>IF(R357=0,0,IF(OR(AND(LEN(TRIM(B357&amp;""))&gt;0,UPPER(TRIM(B357&amp;""))&lt;&gt;UPPER(TRIM(INDEX($B$13:$B$512,R357)&amp;""))),AND(LEN(TRIM(C357&amp;""))&gt;0,UPPER(TRIM(C357&amp;""))&lt;&gt;UPPER(TRIM(INDEX($C$13:$C$512,R357)&amp;""))),AND(LEN(TRIM(E357&amp;""))&gt;0,S357&lt;&gt;INDEX($S$13:$S$512,R357)),AND(F357&lt;&gt;"",NOT(ISNUMBER(F357)))),1,IF(ISNUMBER(F357),IF(ABS(F357-INDEX($F$13:$F$512,R357))&gt;0.00000001,1,0),0)))</f>
        <v>0</v>
      </c>
      <c r="U357" s="0" t="n">
        <f>IF(P357="DIRECTA",IF(AND(ISNUMBER(G357),COUNTA(H357:J357)=0),1,0),IF(P357="DIMENSIONES",IF(AND(COUNT(G357:J357)&gt;0,COUNTA(G357:J357)=COUNT(G357:J357)),1,0),0))</f>
        <v>0</v>
      </c>
      <c r="V357" s="0" t="n">
        <f>IF(O357=0,0,IF(COUNTIFS($O$13:O357,O357)=1,1,0))</f>
        <v>0</v>
      </c>
      <c r="W357" s="0">
        <f>IF(V357=1,COUNTIFS($V$13:V357,1),"")</f>
      </c>
      <c r="X357" s="0">
        <f>IF(COUNTA(B357:L357)=0,"",IF(OR(NOT(IF(ISNUMBER($E$6),AND($E$6&gt;=0,$E$6&lt;=6,$E$6=INT($E$6)),FALSE)),O357=0,R357=0,T357&gt;0,AND(P357&lt;&gt;"DIMENSIONES",P357&lt;&gt;"DIRECTA",P357&lt;&gt;"SIN LÍNEAS",P357&lt;&gt;"CABECERA"),AND(OR(P357="DIRECTA",P357="DIMENSIONES"),U357=0),AND(OR(P357="SIN LÍNEAS",P357="CABECERA"),COUNTA(G357:J357)&gt;0)),2,IF(OR(P357="SIN LÍNEAS",Y357&gt;0,Z357&gt;0,AA357&gt;0,SUMPRODUCT(--('LÉEME'!$B$65:$B$86=AC357))&lt;&gt;1),1,0)))</f>
      </c>
      <c r="Y357" s="0" t="n">
        <f>IF(AND(P357="DIMENSIONES",S357="m²",COUNT(H357:J357)=3),1,0)</f>
        <v>0</v>
      </c>
      <c r="Z357" s="0" t="n">
        <f>IF(IF(ISNUMBER($E$6),AND($E$6&gt;=0,$E$6&lt;=6,$E$6=INT($E$6)),FALSE),IF(SUM(IF(ISNUMBER(F357),IF(ABS(F357-ROUND(F357,$E$6))&gt;0.00000001,1,0),0),IF(ISNUMBER(G357),IF(ABS(G357-ROUND(G357,$E$6))&gt;0.00000001,1,0),0),IF(ISNUMBER(H357),IF(ABS(H357-ROUND(H357,$E$6))&gt;0.00000001,1,0),0),IF(ISNUMBER(I357),IF(ABS(I357-ROUND(I357,$E$6))&gt;0.00000001,1,0),0),IF(ISNUMBER(J357),IF(ABS(J357-ROUND(J357,$E$6))&gt;0.00000001,1,0),0),IF(ISNUMBER(M357),IF(ABS(M357-ROUND(M357,$E$6))&gt;0.00000001,1,0),0))&gt;0,1,0),0)</f>
        <v>0</v>
      </c>
      <c r="AA357" s="0" t="n">
        <f>IF(COUNTA(B357:L357)=0,0,IF(OR(AND(ISNUMBER(F357),F357&lt;0),AND(U357=1,OR(SUM(IF(ISNUMBER(G357),IF(G357=0,1,0),0),IF(ISNUMBER(H357),IF(H357=0,1,0),0),IF(ISNUMBER(I357),IF(I357=0,1,0),0),IF(ISNUMBER(J357),IF(J357=0,1,0),0))&gt;0,COUNTIFS(G357:J357,"&lt;0")&gt;0)),AND(P357="DIMENSIONES",U357=1,OR(AND(S357="m",COUNT(H357:J357)&lt;&gt;1),AND(S357="m²",COUNT(H357:J357)&lt;&gt;2,Y357=0),AND(S357="m³",COUNT(H357:J357)&lt;&gt;3),AND(S357="ud",COUNT(H357:J357)&gt;0))),AND(P357="DIRECTA",OR(S357="m",S357="m²",S357="m³"))),1,0))</f>
        <v>0</v>
      </c>
      <c r="AB357" s="0">
        <f>IF(LEN(TRIM(E357&amp;""))&gt;0,E357,IF(R357&gt;0,INDEX($E$13:$E$512,R357),""))</f>
      </c>
      <c r="AC357" s="0">
        <f>UPPER(SUBSTITUTE(SUBSTITUTE(SUBSTITUTE(SUBSTITUTE(SUBSTITUTE(TRIM(AB357),"²","2"),"³","3"),"^",""),".","")," ",""))</f>
      </c>
    </row>
    <row r="358" ht="35" customHeight="1">
      <c r="B358" s="35"/>
      <c r="C358" s="35"/>
      <c r="D358" s="37"/>
      <c r="E358" s="35"/>
      <c r="F358" s="38"/>
      <c r="G358" s="38"/>
      <c r="H358" s="38"/>
      <c r="I358" s="38"/>
      <c r="J358" s="38"/>
      <c r="K358" s="35"/>
      <c r="L358" s="35"/>
      <c r="M358" s="39">
        <f>IF(U358&lt;&gt;1,"",IF(P358="DIRECTA",G358,IF(ISNUMBER(G358),G358,1)*IF(ISNUMBER(H358),H358,1)*IF(ISNUMBER(I358),I358,1)*IF(ISNUMBER(J358),J358,1)))</f>
      </c>
      <c r="N358" s="30">
        <f>IF(COUNTA(B358:L358)=0,"",IF(X358=0,IF(P358="CABECERA","VERDE · Fila descriptiva; la suma usa las líneas del ID","VERDE · Datos numéricos interpretables"),IF(X358=2,"ROJO · ","ÁMBAR · ")&amp;IF(NOT(IF(ISNUMBER($E$6),AND($E$6&gt;=0,$E$6&lt;=6,$E$6=INT($E$6)),FALSE)),"Indicamos entre 0 y 6 decimales en E6. ","")&amp;IF(O358=0,"Falta un ID numérico. ","")&amp;IF(R358=0,"Faltan capítulo, código, unidad o total numérico del ID. ","")&amp;IF(T358&gt;0,"Los datos o el total del ID se contradicen. ","")&amp;IF(AND(P358&lt;&gt;"DIMENSIONES",P358&lt;&gt;"DIRECTA",P358&lt;&gt;"SIN LÍNEAS",P358&lt;&gt;"CABECERA"),"Tipo de fila no reconocido. ","")&amp;IF(AND(OR(P358="SIN LÍNEAS",P358="CABECERA"),COUNTA(G358:J358)&gt;0),"La fila dice que no mide, pero contiene medidas. ","")&amp;IF(AND(OR(P358="DIRECTA",P358="DIMENSIONES"),U358=0),"Línea incompleta o con medidas no numéricas. ","")&amp;IF(P358="SIN LÍNEAS","No constan medidas de esta fila. ","")&amp;IF(Y358&gt;0,"Parece m³: tres dimensiones bajo m². ","")&amp;IF(AND(AB358&lt;&gt;"",SUMPRODUCT(--('LÉEME'!$B$65:$B$86=AC358))&lt;&gt;1),"Revisamos el significado de la unidad. ","")&amp;IF(Z358&gt;0,"Más precisión que los decimales indicados: cotejamos el original. ","")&amp;IF(AA358&gt;0,"Revisamos dimensiones, cantidad directa, ceros o deducción. ","")))</f>
      </c>
      <c r="O358" s="0" t="n">
        <f>IF(ISNUMBER(K358),IF(AND(K358&gt;0,K358=INT(K358),K358&lt;=999999),K358,0),0)</f>
        <v>0</v>
      </c>
      <c r="P358" s="0">
        <f>IF(COUNTA(B358:L358)=0,"",IF(L358="",IF(COUNTA(G358:J358)&gt;0,"DIMENSIONES","SIN LÍNEAS"),UPPER(TRIM(L358))))</f>
      </c>
      <c r="Q358" s="0">
        <f>IF(AND(O358&gt;0,LEN(TRIM(B358&amp;""))&gt;0,LEN(TRIM(C358&amp;""))&gt;0,LEN(TRIM(E358&amp;""))&gt;0,ISNUMBER(F358)),O358,"")</f>
      </c>
      <c r="R358" s="0" t="n">
        <f>IF(O358=0,0,IF(COUNTIFS($Q$13:$Q$512,O358)&gt;0,MATCH(O358,$Q$13:$Q$512,0),0))</f>
        <v>0</v>
      </c>
      <c r="S358" s="0">
        <f>IF(AB358="","",IF(SUMPRODUCT(--('LÉEME'!$B$65:$B$86=AC358))=1,INDEX('LÉEME'!$C$65:$C$86,MATCH(AC358,'LÉEME'!$B$65:$B$86,0)),UPPER(TRIM(AB358))))</f>
      </c>
      <c r="T358" s="0" t="n">
        <f>IF(R358=0,0,IF(OR(AND(LEN(TRIM(B358&amp;""))&gt;0,UPPER(TRIM(B358&amp;""))&lt;&gt;UPPER(TRIM(INDEX($B$13:$B$512,R358)&amp;""))),AND(LEN(TRIM(C358&amp;""))&gt;0,UPPER(TRIM(C358&amp;""))&lt;&gt;UPPER(TRIM(INDEX($C$13:$C$512,R358)&amp;""))),AND(LEN(TRIM(E358&amp;""))&gt;0,S358&lt;&gt;INDEX($S$13:$S$512,R358)),AND(F358&lt;&gt;"",NOT(ISNUMBER(F358)))),1,IF(ISNUMBER(F358),IF(ABS(F358-INDEX($F$13:$F$512,R358))&gt;0.00000001,1,0),0)))</f>
        <v>0</v>
      </c>
      <c r="U358" s="0" t="n">
        <f>IF(P358="DIRECTA",IF(AND(ISNUMBER(G358),COUNTA(H358:J358)=0),1,0),IF(P358="DIMENSIONES",IF(AND(COUNT(G358:J358)&gt;0,COUNTA(G358:J358)=COUNT(G358:J358)),1,0),0))</f>
        <v>0</v>
      </c>
      <c r="V358" s="0" t="n">
        <f>IF(O358=0,0,IF(COUNTIFS($O$13:O358,O358)=1,1,0))</f>
        <v>0</v>
      </c>
      <c r="W358" s="0">
        <f>IF(V358=1,COUNTIFS($V$13:V358,1),"")</f>
      </c>
      <c r="X358" s="0">
        <f>IF(COUNTA(B358:L358)=0,"",IF(OR(NOT(IF(ISNUMBER($E$6),AND($E$6&gt;=0,$E$6&lt;=6,$E$6=INT($E$6)),FALSE)),O358=0,R358=0,T358&gt;0,AND(P358&lt;&gt;"DIMENSIONES",P358&lt;&gt;"DIRECTA",P358&lt;&gt;"SIN LÍNEAS",P358&lt;&gt;"CABECERA"),AND(OR(P358="DIRECTA",P358="DIMENSIONES"),U358=0),AND(OR(P358="SIN LÍNEAS",P358="CABECERA"),COUNTA(G358:J358)&gt;0)),2,IF(OR(P358="SIN LÍNEAS",Y358&gt;0,Z358&gt;0,AA358&gt;0,SUMPRODUCT(--('LÉEME'!$B$65:$B$86=AC358))&lt;&gt;1),1,0)))</f>
      </c>
      <c r="Y358" s="0" t="n">
        <f>IF(AND(P358="DIMENSIONES",S358="m²",COUNT(H358:J358)=3),1,0)</f>
        <v>0</v>
      </c>
      <c r="Z358" s="0" t="n">
        <f>IF(IF(ISNUMBER($E$6),AND($E$6&gt;=0,$E$6&lt;=6,$E$6=INT($E$6)),FALSE),IF(SUM(IF(ISNUMBER(F358),IF(ABS(F358-ROUND(F358,$E$6))&gt;0.00000001,1,0),0),IF(ISNUMBER(G358),IF(ABS(G358-ROUND(G358,$E$6))&gt;0.00000001,1,0),0),IF(ISNUMBER(H358),IF(ABS(H358-ROUND(H358,$E$6))&gt;0.00000001,1,0),0),IF(ISNUMBER(I358),IF(ABS(I358-ROUND(I358,$E$6))&gt;0.00000001,1,0),0),IF(ISNUMBER(J358),IF(ABS(J358-ROUND(J358,$E$6))&gt;0.00000001,1,0),0),IF(ISNUMBER(M358),IF(ABS(M358-ROUND(M358,$E$6))&gt;0.00000001,1,0),0))&gt;0,1,0),0)</f>
        <v>0</v>
      </c>
      <c r="AA358" s="0" t="n">
        <f>IF(COUNTA(B358:L358)=0,0,IF(OR(AND(ISNUMBER(F358),F358&lt;0),AND(U358=1,OR(SUM(IF(ISNUMBER(G358),IF(G358=0,1,0),0),IF(ISNUMBER(H358),IF(H358=0,1,0),0),IF(ISNUMBER(I358),IF(I358=0,1,0),0),IF(ISNUMBER(J358),IF(J358=0,1,0),0))&gt;0,COUNTIFS(G358:J358,"&lt;0")&gt;0)),AND(P358="DIMENSIONES",U358=1,OR(AND(S358="m",COUNT(H358:J358)&lt;&gt;1),AND(S358="m²",COUNT(H358:J358)&lt;&gt;2,Y358=0),AND(S358="m³",COUNT(H358:J358)&lt;&gt;3),AND(S358="ud",COUNT(H358:J358)&gt;0))),AND(P358="DIRECTA",OR(S358="m",S358="m²",S358="m³"))),1,0))</f>
        <v>0</v>
      </c>
      <c r="AB358" s="0">
        <f>IF(LEN(TRIM(E358&amp;""))&gt;0,E358,IF(R358&gt;0,INDEX($E$13:$E$512,R358),""))</f>
      </c>
      <c r="AC358" s="0">
        <f>UPPER(SUBSTITUTE(SUBSTITUTE(SUBSTITUTE(SUBSTITUTE(SUBSTITUTE(TRIM(AB358),"²","2"),"³","3"),"^",""),".","")," ",""))</f>
      </c>
    </row>
    <row r="359" ht="35" customHeight="1">
      <c r="B359" s="35"/>
      <c r="C359" s="35"/>
      <c r="D359" s="37"/>
      <c r="E359" s="35"/>
      <c r="F359" s="38"/>
      <c r="G359" s="38"/>
      <c r="H359" s="38"/>
      <c r="I359" s="38"/>
      <c r="J359" s="38"/>
      <c r="K359" s="35"/>
      <c r="L359" s="35"/>
      <c r="M359" s="39">
        <f>IF(U359&lt;&gt;1,"",IF(P359="DIRECTA",G359,IF(ISNUMBER(G359),G359,1)*IF(ISNUMBER(H359),H359,1)*IF(ISNUMBER(I359),I359,1)*IF(ISNUMBER(J359),J359,1)))</f>
      </c>
      <c r="N359" s="30">
        <f>IF(COUNTA(B359:L359)=0,"",IF(X359=0,IF(P359="CABECERA","VERDE · Fila descriptiva; la suma usa las líneas del ID","VERDE · Datos numéricos interpretables"),IF(X359=2,"ROJO · ","ÁMBAR · ")&amp;IF(NOT(IF(ISNUMBER($E$6),AND($E$6&gt;=0,$E$6&lt;=6,$E$6=INT($E$6)),FALSE)),"Indicamos entre 0 y 6 decimales en E6. ","")&amp;IF(O359=0,"Falta un ID numérico. ","")&amp;IF(R359=0,"Faltan capítulo, código, unidad o total numérico del ID. ","")&amp;IF(T359&gt;0,"Los datos o el total del ID se contradicen. ","")&amp;IF(AND(P359&lt;&gt;"DIMENSIONES",P359&lt;&gt;"DIRECTA",P359&lt;&gt;"SIN LÍNEAS",P359&lt;&gt;"CABECERA"),"Tipo de fila no reconocido. ","")&amp;IF(AND(OR(P359="SIN LÍNEAS",P359="CABECERA"),COUNTA(G359:J359)&gt;0),"La fila dice que no mide, pero contiene medidas. ","")&amp;IF(AND(OR(P359="DIRECTA",P359="DIMENSIONES"),U359=0),"Línea incompleta o con medidas no numéricas. ","")&amp;IF(P359="SIN LÍNEAS","No constan medidas de esta fila. ","")&amp;IF(Y359&gt;0,"Parece m³: tres dimensiones bajo m². ","")&amp;IF(AND(AB359&lt;&gt;"",SUMPRODUCT(--('LÉEME'!$B$65:$B$86=AC359))&lt;&gt;1),"Revisamos el significado de la unidad. ","")&amp;IF(Z359&gt;0,"Más precisión que los decimales indicados: cotejamos el original. ","")&amp;IF(AA359&gt;0,"Revisamos dimensiones, cantidad directa, ceros o deducción. ","")))</f>
      </c>
      <c r="O359" s="0" t="n">
        <f>IF(ISNUMBER(K359),IF(AND(K359&gt;0,K359=INT(K359),K359&lt;=999999),K359,0),0)</f>
        <v>0</v>
      </c>
      <c r="P359" s="0">
        <f>IF(COUNTA(B359:L359)=0,"",IF(L359="",IF(COUNTA(G359:J359)&gt;0,"DIMENSIONES","SIN LÍNEAS"),UPPER(TRIM(L359))))</f>
      </c>
      <c r="Q359" s="0">
        <f>IF(AND(O359&gt;0,LEN(TRIM(B359&amp;""))&gt;0,LEN(TRIM(C359&amp;""))&gt;0,LEN(TRIM(E359&amp;""))&gt;0,ISNUMBER(F359)),O359,"")</f>
      </c>
      <c r="R359" s="0" t="n">
        <f>IF(O359=0,0,IF(COUNTIFS($Q$13:$Q$512,O359)&gt;0,MATCH(O359,$Q$13:$Q$512,0),0))</f>
        <v>0</v>
      </c>
      <c r="S359" s="0">
        <f>IF(AB359="","",IF(SUMPRODUCT(--('LÉEME'!$B$65:$B$86=AC359))=1,INDEX('LÉEME'!$C$65:$C$86,MATCH(AC359,'LÉEME'!$B$65:$B$86,0)),UPPER(TRIM(AB359))))</f>
      </c>
      <c r="T359" s="0" t="n">
        <f>IF(R359=0,0,IF(OR(AND(LEN(TRIM(B359&amp;""))&gt;0,UPPER(TRIM(B359&amp;""))&lt;&gt;UPPER(TRIM(INDEX($B$13:$B$512,R359)&amp;""))),AND(LEN(TRIM(C359&amp;""))&gt;0,UPPER(TRIM(C359&amp;""))&lt;&gt;UPPER(TRIM(INDEX($C$13:$C$512,R359)&amp;""))),AND(LEN(TRIM(E359&amp;""))&gt;0,S359&lt;&gt;INDEX($S$13:$S$512,R359)),AND(F359&lt;&gt;"",NOT(ISNUMBER(F359)))),1,IF(ISNUMBER(F359),IF(ABS(F359-INDEX($F$13:$F$512,R359))&gt;0.00000001,1,0),0)))</f>
        <v>0</v>
      </c>
      <c r="U359" s="0" t="n">
        <f>IF(P359="DIRECTA",IF(AND(ISNUMBER(G359),COUNTA(H359:J359)=0),1,0),IF(P359="DIMENSIONES",IF(AND(COUNT(G359:J359)&gt;0,COUNTA(G359:J359)=COUNT(G359:J359)),1,0),0))</f>
        <v>0</v>
      </c>
      <c r="V359" s="0" t="n">
        <f>IF(O359=0,0,IF(COUNTIFS($O$13:O359,O359)=1,1,0))</f>
        <v>0</v>
      </c>
      <c r="W359" s="0">
        <f>IF(V359=1,COUNTIFS($V$13:V359,1),"")</f>
      </c>
      <c r="X359" s="0">
        <f>IF(COUNTA(B359:L359)=0,"",IF(OR(NOT(IF(ISNUMBER($E$6),AND($E$6&gt;=0,$E$6&lt;=6,$E$6=INT($E$6)),FALSE)),O359=0,R359=0,T359&gt;0,AND(P359&lt;&gt;"DIMENSIONES",P359&lt;&gt;"DIRECTA",P359&lt;&gt;"SIN LÍNEAS",P359&lt;&gt;"CABECERA"),AND(OR(P359="DIRECTA",P359="DIMENSIONES"),U359=0),AND(OR(P359="SIN LÍNEAS",P359="CABECERA"),COUNTA(G359:J359)&gt;0)),2,IF(OR(P359="SIN LÍNEAS",Y359&gt;0,Z359&gt;0,AA359&gt;0,SUMPRODUCT(--('LÉEME'!$B$65:$B$86=AC359))&lt;&gt;1),1,0)))</f>
      </c>
      <c r="Y359" s="0" t="n">
        <f>IF(AND(P359="DIMENSIONES",S359="m²",COUNT(H359:J359)=3),1,0)</f>
        <v>0</v>
      </c>
      <c r="Z359" s="0" t="n">
        <f>IF(IF(ISNUMBER($E$6),AND($E$6&gt;=0,$E$6&lt;=6,$E$6=INT($E$6)),FALSE),IF(SUM(IF(ISNUMBER(F359),IF(ABS(F359-ROUND(F359,$E$6))&gt;0.00000001,1,0),0),IF(ISNUMBER(G359),IF(ABS(G359-ROUND(G359,$E$6))&gt;0.00000001,1,0),0),IF(ISNUMBER(H359),IF(ABS(H359-ROUND(H359,$E$6))&gt;0.00000001,1,0),0),IF(ISNUMBER(I359),IF(ABS(I359-ROUND(I359,$E$6))&gt;0.00000001,1,0),0),IF(ISNUMBER(J359),IF(ABS(J359-ROUND(J359,$E$6))&gt;0.00000001,1,0),0),IF(ISNUMBER(M359),IF(ABS(M359-ROUND(M359,$E$6))&gt;0.00000001,1,0),0))&gt;0,1,0),0)</f>
        <v>0</v>
      </c>
      <c r="AA359" s="0" t="n">
        <f>IF(COUNTA(B359:L359)=0,0,IF(OR(AND(ISNUMBER(F359),F359&lt;0),AND(U359=1,OR(SUM(IF(ISNUMBER(G359),IF(G359=0,1,0),0),IF(ISNUMBER(H359),IF(H359=0,1,0),0),IF(ISNUMBER(I359),IF(I359=0,1,0),0),IF(ISNUMBER(J359),IF(J359=0,1,0),0))&gt;0,COUNTIFS(G359:J359,"&lt;0")&gt;0)),AND(P359="DIMENSIONES",U359=1,OR(AND(S359="m",COUNT(H359:J359)&lt;&gt;1),AND(S359="m²",COUNT(H359:J359)&lt;&gt;2,Y359=0),AND(S359="m³",COUNT(H359:J359)&lt;&gt;3),AND(S359="ud",COUNT(H359:J359)&gt;0))),AND(P359="DIRECTA",OR(S359="m",S359="m²",S359="m³"))),1,0))</f>
        <v>0</v>
      </c>
      <c r="AB359" s="0">
        <f>IF(LEN(TRIM(E359&amp;""))&gt;0,E359,IF(R359&gt;0,INDEX($E$13:$E$512,R359),""))</f>
      </c>
      <c r="AC359" s="0">
        <f>UPPER(SUBSTITUTE(SUBSTITUTE(SUBSTITUTE(SUBSTITUTE(SUBSTITUTE(TRIM(AB359),"²","2"),"³","3"),"^",""),".","")," ",""))</f>
      </c>
    </row>
    <row r="360" ht="35" customHeight="1">
      <c r="B360" s="35"/>
      <c r="C360" s="35"/>
      <c r="D360" s="37"/>
      <c r="E360" s="35"/>
      <c r="F360" s="38"/>
      <c r="G360" s="38"/>
      <c r="H360" s="38"/>
      <c r="I360" s="38"/>
      <c r="J360" s="38"/>
      <c r="K360" s="35"/>
      <c r="L360" s="35"/>
      <c r="M360" s="39">
        <f>IF(U360&lt;&gt;1,"",IF(P360="DIRECTA",G360,IF(ISNUMBER(G360),G360,1)*IF(ISNUMBER(H360),H360,1)*IF(ISNUMBER(I360),I360,1)*IF(ISNUMBER(J360),J360,1)))</f>
      </c>
      <c r="N360" s="30">
        <f>IF(COUNTA(B360:L360)=0,"",IF(X360=0,IF(P360="CABECERA","VERDE · Fila descriptiva; la suma usa las líneas del ID","VERDE · Datos numéricos interpretables"),IF(X360=2,"ROJO · ","ÁMBAR · ")&amp;IF(NOT(IF(ISNUMBER($E$6),AND($E$6&gt;=0,$E$6&lt;=6,$E$6=INT($E$6)),FALSE)),"Indicamos entre 0 y 6 decimales en E6. ","")&amp;IF(O360=0,"Falta un ID numérico. ","")&amp;IF(R360=0,"Faltan capítulo, código, unidad o total numérico del ID. ","")&amp;IF(T360&gt;0,"Los datos o el total del ID se contradicen. ","")&amp;IF(AND(P360&lt;&gt;"DIMENSIONES",P360&lt;&gt;"DIRECTA",P360&lt;&gt;"SIN LÍNEAS",P360&lt;&gt;"CABECERA"),"Tipo de fila no reconocido. ","")&amp;IF(AND(OR(P360="SIN LÍNEAS",P360="CABECERA"),COUNTA(G360:J360)&gt;0),"La fila dice que no mide, pero contiene medidas. ","")&amp;IF(AND(OR(P360="DIRECTA",P360="DIMENSIONES"),U360=0),"Línea incompleta o con medidas no numéricas. ","")&amp;IF(P360="SIN LÍNEAS","No constan medidas de esta fila. ","")&amp;IF(Y360&gt;0,"Parece m³: tres dimensiones bajo m². ","")&amp;IF(AND(AB360&lt;&gt;"",SUMPRODUCT(--('LÉEME'!$B$65:$B$86=AC360))&lt;&gt;1),"Revisamos el significado de la unidad. ","")&amp;IF(Z360&gt;0,"Más precisión que los decimales indicados: cotejamos el original. ","")&amp;IF(AA360&gt;0,"Revisamos dimensiones, cantidad directa, ceros o deducción. ","")))</f>
      </c>
      <c r="O360" s="0" t="n">
        <f>IF(ISNUMBER(K360),IF(AND(K360&gt;0,K360=INT(K360),K360&lt;=999999),K360,0),0)</f>
        <v>0</v>
      </c>
      <c r="P360" s="0">
        <f>IF(COUNTA(B360:L360)=0,"",IF(L360="",IF(COUNTA(G360:J360)&gt;0,"DIMENSIONES","SIN LÍNEAS"),UPPER(TRIM(L360))))</f>
      </c>
      <c r="Q360" s="0">
        <f>IF(AND(O360&gt;0,LEN(TRIM(B360&amp;""))&gt;0,LEN(TRIM(C360&amp;""))&gt;0,LEN(TRIM(E360&amp;""))&gt;0,ISNUMBER(F360)),O360,"")</f>
      </c>
      <c r="R360" s="0" t="n">
        <f>IF(O360=0,0,IF(COUNTIFS($Q$13:$Q$512,O360)&gt;0,MATCH(O360,$Q$13:$Q$512,0),0))</f>
        <v>0</v>
      </c>
      <c r="S360" s="0">
        <f>IF(AB360="","",IF(SUMPRODUCT(--('LÉEME'!$B$65:$B$86=AC360))=1,INDEX('LÉEME'!$C$65:$C$86,MATCH(AC360,'LÉEME'!$B$65:$B$86,0)),UPPER(TRIM(AB360))))</f>
      </c>
      <c r="T360" s="0" t="n">
        <f>IF(R360=0,0,IF(OR(AND(LEN(TRIM(B360&amp;""))&gt;0,UPPER(TRIM(B360&amp;""))&lt;&gt;UPPER(TRIM(INDEX($B$13:$B$512,R360)&amp;""))),AND(LEN(TRIM(C360&amp;""))&gt;0,UPPER(TRIM(C360&amp;""))&lt;&gt;UPPER(TRIM(INDEX($C$13:$C$512,R360)&amp;""))),AND(LEN(TRIM(E360&amp;""))&gt;0,S360&lt;&gt;INDEX($S$13:$S$512,R360)),AND(F360&lt;&gt;"",NOT(ISNUMBER(F360)))),1,IF(ISNUMBER(F360),IF(ABS(F360-INDEX($F$13:$F$512,R360))&gt;0.00000001,1,0),0)))</f>
        <v>0</v>
      </c>
      <c r="U360" s="0" t="n">
        <f>IF(P360="DIRECTA",IF(AND(ISNUMBER(G360),COUNTA(H360:J360)=0),1,0),IF(P360="DIMENSIONES",IF(AND(COUNT(G360:J360)&gt;0,COUNTA(G360:J360)=COUNT(G360:J360)),1,0),0))</f>
        <v>0</v>
      </c>
      <c r="V360" s="0" t="n">
        <f>IF(O360=0,0,IF(COUNTIFS($O$13:O360,O360)=1,1,0))</f>
        <v>0</v>
      </c>
      <c r="W360" s="0">
        <f>IF(V360=1,COUNTIFS($V$13:V360,1),"")</f>
      </c>
      <c r="X360" s="0">
        <f>IF(COUNTA(B360:L360)=0,"",IF(OR(NOT(IF(ISNUMBER($E$6),AND($E$6&gt;=0,$E$6&lt;=6,$E$6=INT($E$6)),FALSE)),O360=0,R360=0,T360&gt;0,AND(P360&lt;&gt;"DIMENSIONES",P360&lt;&gt;"DIRECTA",P360&lt;&gt;"SIN LÍNEAS",P360&lt;&gt;"CABECERA"),AND(OR(P360="DIRECTA",P360="DIMENSIONES"),U360=0),AND(OR(P360="SIN LÍNEAS",P360="CABECERA"),COUNTA(G360:J360)&gt;0)),2,IF(OR(P360="SIN LÍNEAS",Y360&gt;0,Z360&gt;0,AA360&gt;0,SUMPRODUCT(--('LÉEME'!$B$65:$B$86=AC360))&lt;&gt;1),1,0)))</f>
      </c>
      <c r="Y360" s="0" t="n">
        <f>IF(AND(P360="DIMENSIONES",S360="m²",COUNT(H360:J360)=3),1,0)</f>
        <v>0</v>
      </c>
      <c r="Z360" s="0" t="n">
        <f>IF(IF(ISNUMBER($E$6),AND($E$6&gt;=0,$E$6&lt;=6,$E$6=INT($E$6)),FALSE),IF(SUM(IF(ISNUMBER(F360),IF(ABS(F360-ROUND(F360,$E$6))&gt;0.00000001,1,0),0),IF(ISNUMBER(G360),IF(ABS(G360-ROUND(G360,$E$6))&gt;0.00000001,1,0),0),IF(ISNUMBER(H360),IF(ABS(H360-ROUND(H360,$E$6))&gt;0.00000001,1,0),0),IF(ISNUMBER(I360),IF(ABS(I360-ROUND(I360,$E$6))&gt;0.00000001,1,0),0),IF(ISNUMBER(J360),IF(ABS(J360-ROUND(J360,$E$6))&gt;0.00000001,1,0),0),IF(ISNUMBER(M360),IF(ABS(M360-ROUND(M360,$E$6))&gt;0.00000001,1,0),0))&gt;0,1,0),0)</f>
        <v>0</v>
      </c>
      <c r="AA360" s="0" t="n">
        <f>IF(COUNTA(B360:L360)=0,0,IF(OR(AND(ISNUMBER(F360),F360&lt;0),AND(U360=1,OR(SUM(IF(ISNUMBER(G360),IF(G360=0,1,0),0),IF(ISNUMBER(H360),IF(H360=0,1,0),0),IF(ISNUMBER(I360),IF(I360=0,1,0),0),IF(ISNUMBER(J360),IF(J360=0,1,0),0))&gt;0,COUNTIFS(G360:J360,"&lt;0")&gt;0)),AND(P360="DIMENSIONES",U360=1,OR(AND(S360="m",COUNT(H360:J360)&lt;&gt;1),AND(S360="m²",COUNT(H360:J360)&lt;&gt;2,Y360=0),AND(S360="m³",COUNT(H360:J360)&lt;&gt;3),AND(S360="ud",COUNT(H360:J360)&gt;0))),AND(P360="DIRECTA",OR(S360="m",S360="m²",S360="m³"))),1,0))</f>
        <v>0</v>
      </c>
      <c r="AB360" s="0">
        <f>IF(LEN(TRIM(E360&amp;""))&gt;0,E360,IF(R360&gt;0,INDEX($E$13:$E$512,R360),""))</f>
      </c>
      <c r="AC360" s="0">
        <f>UPPER(SUBSTITUTE(SUBSTITUTE(SUBSTITUTE(SUBSTITUTE(SUBSTITUTE(TRIM(AB360),"²","2"),"³","3"),"^",""),".","")," ",""))</f>
      </c>
    </row>
    <row r="361" ht="35" customHeight="1">
      <c r="B361" s="35"/>
      <c r="C361" s="35"/>
      <c r="D361" s="37"/>
      <c r="E361" s="35"/>
      <c r="F361" s="38"/>
      <c r="G361" s="38"/>
      <c r="H361" s="38"/>
      <c r="I361" s="38"/>
      <c r="J361" s="38"/>
      <c r="K361" s="35"/>
      <c r="L361" s="35"/>
      <c r="M361" s="39">
        <f>IF(U361&lt;&gt;1,"",IF(P361="DIRECTA",G361,IF(ISNUMBER(G361),G361,1)*IF(ISNUMBER(H361),H361,1)*IF(ISNUMBER(I361),I361,1)*IF(ISNUMBER(J361),J361,1)))</f>
      </c>
      <c r="N361" s="30">
        <f>IF(COUNTA(B361:L361)=0,"",IF(X361=0,IF(P361="CABECERA","VERDE · Fila descriptiva; la suma usa las líneas del ID","VERDE · Datos numéricos interpretables"),IF(X361=2,"ROJO · ","ÁMBAR · ")&amp;IF(NOT(IF(ISNUMBER($E$6),AND($E$6&gt;=0,$E$6&lt;=6,$E$6=INT($E$6)),FALSE)),"Indicamos entre 0 y 6 decimales en E6. ","")&amp;IF(O361=0,"Falta un ID numérico. ","")&amp;IF(R361=0,"Faltan capítulo, código, unidad o total numérico del ID. ","")&amp;IF(T361&gt;0,"Los datos o el total del ID se contradicen. ","")&amp;IF(AND(P361&lt;&gt;"DIMENSIONES",P361&lt;&gt;"DIRECTA",P361&lt;&gt;"SIN LÍNEAS",P361&lt;&gt;"CABECERA"),"Tipo de fila no reconocido. ","")&amp;IF(AND(OR(P361="SIN LÍNEAS",P361="CABECERA"),COUNTA(G361:J361)&gt;0),"La fila dice que no mide, pero contiene medidas. ","")&amp;IF(AND(OR(P361="DIRECTA",P361="DIMENSIONES"),U361=0),"Línea incompleta o con medidas no numéricas. ","")&amp;IF(P361="SIN LÍNEAS","No constan medidas de esta fila. ","")&amp;IF(Y361&gt;0,"Parece m³: tres dimensiones bajo m². ","")&amp;IF(AND(AB361&lt;&gt;"",SUMPRODUCT(--('LÉEME'!$B$65:$B$86=AC361))&lt;&gt;1),"Revisamos el significado de la unidad. ","")&amp;IF(Z361&gt;0,"Más precisión que los decimales indicados: cotejamos el original. ","")&amp;IF(AA361&gt;0,"Revisamos dimensiones, cantidad directa, ceros o deducción. ","")))</f>
      </c>
      <c r="O361" s="0" t="n">
        <f>IF(ISNUMBER(K361),IF(AND(K361&gt;0,K361=INT(K361),K361&lt;=999999),K361,0),0)</f>
        <v>0</v>
      </c>
      <c r="P361" s="0">
        <f>IF(COUNTA(B361:L361)=0,"",IF(L361="",IF(COUNTA(G361:J361)&gt;0,"DIMENSIONES","SIN LÍNEAS"),UPPER(TRIM(L361))))</f>
      </c>
      <c r="Q361" s="0">
        <f>IF(AND(O361&gt;0,LEN(TRIM(B361&amp;""))&gt;0,LEN(TRIM(C361&amp;""))&gt;0,LEN(TRIM(E361&amp;""))&gt;0,ISNUMBER(F361)),O361,"")</f>
      </c>
      <c r="R361" s="0" t="n">
        <f>IF(O361=0,0,IF(COUNTIFS($Q$13:$Q$512,O361)&gt;0,MATCH(O361,$Q$13:$Q$512,0),0))</f>
        <v>0</v>
      </c>
      <c r="S361" s="0">
        <f>IF(AB361="","",IF(SUMPRODUCT(--('LÉEME'!$B$65:$B$86=AC361))=1,INDEX('LÉEME'!$C$65:$C$86,MATCH(AC361,'LÉEME'!$B$65:$B$86,0)),UPPER(TRIM(AB361))))</f>
      </c>
      <c r="T361" s="0" t="n">
        <f>IF(R361=0,0,IF(OR(AND(LEN(TRIM(B361&amp;""))&gt;0,UPPER(TRIM(B361&amp;""))&lt;&gt;UPPER(TRIM(INDEX($B$13:$B$512,R361)&amp;""))),AND(LEN(TRIM(C361&amp;""))&gt;0,UPPER(TRIM(C361&amp;""))&lt;&gt;UPPER(TRIM(INDEX($C$13:$C$512,R361)&amp;""))),AND(LEN(TRIM(E361&amp;""))&gt;0,S361&lt;&gt;INDEX($S$13:$S$512,R361)),AND(F361&lt;&gt;"",NOT(ISNUMBER(F361)))),1,IF(ISNUMBER(F361),IF(ABS(F361-INDEX($F$13:$F$512,R361))&gt;0.00000001,1,0),0)))</f>
        <v>0</v>
      </c>
      <c r="U361" s="0" t="n">
        <f>IF(P361="DIRECTA",IF(AND(ISNUMBER(G361),COUNTA(H361:J361)=0),1,0),IF(P361="DIMENSIONES",IF(AND(COUNT(G361:J361)&gt;0,COUNTA(G361:J361)=COUNT(G361:J361)),1,0),0))</f>
        <v>0</v>
      </c>
      <c r="V361" s="0" t="n">
        <f>IF(O361=0,0,IF(COUNTIFS($O$13:O361,O361)=1,1,0))</f>
        <v>0</v>
      </c>
      <c r="W361" s="0">
        <f>IF(V361=1,COUNTIFS($V$13:V361,1),"")</f>
      </c>
      <c r="X361" s="0">
        <f>IF(COUNTA(B361:L361)=0,"",IF(OR(NOT(IF(ISNUMBER($E$6),AND($E$6&gt;=0,$E$6&lt;=6,$E$6=INT($E$6)),FALSE)),O361=0,R361=0,T361&gt;0,AND(P361&lt;&gt;"DIMENSIONES",P361&lt;&gt;"DIRECTA",P361&lt;&gt;"SIN LÍNEAS",P361&lt;&gt;"CABECERA"),AND(OR(P361="DIRECTA",P361="DIMENSIONES"),U361=0),AND(OR(P361="SIN LÍNEAS",P361="CABECERA"),COUNTA(G361:J361)&gt;0)),2,IF(OR(P361="SIN LÍNEAS",Y361&gt;0,Z361&gt;0,AA361&gt;0,SUMPRODUCT(--('LÉEME'!$B$65:$B$86=AC361))&lt;&gt;1),1,0)))</f>
      </c>
      <c r="Y361" s="0" t="n">
        <f>IF(AND(P361="DIMENSIONES",S361="m²",COUNT(H361:J361)=3),1,0)</f>
        <v>0</v>
      </c>
      <c r="Z361" s="0" t="n">
        <f>IF(IF(ISNUMBER($E$6),AND($E$6&gt;=0,$E$6&lt;=6,$E$6=INT($E$6)),FALSE),IF(SUM(IF(ISNUMBER(F361),IF(ABS(F361-ROUND(F361,$E$6))&gt;0.00000001,1,0),0),IF(ISNUMBER(G361),IF(ABS(G361-ROUND(G361,$E$6))&gt;0.00000001,1,0),0),IF(ISNUMBER(H361),IF(ABS(H361-ROUND(H361,$E$6))&gt;0.00000001,1,0),0),IF(ISNUMBER(I361),IF(ABS(I361-ROUND(I361,$E$6))&gt;0.00000001,1,0),0),IF(ISNUMBER(J361),IF(ABS(J361-ROUND(J361,$E$6))&gt;0.00000001,1,0),0),IF(ISNUMBER(M361),IF(ABS(M361-ROUND(M361,$E$6))&gt;0.00000001,1,0),0))&gt;0,1,0),0)</f>
        <v>0</v>
      </c>
      <c r="AA361" s="0" t="n">
        <f>IF(COUNTA(B361:L361)=0,0,IF(OR(AND(ISNUMBER(F361),F361&lt;0),AND(U361=1,OR(SUM(IF(ISNUMBER(G361),IF(G361=0,1,0),0),IF(ISNUMBER(H361),IF(H361=0,1,0),0),IF(ISNUMBER(I361),IF(I361=0,1,0),0),IF(ISNUMBER(J361),IF(J361=0,1,0),0))&gt;0,COUNTIFS(G361:J361,"&lt;0")&gt;0)),AND(P361="DIMENSIONES",U361=1,OR(AND(S361="m",COUNT(H361:J361)&lt;&gt;1),AND(S361="m²",COUNT(H361:J361)&lt;&gt;2,Y361=0),AND(S361="m³",COUNT(H361:J361)&lt;&gt;3),AND(S361="ud",COUNT(H361:J361)&gt;0))),AND(P361="DIRECTA",OR(S361="m",S361="m²",S361="m³"))),1,0))</f>
        <v>0</v>
      </c>
      <c r="AB361" s="0">
        <f>IF(LEN(TRIM(E361&amp;""))&gt;0,E361,IF(R361&gt;0,INDEX($E$13:$E$512,R361),""))</f>
      </c>
      <c r="AC361" s="0">
        <f>UPPER(SUBSTITUTE(SUBSTITUTE(SUBSTITUTE(SUBSTITUTE(SUBSTITUTE(TRIM(AB361),"²","2"),"³","3"),"^",""),".","")," ",""))</f>
      </c>
    </row>
    <row r="362" ht="35" customHeight="1">
      <c r="B362" s="35"/>
      <c r="C362" s="35"/>
      <c r="D362" s="37"/>
      <c r="E362" s="35"/>
      <c r="F362" s="38"/>
      <c r="G362" s="38"/>
      <c r="H362" s="38"/>
      <c r="I362" s="38"/>
      <c r="J362" s="38"/>
      <c r="K362" s="35"/>
      <c r="L362" s="35"/>
      <c r="M362" s="39">
        <f>IF(U362&lt;&gt;1,"",IF(P362="DIRECTA",G362,IF(ISNUMBER(G362),G362,1)*IF(ISNUMBER(H362),H362,1)*IF(ISNUMBER(I362),I362,1)*IF(ISNUMBER(J362),J362,1)))</f>
      </c>
      <c r="N362" s="30">
        <f>IF(COUNTA(B362:L362)=0,"",IF(X362=0,IF(P362="CABECERA","VERDE · Fila descriptiva; la suma usa las líneas del ID","VERDE · Datos numéricos interpretables"),IF(X362=2,"ROJO · ","ÁMBAR · ")&amp;IF(NOT(IF(ISNUMBER($E$6),AND($E$6&gt;=0,$E$6&lt;=6,$E$6=INT($E$6)),FALSE)),"Indicamos entre 0 y 6 decimales en E6. ","")&amp;IF(O362=0,"Falta un ID numérico. ","")&amp;IF(R362=0,"Faltan capítulo, código, unidad o total numérico del ID. ","")&amp;IF(T362&gt;0,"Los datos o el total del ID se contradicen. ","")&amp;IF(AND(P362&lt;&gt;"DIMENSIONES",P362&lt;&gt;"DIRECTA",P362&lt;&gt;"SIN LÍNEAS",P362&lt;&gt;"CABECERA"),"Tipo de fila no reconocido. ","")&amp;IF(AND(OR(P362="SIN LÍNEAS",P362="CABECERA"),COUNTA(G362:J362)&gt;0),"La fila dice que no mide, pero contiene medidas. ","")&amp;IF(AND(OR(P362="DIRECTA",P362="DIMENSIONES"),U362=0),"Línea incompleta o con medidas no numéricas. ","")&amp;IF(P362="SIN LÍNEAS","No constan medidas de esta fila. ","")&amp;IF(Y362&gt;0,"Parece m³: tres dimensiones bajo m². ","")&amp;IF(AND(AB362&lt;&gt;"",SUMPRODUCT(--('LÉEME'!$B$65:$B$86=AC362))&lt;&gt;1),"Revisamos el significado de la unidad. ","")&amp;IF(Z362&gt;0,"Más precisión que los decimales indicados: cotejamos el original. ","")&amp;IF(AA362&gt;0,"Revisamos dimensiones, cantidad directa, ceros o deducción. ","")))</f>
      </c>
      <c r="O362" s="0" t="n">
        <f>IF(ISNUMBER(K362),IF(AND(K362&gt;0,K362=INT(K362),K362&lt;=999999),K362,0),0)</f>
        <v>0</v>
      </c>
      <c r="P362" s="0">
        <f>IF(COUNTA(B362:L362)=0,"",IF(L362="",IF(COUNTA(G362:J362)&gt;0,"DIMENSIONES","SIN LÍNEAS"),UPPER(TRIM(L362))))</f>
      </c>
      <c r="Q362" s="0">
        <f>IF(AND(O362&gt;0,LEN(TRIM(B362&amp;""))&gt;0,LEN(TRIM(C362&amp;""))&gt;0,LEN(TRIM(E362&amp;""))&gt;0,ISNUMBER(F362)),O362,"")</f>
      </c>
      <c r="R362" s="0" t="n">
        <f>IF(O362=0,0,IF(COUNTIFS($Q$13:$Q$512,O362)&gt;0,MATCH(O362,$Q$13:$Q$512,0),0))</f>
        <v>0</v>
      </c>
      <c r="S362" s="0">
        <f>IF(AB362="","",IF(SUMPRODUCT(--('LÉEME'!$B$65:$B$86=AC362))=1,INDEX('LÉEME'!$C$65:$C$86,MATCH(AC362,'LÉEME'!$B$65:$B$86,0)),UPPER(TRIM(AB362))))</f>
      </c>
      <c r="T362" s="0" t="n">
        <f>IF(R362=0,0,IF(OR(AND(LEN(TRIM(B362&amp;""))&gt;0,UPPER(TRIM(B362&amp;""))&lt;&gt;UPPER(TRIM(INDEX($B$13:$B$512,R362)&amp;""))),AND(LEN(TRIM(C362&amp;""))&gt;0,UPPER(TRIM(C362&amp;""))&lt;&gt;UPPER(TRIM(INDEX($C$13:$C$512,R362)&amp;""))),AND(LEN(TRIM(E362&amp;""))&gt;0,S362&lt;&gt;INDEX($S$13:$S$512,R362)),AND(F362&lt;&gt;"",NOT(ISNUMBER(F362)))),1,IF(ISNUMBER(F362),IF(ABS(F362-INDEX($F$13:$F$512,R362))&gt;0.00000001,1,0),0)))</f>
        <v>0</v>
      </c>
      <c r="U362" s="0" t="n">
        <f>IF(P362="DIRECTA",IF(AND(ISNUMBER(G362),COUNTA(H362:J362)=0),1,0),IF(P362="DIMENSIONES",IF(AND(COUNT(G362:J362)&gt;0,COUNTA(G362:J362)=COUNT(G362:J362)),1,0),0))</f>
        <v>0</v>
      </c>
      <c r="V362" s="0" t="n">
        <f>IF(O362=0,0,IF(COUNTIFS($O$13:O362,O362)=1,1,0))</f>
        <v>0</v>
      </c>
      <c r="W362" s="0">
        <f>IF(V362=1,COUNTIFS($V$13:V362,1),"")</f>
      </c>
      <c r="X362" s="0">
        <f>IF(COUNTA(B362:L362)=0,"",IF(OR(NOT(IF(ISNUMBER($E$6),AND($E$6&gt;=0,$E$6&lt;=6,$E$6=INT($E$6)),FALSE)),O362=0,R362=0,T362&gt;0,AND(P362&lt;&gt;"DIMENSIONES",P362&lt;&gt;"DIRECTA",P362&lt;&gt;"SIN LÍNEAS",P362&lt;&gt;"CABECERA"),AND(OR(P362="DIRECTA",P362="DIMENSIONES"),U362=0),AND(OR(P362="SIN LÍNEAS",P362="CABECERA"),COUNTA(G362:J362)&gt;0)),2,IF(OR(P362="SIN LÍNEAS",Y362&gt;0,Z362&gt;0,AA362&gt;0,SUMPRODUCT(--('LÉEME'!$B$65:$B$86=AC362))&lt;&gt;1),1,0)))</f>
      </c>
      <c r="Y362" s="0" t="n">
        <f>IF(AND(P362="DIMENSIONES",S362="m²",COUNT(H362:J362)=3),1,0)</f>
        <v>0</v>
      </c>
      <c r="Z362" s="0" t="n">
        <f>IF(IF(ISNUMBER($E$6),AND($E$6&gt;=0,$E$6&lt;=6,$E$6=INT($E$6)),FALSE),IF(SUM(IF(ISNUMBER(F362),IF(ABS(F362-ROUND(F362,$E$6))&gt;0.00000001,1,0),0),IF(ISNUMBER(G362),IF(ABS(G362-ROUND(G362,$E$6))&gt;0.00000001,1,0),0),IF(ISNUMBER(H362),IF(ABS(H362-ROUND(H362,$E$6))&gt;0.00000001,1,0),0),IF(ISNUMBER(I362),IF(ABS(I362-ROUND(I362,$E$6))&gt;0.00000001,1,0),0),IF(ISNUMBER(J362),IF(ABS(J362-ROUND(J362,$E$6))&gt;0.00000001,1,0),0),IF(ISNUMBER(M362),IF(ABS(M362-ROUND(M362,$E$6))&gt;0.00000001,1,0),0))&gt;0,1,0),0)</f>
        <v>0</v>
      </c>
      <c r="AA362" s="0" t="n">
        <f>IF(COUNTA(B362:L362)=0,0,IF(OR(AND(ISNUMBER(F362),F362&lt;0),AND(U362=1,OR(SUM(IF(ISNUMBER(G362),IF(G362=0,1,0),0),IF(ISNUMBER(H362),IF(H362=0,1,0),0),IF(ISNUMBER(I362),IF(I362=0,1,0),0),IF(ISNUMBER(J362),IF(J362=0,1,0),0))&gt;0,COUNTIFS(G362:J362,"&lt;0")&gt;0)),AND(P362="DIMENSIONES",U362=1,OR(AND(S362="m",COUNT(H362:J362)&lt;&gt;1),AND(S362="m²",COUNT(H362:J362)&lt;&gt;2,Y362=0),AND(S362="m³",COUNT(H362:J362)&lt;&gt;3),AND(S362="ud",COUNT(H362:J362)&gt;0))),AND(P362="DIRECTA",OR(S362="m",S362="m²",S362="m³"))),1,0))</f>
        <v>0</v>
      </c>
      <c r="AB362" s="0">
        <f>IF(LEN(TRIM(E362&amp;""))&gt;0,E362,IF(R362&gt;0,INDEX($E$13:$E$512,R362),""))</f>
      </c>
      <c r="AC362" s="0">
        <f>UPPER(SUBSTITUTE(SUBSTITUTE(SUBSTITUTE(SUBSTITUTE(SUBSTITUTE(TRIM(AB362),"²","2"),"³","3"),"^",""),".","")," ",""))</f>
      </c>
    </row>
    <row r="363" ht="35" customHeight="1">
      <c r="B363" s="35"/>
      <c r="C363" s="35"/>
      <c r="D363" s="37"/>
      <c r="E363" s="35"/>
      <c r="F363" s="38"/>
      <c r="G363" s="38"/>
      <c r="H363" s="38"/>
      <c r="I363" s="38"/>
      <c r="J363" s="38"/>
      <c r="K363" s="35"/>
      <c r="L363" s="35"/>
      <c r="M363" s="39">
        <f>IF(U363&lt;&gt;1,"",IF(P363="DIRECTA",G363,IF(ISNUMBER(G363),G363,1)*IF(ISNUMBER(H363),H363,1)*IF(ISNUMBER(I363),I363,1)*IF(ISNUMBER(J363),J363,1)))</f>
      </c>
      <c r="N363" s="30">
        <f>IF(COUNTA(B363:L363)=0,"",IF(X363=0,IF(P363="CABECERA","VERDE · Fila descriptiva; la suma usa las líneas del ID","VERDE · Datos numéricos interpretables"),IF(X363=2,"ROJO · ","ÁMBAR · ")&amp;IF(NOT(IF(ISNUMBER($E$6),AND($E$6&gt;=0,$E$6&lt;=6,$E$6=INT($E$6)),FALSE)),"Indicamos entre 0 y 6 decimales en E6. ","")&amp;IF(O363=0,"Falta un ID numérico. ","")&amp;IF(R363=0,"Faltan capítulo, código, unidad o total numérico del ID. ","")&amp;IF(T363&gt;0,"Los datos o el total del ID se contradicen. ","")&amp;IF(AND(P363&lt;&gt;"DIMENSIONES",P363&lt;&gt;"DIRECTA",P363&lt;&gt;"SIN LÍNEAS",P363&lt;&gt;"CABECERA"),"Tipo de fila no reconocido. ","")&amp;IF(AND(OR(P363="SIN LÍNEAS",P363="CABECERA"),COUNTA(G363:J363)&gt;0),"La fila dice que no mide, pero contiene medidas. ","")&amp;IF(AND(OR(P363="DIRECTA",P363="DIMENSIONES"),U363=0),"Línea incompleta o con medidas no numéricas. ","")&amp;IF(P363="SIN LÍNEAS","No constan medidas de esta fila. ","")&amp;IF(Y363&gt;0,"Parece m³: tres dimensiones bajo m². ","")&amp;IF(AND(AB363&lt;&gt;"",SUMPRODUCT(--('LÉEME'!$B$65:$B$86=AC363))&lt;&gt;1),"Revisamos el significado de la unidad. ","")&amp;IF(Z363&gt;0,"Más precisión que los decimales indicados: cotejamos el original. ","")&amp;IF(AA363&gt;0,"Revisamos dimensiones, cantidad directa, ceros o deducción. ","")))</f>
      </c>
      <c r="O363" s="0" t="n">
        <f>IF(ISNUMBER(K363),IF(AND(K363&gt;0,K363=INT(K363),K363&lt;=999999),K363,0),0)</f>
        <v>0</v>
      </c>
      <c r="P363" s="0">
        <f>IF(COUNTA(B363:L363)=0,"",IF(L363="",IF(COUNTA(G363:J363)&gt;0,"DIMENSIONES","SIN LÍNEAS"),UPPER(TRIM(L363))))</f>
      </c>
      <c r="Q363" s="0">
        <f>IF(AND(O363&gt;0,LEN(TRIM(B363&amp;""))&gt;0,LEN(TRIM(C363&amp;""))&gt;0,LEN(TRIM(E363&amp;""))&gt;0,ISNUMBER(F363)),O363,"")</f>
      </c>
      <c r="R363" s="0" t="n">
        <f>IF(O363=0,0,IF(COUNTIFS($Q$13:$Q$512,O363)&gt;0,MATCH(O363,$Q$13:$Q$512,0),0))</f>
        <v>0</v>
      </c>
      <c r="S363" s="0">
        <f>IF(AB363="","",IF(SUMPRODUCT(--('LÉEME'!$B$65:$B$86=AC363))=1,INDEX('LÉEME'!$C$65:$C$86,MATCH(AC363,'LÉEME'!$B$65:$B$86,0)),UPPER(TRIM(AB363))))</f>
      </c>
      <c r="T363" s="0" t="n">
        <f>IF(R363=0,0,IF(OR(AND(LEN(TRIM(B363&amp;""))&gt;0,UPPER(TRIM(B363&amp;""))&lt;&gt;UPPER(TRIM(INDEX($B$13:$B$512,R363)&amp;""))),AND(LEN(TRIM(C363&amp;""))&gt;0,UPPER(TRIM(C363&amp;""))&lt;&gt;UPPER(TRIM(INDEX($C$13:$C$512,R363)&amp;""))),AND(LEN(TRIM(E363&amp;""))&gt;0,S363&lt;&gt;INDEX($S$13:$S$512,R363)),AND(F363&lt;&gt;"",NOT(ISNUMBER(F363)))),1,IF(ISNUMBER(F363),IF(ABS(F363-INDEX($F$13:$F$512,R363))&gt;0.00000001,1,0),0)))</f>
        <v>0</v>
      </c>
      <c r="U363" s="0" t="n">
        <f>IF(P363="DIRECTA",IF(AND(ISNUMBER(G363),COUNTA(H363:J363)=0),1,0),IF(P363="DIMENSIONES",IF(AND(COUNT(G363:J363)&gt;0,COUNTA(G363:J363)=COUNT(G363:J363)),1,0),0))</f>
        <v>0</v>
      </c>
      <c r="V363" s="0" t="n">
        <f>IF(O363=0,0,IF(COUNTIFS($O$13:O363,O363)=1,1,0))</f>
        <v>0</v>
      </c>
      <c r="W363" s="0">
        <f>IF(V363=1,COUNTIFS($V$13:V363,1),"")</f>
      </c>
      <c r="X363" s="0">
        <f>IF(COUNTA(B363:L363)=0,"",IF(OR(NOT(IF(ISNUMBER($E$6),AND($E$6&gt;=0,$E$6&lt;=6,$E$6=INT($E$6)),FALSE)),O363=0,R363=0,T363&gt;0,AND(P363&lt;&gt;"DIMENSIONES",P363&lt;&gt;"DIRECTA",P363&lt;&gt;"SIN LÍNEAS",P363&lt;&gt;"CABECERA"),AND(OR(P363="DIRECTA",P363="DIMENSIONES"),U363=0),AND(OR(P363="SIN LÍNEAS",P363="CABECERA"),COUNTA(G363:J363)&gt;0)),2,IF(OR(P363="SIN LÍNEAS",Y363&gt;0,Z363&gt;0,AA363&gt;0,SUMPRODUCT(--('LÉEME'!$B$65:$B$86=AC363))&lt;&gt;1),1,0)))</f>
      </c>
      <c r="Y363" s="0" t="n">
        <f>IF(AND(P363="DIMENSIONES",S363="m²",COUNT(H363:J363)=3),1,0)</f>
        <v>0</v>
      </c>
      <c r="Z363" s="0" t="n">
        <f>IF(IF(ISNUMBER($E$6),AND($E$6&gt;=0,$E$6&lt;=6,$E$6=INT($E$6)),FALSE),IF(SUM(IF(ISNUMBER(F363),IF(ABS(F363-ROUND(F363,$E$6))&gt;0.00000001,1,0),0),IF(ISNUMBER(G363),IF(ABS(G363-ROUND(G363,$E$6))&gt;0.00000001,1,0),0),IF(ISNUMBER(H363),IF(ABS(H363-ROUND(H363,$E$6))&gt;0.00000001,1,0),0),IF(ISNUMBER(I363),IF(ABS(I363-ROUND(I363,$E$6))&gt;0.00000001,1,0),0),IF(ISNUMBER(J363),IF(ABS(J363-ROUND(J363,$E$6))&gt;0.00000001,1,0),0),IF(ISNUMBER(M363),IF(ABS(M363-ROUND(M363,$E$6))&gt;0.00000001,1,0),0))&gt;0,1,0),0)</f>
        <v>0</v>
      </c>
      <c r="AA363" s="0" t="n">
        <f>IF(COUNTA(B363:L363)=0,0,IF(OR(AND(ISNUMBER(F363),F363&lt;0),AND(U363=1,OR(SUM(IF(ISNUMBER(G363),IF(G363=0,1,0),0),IF(ISNUMBER(H363),IF(H363=0,1,0),0),IF(ISNUMBER(I363),IF(I363=0,1,0),0),IF(ISNUMBER(J363),IF(J363=0,1,0),0))&gt;0,COUNTIFS(G363:J363,"&lt;0")&gt;0)),AND(P363="DIMENSIONES",U363=1,OR(AND(S363="m",COUNT(H363:J363)&lt;&gt;1),AND(S363="m²",COUNT(H363:J363)&lt;&gt;2,Y363=0),AND(S363="m³",COUNT(H363:J363)&lt;&gt;3),AND(S363="ud",COUNT(H363:J363)&gt;0))),AND(P363="DIRECTA",OR(S363="m",S363="m²",S363="m³"))),1,0))</f>
        <v>0</v>
      </c>
      <c r="AB363" s="0">
        <f>IF(LEN(TRIM(E363&amp;""))&gt;0,E363,IF(R363&gt;0,INDEX($E$13:$E$512,R363),""))</f>
      </c>
      <c r="AC363" s="0">
        <f>UPPER(SUBSTITUTE(SUBSTITUTE(SUBSTITUTE(SUBSTITUTE(SUBSTITUTE(TRIM(AB363),"²","2"),"³","3"),"^",""),".","")," ",""))</f>
      </c>
    </row>
    <row r="364" ht="35" customHeight="1">
      <c r="B364" s="35"/>
      <c r="C364" s="35"/>
      <c r="D364" s="37"/>
      <c r="E364" s="35"/>
      <c r="F364" s="38"/>
      <c r="G364" s="38"/>
      <c r="H364" s="38"/>
      <c r="I364" s="38"/>
      <c r="J364" s="38"/>
      <c r="K364" s="35"/>
      <c r="L364" s="35"/>
      <c r="M364" s="39">
        <f>IF(U364&lt;&gt;1,"",IF(P364="DIRECTA",G364,IF(ISNUMBER(G364),G364,1)*IF(ISNUMBER(H364),H364,1)*IF(ISNUMBER(I364),I364,1)*IF(ISNUMBER(J364),J364,1)))</f>
      </c>
      <c r="N364" s="30">
        <f>IF(COUNTA(B364:L364)=0,"",IF(X364=0,IF(P364="CABECERA","VERDE · Fila descriptiva; la suma usa las líneas del ID","VERDE · Datos numéricos interpretables"),IF(X364=2,"ROJO · ","ÁMBAR · ")&amp;IF(NOT(IF(ISNUMBER($E$6),AND($E$6&gt;=0,$E$6&lt;=6,$E$6=INT($E$6)),FALSE)),"Indicamos entre 0 y 6 decimales en E6. ","")&amp;IF(O364=0,"Falta un ID numérico. ","")&amp;IF(R364=0,"Faltan capítulo, código, unidad o total numérico del ID. ","")&amp;IF(T364&gt;0,"Los datos o el total del ID se contradicen. ","")&amp;IF(AND(P364&lt;&gt;"DIMENSIONES",P364&lt;&gt;"DIRECTA",P364&lt;&gt;"SIN LÍNEAS",P364&lt;&gt;"CABECERA"),"Tipo de fila no reconocido. ","")&amp;IF(AND(OR(P364="SIN LÍNEAS",P364="CABECERA"),COUNTA(G364:J364)&gt;0),"La fila dice que no mide, pero contiene medidas. ","")&amp;IF(AND(OR(P364="DIRECTA",P364="DIMENSIONES"),U364=0),"Línea incompleta o con medidas no numéricas. ","")&amp;IF(P364="SIN LÍNEAS","No constan medidas de esta fila. ","")&amp;IF(Y364&gt;0,"Parece m³: tres dimensiones bajo m². ","")&amp;IF(AND(AB364&lt;&gt;"",SUMPRODUCT(--('LÉEME'!$B$65:$B$86=AC364))&lt;&gt;1),"Revisamos el significado de la unidad. ","")&amp;IF(Z364&gt;0,"Más precisión que los decimales indicados: cotejamos el original. ","")&amp;IF(AA364&gt;0,"Revisamos dimensiones, cantidad directa, ceros o deducción. ","")))</f>
      </c>
      <c r="O364" s="0" t="n">
        <f>IF(ISNUMBER(K364),IF(AND(K364&gt;0,K364=INT(K364),K364&lt;=999999),K364,0),0)</f>
        <v>0</v>
      </c>
      <c r="P364" s="0">
        <f>IF(COUNTA(B364:L364)=0,"",IF(L364="",IF(COUNTA(G364:J364)&gt;0,"DIMENSIONES","SIN LÍNEAS"),UPPER(TRIM(L364))))</f>
      </c>
      <c r="Q364" s="0">
        <f>IF(AND(O364&gt;0,LEN(TRIM(B364&amp;""))&gt;0,LEN(TRIM(C364&amp;""))&gt;0,LEN(TRIM(E364&amp;""))&gt;0,ISNUMBER(F364)),O364,"")</f>
      </c>
      <c r="R364" s="0" t="n">
        <f>IF(O364=0,0,IF(COUNTIFS($Q$13:$Q$512,O364)&gt;0,MATCH(O364,$Q$13:$Q$512,0),0))</f>
        <v>0</v>
      </c>
      <c r="S364" s="0">
        <f>IF(AB364="","",IF(SUMPRODUCT(--('LÉEME'!$B$65:$B$86=AC364))=1,INDEX('LÉEME'!$C$65:$C$86,MATCH(AC364,'LÉEME'!$B$65:$B$86,0)),UPPER(TRIM(AB364))))</f>
      </c>
      <c r="T364" s="0" t="n">
        <f>IF(R364=0,0,IF(OR(AND(LEN(TRIM(B364&amp;""))&gt;0,UPPER(TRIM(B364&amp;""))&lt;&gt;UPPER(TRIM(INDEX($B$13:$B$512,R364)&amp;""))),AND(LEN(TRIM(C364&amp;""))&gt;0,UPPER(TRIM(C364&amp;""))&lt;&gt;UPPER(TRIM(INDEX($C$13:$C$512,R364)&amp;""))),AND(LEN(TRIM(E364&amp;""))&gt;0,S364&lt;&gt;INDEX($S$13:$S$512,R364)),AND(F364&lt;&gt;"",NOT(ISNUMBER(F364)))),1,IF(ISNUMBER(F364),IF(ABS(F364-INDEX($F$13:$F$512,R364))&gt;0.00000001,1,0),0)))</f>
        <v>0</v>
      </c>
      <c r="U364" s="0" t="n">
        <f>IF(P364="DIRECTA",IF(AND(ISNUMBER(G364),COUNTA(H364:J364)=0),1,0),IF(P364="DIMENSIONES",IF(AND(COUNT(G364:J364)&gt;0,COUNTA(G364:J364)=COUNT(G364:J364)),1,0),0))</f>
        <v>0</v>
      </c>
      <c r="V364" s="0" t="n">
        <f>IF(O364=0,0,IF(COUNTIFS($O$13:O364,O364)=1,1,0))</f>
        <v>0</v>
      </c>
      <c r="W364" s="0">
        <f>IF(V364=1,COUNTIFS($V$13:V364,1),"")</f>
      </c>
      <c r="X364" s="0">
        <f>IF(COUNTA(B364:L364)=0,"",IF(OR(NOT(IF(ISNUMBER($E$6),AND($E$6&gt;=0,$E$6&lt;=6,$E$6=INT($E$6)),FALSE)),O364=0,R364=0,T364&gt;0,AND(P364&lt;&gt;"DIMENSIONES",P364&lt;&gt;"DIRECTA",P364&lt;&gt;"SIN LÍNEAS",P364&lt;&gt;"CABECERA"),AND(OR(P364="DIRECTA",P364="DIMENSIONES"),U364=0),AND(OR(P364="SIN LÍNEAS",P364="CABECERA"),COUNTA(G364:J364)&gt;0)),2,IF(OR(P364="SIN LÍNEAS",Y364&gt;0,Z364&gt;0,AA364&gt;0,SUMPRODUCT(--('LÉEME'!$B$65:$B$86=AC364))&lt;&gt;1),1,0)))</f>
      </c>
      <c r="Y364" s="0" t="n">
        <f>IF(AND(P364="DIMENSIONES",S364="m²",COUNT(H364:J364)=3),1,0)</f>
        <v>0</v>
      </c>
      <c r="Z364" s="0" t="n">
        <f>IF(IF(ISNUMBER($E$6),AND($E$6&gt;=0,$E$6&lt;=6,$E$6=INT($E$6)),FALSE),IF(SUM(IF(ISNUMBER(F364),IF(ABS(F364-ROUND(F364,$E$6))&gt;0.00000001,1,0),0),IF(ISNUMBER(G364),IF(ABS(G364-ROUND(G364,$E$6))&gt;0.00000001,1,0),0),IF(ISNUMBER(H364),IF(ABS(H364-ROUND(H364,$E$6))&gt;0.00000001,1,0),0),IF(ISNUMBER(I364),IF(ABS(I364-ROUND(I364,$E$6))&gt;0.00000001,1,0),0),IF(ISNUMBER(J364),IF(ABS(J364-ROUND(J364,$E$6))&gt;0.00000001,1,0),0),IF(ISNUMBER(M364),IF(ABS(M364-ROUND(M364,$E$6))&gt;0.00000001,1,0),0))&gt;0,1,0),0)</f>
        <v>0</v>
      </c>
      <c r="AA364" s="0" t="n">
        <f>IF(COUNTA(B364:L364)=0,0,IF(OR(AND(ISNUMBER(F364),F364&lt;0),AND(U364=1,OR(SUM(IF(ISNUMBER(G364),IF(G364=0,1,0),0),IF(ISNUMBER(H364),IF(H364=0,1,0),0),IF(ISNUMBER(I364),IF(I364=0,1,0),0),IF(ISNUMBER(J364),IF(J364=0,1,0),0))&gt;0,COUNTIFS(G364:J364,"&lt;0")&gt;0)),AND(P364="DIMENSIONES",U364=1,OR(AND(S364="m",COUNT(H364:J364)&lt;&gt;1),AND(S364="m²",COUNT(H364:J364)&lt;&gt;2,Y364=0),AND(S364="m³",COUNT(H364:J364)&lt;&gt;3),AND(S364="ud",COUNT(H364:J364)&gt;0))),AND(P364="DIRECTA",OR(S364="m",S364="m²",S364="m³"))),1,0))</f>
        <v>0</v>
      </c>
      <c r="AB364" s="0">
        <f>IF(LEN(TRIM(E364&amp;""))&gt;0,E364,IF(R364&gt;0,INDEX($E$13:$E$512,R364),""))</f>
      </c>
      <c r="AC364" s="0">
        <f>UPPER(SUBSTITUTE(SUBSTITUTE(SUBSTITUTE(SUBSTITUTE(SUBSTITUTE(TRIM(AB364),"²","2"),"³","3"),"^",""),".","")," ",""))</f>
      </c>
    </row>
    <row r="365" ht="35" customHeight="1">
      <c r="B365" s="35"/>
      <c r="C365" s="35"/>
      <c r="D365" s="37"/>
      <c r="E365" s="35"/>
      <c r="F365" s="38"/>
      <c r="G365" s="38"/>
      <c r="H365" s="38"/>
      <c r="I365" s="38"/>
      <c r="J365" s="38"/>
      <c r="K365" s="35"/>
      <c r="L365" s="35"/>
      <c r="M365" s="39">
        <f>IF(U365&lt;&gt;1,"",IF(P365="DIRECTA",G365,IF(ISNUMBER(G365),G365,1)*IF(ISNUMBER(H365),H365,1)*IF(ISNUMBER(I365),I365,1)*IF(ISNUMBER(J365),J365,1)))</f>
      </c>
      <c r="N365" s="30">
        <f>IF(COUNTA(B365:L365)=0,"",IF(X365=0,IF(P365="CABECERA","VERDE · Fila descriptiva; la suma usa las líneas del ID","VERDE · Datos numéricos interpretables"),IF(X365=2,"ROJO · ","ÁMBAR · ")&amp;IF(NOT(IF(ISNUMBER($E$6),AND($E$6&gt;=0,$E$6&lt;=6,$E$6=INT($E$6)),FALSE)),"Indicamos entre 0 y 6 decimales en E6. ","")&amp;IF(O365=0,"Falta un ID numérico. ","")&amp;IF(R365=0,"Faltan capítulo, código, unidad o total numérico del ID. ","")&amp;IF(T365&gt;0,"Los datos o el total del ID se contradicen. ","")&amp;IF(AND(P365&lt;&gt;"DIMENSIONES",P365&lt;&gt;"DIRECTA",P365&lt;&gt;"SIN LÍNEAS",P365&lt;&gt;"CABECERA"),"Tipo de fila no reconocido. ","")&amp;IF(AND(OR(P365="SIN LÍNEAS",P365="CABECERA"),COUNTA(G365:J365)&gt;0),"La fila dice que no mide, pero contiene medidas. ","")&amp;IF(AND(OR(P365="DIRECTA",P365="DIMENSIONES"),U365=0),"Línea incompleta o con medidas no numéricas. ","")&amp;IF(P365="SIN LÍNEAS","No constan medidas de esta fila. ","")&amp;IF(Y365&gt;0,"Parece m³: tres dimensiones bajo m². ","")&amp;IF(AND(AB365&lt;&gt;"",SUMPRODUCT(--('LÉEME'!$B$65:$B$86=AC365))&lt;&gt;1),"Revisamos el significado de la unidad. ","")&amp;IF(Z365&gt;0,"Más precisión que los decimales indicados: cotejamos el original. ","")&amp;IF(AA365&gt;0,"Revisamos dimensiones, cantidad directa, ceros o deducción. ","")))</f>
      </c>
      <c r="O365" s="0" t="n">
        <f>IF(ISNUMBER(K365),IF(AND(K365&gt;0,K365=INT(K365),K365&lt;=999999),K365,0),0)</f>
        <v>0</v>
      </c>
      <c r="P365" s="0">
        <f>IF(COUNTA(B365:L365)=0,"",IF(L365="",IF(COUNTA(G365:J365)&gt;0,"DIMENSIONES","SIN LÍNEAS"),UPPER(TRIM(L365))))</f>
      </c>
      <c r="Q365" s="0">
        <f>IF(AND(O365&gt;0,LEN(TRIM(B365&amp;""))&gt;0,LEN(TRIM(C365&amp;""))&gt;0,LEN(TRIM(E365&amp;""))&gt;0,ISNUMBER(F365)),O365,"")</f>
      </c>
      <c r="R365" s="0" t="n">
        <f>IF(O365=0,0,IF(COUNTIFS($Q$13:$Q$512,O365)&gt;0,MATCH(O365,$Q$13:$Q$512,0),0))</f>
        <v>0</v>
      </c>
      <c r="S365" s="0">
        <f>IF(AB365="","",IF(SUMPRODUCT(--('LÉEME'!$B$65:$B$86=AC365))=1,INDEX('LÉEME'!$C$65:$C$86,MATCH(AC365,'LÉEME'!$B$65:$B$86,0)),UPPER(TRIM(AB365))))</f>
      </c>
      <c r="T365" s="0" t="n">
        <f>IF(R365=0,0,IF(OR(AND(LEN(TRIM(B365&amp;""))&gt;0,UPPER(TRIM(B365&amp;""))&lt;&gt;UPPER(TRIM(INDEX($B$13:$B$512,R365)&amp;""))),AND(LEN(TRIM(C365&amp;""))&gt;0,UPPER(TRIM(C365&amp;""))&lt;&gt;UPPER(TRIM(INDEX($C$13:$C$512,R365)&amp;""))),AND(LEN(TRIM(E365&amp;""))&gt;0,S365&lt;&gt;INDEX($S$13:$S$512,R365)),AND(F365&lt;&gt;"",NOT(ISNUMBER(F365)))),1,IF(ISNUMBER(F365),IF(ABS(F365-INDEX($F$13:$F$512,R365))&gt;0.00000001,1,0),0)))</f>
        <v>0</v>
      </c>
      <c r="U365" s="0" t="n">
        <f>IF(P365="DIRECTA",IF(AND(ISNUMBER(G365),COUNTA(H365:J365)=0),1,0),IF(P365="DIMENSIONES",IF(AND(COUNT(G365:J365)&gt;0,COUNTA(G365:J365)=COUNT(G365:J365)),1,0),0))</f>
        <v>0</v>
      </c>
      <c r="V365" s="0" t="n">
        <f>IF(O365=0,0,IF(COUNTIFS($O$13:O365,O365)=1,1,0))</f>
        <v>0</v>
      </c>
      <c r="W365" s="0">
        <f>IF(V365=1,COUNTIFS($V$13:V365,1),"")</f>
      </c>
      <c r="X365" s="0">
        <f>IF(COUNTA(B365:L365)=0,"",IF(OR(NOT(IF(ISNUMBER($E$6),AND($E$6&gt;=0,$E$6&lt;=6,$E$6=INT($E$6)),FALSE)),O365=0,R365=0,T365&gt;0,AND(P365&lt;&gt;"DIMENSIONES",P365&lt;&gt;"DIRECTA",P365&lt;&gt;"SIN LÍNEAS",P365&lt;&gt;"CABECERA"),AND(OR(P365="DIRECTA",P365="DIMENSIONES"),U365=0),AND(OR(P365="SIN LÍNEAS",P365="CABECERA"),COUNTA(G365:J365)&gt;0)),2,IF(OR(P365="SIN LÍNEAS",Y365&gt;0,Z365&gt;0,AA365&gt;0,SUMPRODUCT(--('LÉEME'!$B$65:$B$86=AC365))&lt;&gt;1),1,0)))</f>
      </c>
      <c r="Y365" s="0" t="n">
        <f>IF(AND(P365="DIMENSIONES",S365="m²",COUNT(H365:J365)=3),1,0)</f>
        <v>0</v>
      </c>
      <c r="Z365" s="0" t="n">
        <f>IF(IF(ISNUMBER($E$6),AND($E$6&gt;=0,$E$6&lt;=6,$E$6=INT($E$6)),FALSE),IF(SUM(IF(ISNUMBER(F365),IF(ABS(F365-ROUND(F365,$E$6))&gt;0.00000001,1,0),0),IF(ISNUMBER(G365),IF(ABS(G365-ROUND(G365,$E$6))&gt;0.00000001,1,0),0),IF(ISNUMBER(H365),IF(ABS(H365-ROUND(H365,$E$6))&gt;0.00000001,1,0),0),IF(ISNUMBER(I365),IF(ABS(I365-ROUND(I365,$E$6))&gt;0.00000001,1,0),0),IF(ISNUMBER(J365),IF(ABS(J365-ROUND(J365,$E$6))&gt;0.00000001,1,0),0),IF(ISNUMBER(M365),IF(ABS(M365-ROUND(M365,$E$6))&gt;0.00000001,1,0),0))&gt;0,1,0),0)</f>
        <v>0</v>
      </c>
      <c r="AA365" s="0" t="n">
        <f>IF(COUNTA(B365:L365)=0,0,IF(OR(AND(ISNUMBER(F365),F365&lt;0),AND(U365=1,OR(SUM(IF(ISNUMBER(G365),IF(G365=0,1,0),0),IF(ISNUMBER(H365),IF(H365=0,1,0),0),IF(ISNUMBER(I365),IF(I365=0,1,0),0),IF(ISNUMBER(J365),IF(J365=0,1,0),0))&gt;0,COUNTIFS(G365:J365,"&lt;0")&gt;0)),AND(P365="DIMENSIONES",U365=1,OR(AND(S365="m",COUNT(H365:J365)&lt;&gt;1),AND(S365="m²",COUNT(H365:J365)&lt;&gt;2,Y365=0),AND(S365="m³",COUNT(H365:J365)&lt;&gt;3),AND(S365="ud",COUNT(H365:J365)&gt;0))),AND(P365="DIRECTA",OR(S365="m",S365="m²",S365="m³"))),1,0))</f>
        <v>0</v>
      </c>
      <c r="AB365" s="0">
        <f>IF(LEN(TRIM(E365&amp;""))&gt;0,E365,IF(R365&gt;0,INDEX($E$13:$E$512,R365),""))</f>
      </c>
      <c r="AC365" s="0">
        <f>UPPER(SUBSTITUTE(SUBSTITUTE(SUBSTITUTE(SUBSTITUTE(SUBSTITUTE(TRIM(AB365),"²","2"),"³","3"),"^",""),".","")," ",""))</f>
      </c>
    </row>
    <row r="366" ht="35" customHeight="1">
      <c r="B366" s="35"/>
      <c r="C366" s="35"/>
      <c r="D366" s="37"/>
      <c r="E366" s="35"/>
      <c r="F366" s="38"/>
      <c r="G366" s="38"/>
      <c r="H366" s="38"/>
      <c r="I366" s="38"/>
      <c r="J366" s="38"/>
      <c r="K366" s="35"/>
      <c r="L366" s="35"/>
      <c r="M366" s="39">
        <f>IF(U366&lt;&gt;1,"",IF(P366="DIRECTA",G366,IF(ISNUMBER(G366),G366,1)*IF(ISNUMBER(H366),H366,1)*IF(ISNUMBER(I366),I366,1)*IF(ISNUMBER(J366),J366,1)))</f>
      </c>
      <c r="N366" s="30">
        <f>IF(COUNTA(B366:L366)=0,"",IF(X366=0,IF(P366="CABECERA","VERDE · Fila descriptiva; la suma usa las líneas del ID","VERDE · Datos numéricos interpretables"),IF(X366=2,"ROJO · ","ÁMBAR · ")&amp;IF(NOT(IF(ISNUMBER($E$6),AND($E$6&gt;=0,$E$6&lt;=6,$E$6=INT($E$6)),FALSE)),"Indicamos entre 0 y 6 decimales en E6. ","")&amp;IF(O366=0,"Falta un ID numérico. ","")&amp;IF(R366=0,"Faltan capítulo, código, unidad o total numérico del ID. ","")&amp;IF(T366&gt;0,"Los datos o el total del ID se contradicen. ","")&amp;IF(AND(P366&lt;&gt;"DIMENSIONES",P366&lt;&gt;"DIRECTA",P366&lt;&gt;"SIN LÍNEAS",P366&lt;&gt;"CABECERA"),"Tipo de fila no reconocido. ","")&amp;IF(AND(OR(P366="SIN LÍNEAS",P366="CABECERA"),COUNTA(G366:J366)&gt;0),"La fila dice que no mide, pero contiene medidas. ","")&amp;IF(AND(OR(P366="DIRECTA",P366="DIMENSIONES"),U366=0),"Línea incompleta o con medidas no numéricas. ","")&amp;IF(P366="SIN LÍNEAS","No constan medidas de esta fila. ","")&amp;IF(Y366&gt;0,"Parece m³: tres dimensiones bajo m². ","")&amp;IF(AND(AB366&lt;&gt;"",SUMPRODUCT(--('LÉEME'!$B$65:$B$86=AC366))&lt;&gt;1),"Revisamos el significado de la unidad. ","")&amp;IF(Z366&gt;0,"Más precisión que los decimales indicados: cotejamos el original. ","")&amp;IF(AA366&gt;0,"Revisamos dimensiones, cantidad directa, ceros o deducción. ","")))</f>
      </c>
      <c r="O366" s="0" t="n">
        <f>IF(ISNUMBER(K366),IF(AND(K366&gt;0,K366=INT(K366),K366&lt;=999999),K366,0),0)</f>
        <v>0</v>
      </c>
      <c r="P366" s="0">
        <f>IF(COUNTA(B366:L366)=0,"",IF(L366="",IF(COUNTA(G366:J366)&gt;0,"DIMENSIONES","SIN LÍNEAS"),UPPER(TRIM(L366))))</f>
      </c>
      <c r="Q366" s="0">
        <f>IF(AND(O366&gt;0,LEN(TRIM(B366&amp;""))&gt;0,LEN(TRIM(C366&amp;""))&gt;0,LEN(TRIM(E366&amp;""))&gt;0,ISNUMBER(F366)),O366,"")</f>
      </c>
      <c r="R366" s="0" t="n">
        <f>IF(O366=0,0,IF(COUNTIFS($Q$13:$Q$512,O366)&gt;0,MATCH(O366,$Q$13:$Q$512,0),0))</f>
        <v>0</v>
      </c>
      <c r="S366" s="0">
        <f>IF(AB366="","",IF(SUMPRODUCT(--('LÉEME'!$B$65:$B$86=AC366))=1,INDEX('LÉEME'!$C$65:$C$86,MATCH(AC366,'LÉEME'!$B$65:$B$86,0)),UPPER(TRIM(AB366))))</f>
      </c>
      <c r="T366" s="0" t="n">
        <f>IF(R366=0,0,IF(OR(AND(LEN(TRIM(B366&amp;""))&gt;0,UPPER(TRIM(B366&amp;""))&lt;&gt;UPPER(TRIM(INDEX($B$13:$B$512,R366)&amp;""))),AND(LEN(TRIM(C366&amp;""))&gt;0,UPPER(TRIM(C366&amp;""))&lt;&gt;UPPER(TRIM(INDEX($C$13:$C$512,R366)&amp;""))),AND(LEN(TRIM(E366&amp;""))&gt;0,S366&lt;&gt;INDEX($S$13:$S$512,R366)),AND(F366&lt;&gt;"",NOT(ISNUMBER(F366)))),1,IF(ISNUMBER(F366),IF(ABS(F366-INDEX($F$13:$F$512,R366))&gt;0.00000001,1,0),0)))</f>
        <v>0</v>
      </c>
      <c r="U366" s="0" t="n">
        <f>IF(P366="DIRECTA",IF(AND(ISNUMBER(G366),COUNTA(H366:J366)=0),1,0),IF(P366="DIMENSIONES",IF(AND(COUNT(G366:J366)&gt;0,COUNTA(G366:J366)=COUNT(G366:J366)),1,0),0))</f>
        <v>0</v>
      </c>
      <c r="V366" s="0" t="n">
        <f>IF(O366=0,0,IF(COUNTIFS($O$13:O366,O366)=1,1,0))</f>
        <v>0</v>
      </c>
      <c r="W366" s="0">
        <f>IF(V366=1,COUNTIFS($V$13:V366,1),"")</f>
      </c>
      <c r="X366" s="0">
        <f>IF(COUNTA(B366:L366)=0,"",IF(OR(NOT(IF(ISNUMBER($E$6),AND($E$6&gt;=0,$E$6&lt;=6,$E$6=INT($E$6)),FALSE)),O366=0,R366=0,T366&gt;0,AND(P366&lt;&gt;"DIMENSIONES",P366&lt;&gt;"DIRECTA",P366&lt;&gt;"SIN LÍNEAS",P366&lt;&gt;"CABECERA"),AND(OR(P366="DIRECTA",P366="DIMENSIONES"),U366=0),AND(OR(P366="SIN LÍNEAS",P366="CABECERA"),COUNTA(G366:J366)&gt;0)),2,IF(OR(P366="SIN LÍNEAS",Y366&gt;0,Z366&gt;0,AA366&gt;0,SUMPRODUCT(--('LÉEME'!$B$65:$B$86=AC366))&lt;&gt;1),1,0)))</f>
      </c>
      <c r="Y366" s="0" t="n">
        <f>IF(AND(P366="DIMENSIONES",S366="m²",COUNT(H366:J366)=3),1,0)</f>
        <v>0</v>
      </c>
      <c r="Z366" s="0" t="n">
        <f>IF(IF(ISNUMBER($E$6),AND($E$6&gt;=0,$E$6&lt;=6,$E$6=INT($E$6)),FALSE),IF(SUM(IF(ISNUMBER(F366),IF(ABS(F366-ROUND(F366,$E$6))&gt;0.00000001,1,0),0),IF(ISNUMBER(G366),IF(ABS(G366-ROUND(G366,$E$6))&gt;0.00000001,1,0),0),IF(ISNUMBER(H366),IF(ABS(H366-ROUND(H366,$E$6))&gt;0.00000001,1,0),0),IF(ISNUMBER(I366),IF(ABS(I366-ROUND(I366,$E$6))&gt;0.00000001,1,0),0),IF(ISNUMBER(J366),IF(ABS(J366-ROUND(J366,$E$6))&gt;0.00000001,1,0),0),IF(ISNUMBER(M366),IF(ABS(M366-ROUND(M366,$E$6))&gt;0.00000001,1,0),0))&gt;0,1,0),0)</f>
        <v>0</v>
      </c>
      <c r="AA366" s="0" t="n">
        <f>IF(COUNTA(B366:L366)=0,0,IF(OR(AND(ISNUMBER(F366),F366&lt;0),AND(U366=1,OR(SUM(IF(ISNUMBER(G366),IF(G366=0,1,0),0),IF(ISNUMBER(H366),IF(H366=0,1,0),0),IF(ISNUMBER(I366),IF(I366=0,1,0),0),IF(ISNUMBER(J366),IF(J366=0,1,0),0))&gt;0,COUNTIFS(G366:J366,"&lt;0")&gt;0)),AND(P366="DIMENSIONES",U366=1,OR(AND(S366="m",COUNT(H366:J366)&lt;&gt;1),AND(S366="m²",COUNT(H366:J366)&lt;&gt;2,Y366=0),AND(S366="m³",COUNT(H366:J366)&lt;&gt;3),AND(S366="ud",COUNT(H366:J366)&gt;0))),AND(P366="DIRECTA",OR(S366="m",S366="m²",S366="m³"))),1,0))</f>
        <v>0</v>
      </c>
      <c r="AB366" s="0">
        <f>IF(LEN(TRIM(E366&amp;""))&gt;0,E366,IF(R366&gt;0,INDEX($E$13:$E$512,R366),""))</f>
      </c>
      <c r="AC366" s="0">
        <f>UPPER(SUBSTITUTE(SUBSTITUTE(SUBSTITUTE(SUBSTITUTE(SUBSTITUTE(TRIM(AB366),"²","2"),"³","3"),"^",""),".","")," ",""))</f>
      </c>
    </row>
    <row r="367" ht="35" customHeight="1">
      <c r="B367" s="35"/>
      <c r="C367" s="35"/>
      <c r="D367" s="37"/>
      <c r="E367" s="35"/>
      <c r="F367" s="38"/>
      <c r="G367" s="38"/>
      <c r="H367" s="38"/>
      <c r="I367" s="38"/>
      <c r="J367" s="38"/>
      <c r="K367" s="35"/>
      <c r="L367" s="35"/>
      <c r="M367" s="39">
        <f>IF(U367&lt;&gt;1,"",IF(P367="DIRECTA",G367,IF(ISNUMBER(G367),G367,1)*IF(ISNUMBER(H367),H367,1)*IF(ISNUMBER(I367),I367,1)*IF(ISNUMBER(J367),J367,1)))</f>
      </c>
      <c r="N367" s="30">
        <f>IF(COUNTA(B367:L367)=0,"",IF(X367=0,IF(P367="CABECERA","VERDE · Fila descriptiva; la suma usa las líneas del ID","VERDE · Datos numéricos interpretables"),IF(X367=2,"ROJO · ","ÁMBAR · ")&amp;IF(NOT(IF(ISNUMBER($E$6),AND($E$6&gt;=0,$E$6&lt;=6,$E$6=INT($E$6)),FALSE)),"Indicamos entre 0 y 6 decimales en E6. ","")&amp;IF(O367=0,"Falta un ID numérico. ","")&amp;IF(R367=0,"Faltan capítulo, código, unidad o total numérico del ID. ","")&amp;IF(T367&gt;0,"Los datos o el total del ID se contradicen. ","")&amp;IF(AND(P367&lt;&gt;"DIMENSIONES",P367&lt;&gt;"DIRECTA",P367&lt;&gt;"SIN LÍNEAS",P367&lt;&gt;"CABECERA"),"Tipo de fila no reconocido. ","")&amp;IF(AND(OR(P367="SIN LÍNEAS",P367="CABECERA"),COUNTA(G367:J367)&gt;0),"La fila dice que no mide, pero contiene medidas. ","")&amp;IF(AND(OR(P367="DIRECTA",P367="DIMENSIONES"),U367=0),"Línea incompleta o con medidas no numéricas. ","")&amp;IF(P367="SIN LÍNEAS","No constan medidas de esta fila. ","")&amp;IF(Y367&gt;0,"Parece m³: tres dimensiones bajo m². ","")&amp;IF(AND(AB367&lt;&gt;"",SUMPRODUCT(--('LÉEME'!$B$65:$B$86=AC367))&lt;&gt;1),"Revisamos el significado de la unidad. ","")&amp;IF(Z367&gt;0,"Más precisión que los decimales indicados: cotejamos el original. ","")&amp;IF(AA367&gt;0,"Revisamos dimensiones, cantidad directa, ceros o deducción. ","")))</f>
      </c>
      <c r="O367" s="0" t="n">
        <f>IF(ISNUMBER(K367),IF(AND(K367&gt;0,K367=INT(K367),K367&lt;=999999),K367,0),0)</f>
        <v>0</v>
      </c>
      <c r="P367" s="0">
        <f>IF(COUNTA(B367:L367)=0,"",IF(L367="",IF(COUNTA(G367:J367)&gt;0,"DIMENSIONES","SIN LÍNEAS"),UPPER(TRIM(L367))))</f>
      </c>
      <c r="Q367" s="0">
        <f>IF(AND(O367&gt;0,LEN(TRIM(B367&amp;""))&gt;0,LEN(TRIM(C367&amp;""))&gt;0,LEN(TRIM(E367&amp;""))&gt;0,ISNUMBER(F367)),O367,"")</f>
      </c>
      <c r="R367" s="0" t="n">
        <f>IF(O367=0,0,IF(COUNTIFS($Q$13:$Q$512,O367)&gt;0,MATCH(O367,$Q$13:$Q$512,0),0))</f>
        <v>0</v>
      </c>
      <c r="S367" s="0">
        <f>IF(AB367="","",IF(SUMPRODUCT(--('LÉEME'!$B$65:$B$86=AC367))=1,INDEX('LÉEME'!$C$65:$C$86,MATCH(AC367,'LÉEME'!$B$65:$B$86,0)),UPPER(TRIM(AB367))))</f>
      </c>
      <c r="T367" s="0" t="n">
        <f>IF(R367=0,0,IF(OR(AND(LEN(TRIM(B367&amp;""))&gt;0,UPPER(TRIM(B367&amp;""))&lt;&gt;UPPER(TRIM(INDEX($B$13:$B$512,R367)&amp;""))),AND(LEN(TRIM(C367&amp;""))&gt;0,UPPER(TRIM(C367&amp;""))&lt;&gt;UPPER(TRIM(INDEX($C$13:$C$512,R367)&amp;""))),AND(LEN(TRIM(E367&amp;""))&gt;0,S367&lt;&gt;INDEX($S$13:$S$512,R367)),AND(F367&lt;&gt;"",NOT(ISNUMBER(F367)))),1,IF(ISNUMBER(F367),IF(ABS(F367-INDEX($F$13:$F$512,R367))&gt;0.00000001,1,0),0)))</f>
        <v>0</v>
      </c>
      <c r="U367" s="0" t="n">
        <f>IF(P367="DIRECTA",IF(AND(ISNUMBER(G367),COUNTA(H367:J367)=0),1,0),IF(P367="DIMENSIONES",IF(AND(COUNT(G367:J367)&gt;0,COUNTA(G367:J367)=COUNT(G367:J367)),1,0),0))</f>
        <v>0</v>
      </c>
      <c r="V367" s="0" t="n">
        <f>IF(O367=0,0,IF(COUNTIFS($O$13:O367,O367)=1,1,0))</f>
        <v>0</v>
      </c>
      <c r="W367" s="0">
        <f>IF(V367=1,COUNTIFS($V$13:V367,1),"")</f>
      </c>
      <c r="X367" s="0">
        <f>IF(COUNTA(B367:L367)=0,"",IF(OR(NOT(IF(ISNUMBER($E$6),AND($E$6&gt;=0,$E$6&lt;=6,$E$6=INT($E$6)),FALSE)),O367=0,R367=0,T367&gt;0,AND(P367&lt;&gt;"DIMENSIONES",P367&lt;&gt;"DIRECTA",P367&lt;&gt;"SIN LÍNEAS",P367&lt;&gt;"CABECERA"),AND(OR(P367="DIRECTA",P367="DIMENSIONES"),U367=0),AND(OR(P367="SIN LÍNEAS",P367="CABECERA"),COUNTA(G367:J367)&gt;0)),2,IF(OR(P367="SIN LÍNEAS",Y367&gt;0,Z367&gt;0,AA367&gt;0,SUMPRODUCT(--('LÉEME'!$B$65:$B$86=AC367))&lt;&gt;1),1,0)))</f>
      </c>
      <c r="Y367" s="0" t="n">
        <f>IF(AND(P367="DIMENSIONES",S367="m²",COUNT(H367:J367)=3),1,0)</f>
        <v>0</v>
      </c>
      <c r="Z367" s="0" t="n">
        <f>IF(IF(ISNUMBER($E$6),AND($E$6&gt;=0,$E$6&lt;=6,$E$6=INT($E$6)),FALSE),IF(SUM(IF(ISNUMBER(F367),IF(ABS(F367-ROUND(F367,$E$6))&gt;0.00000001,1,0),0),IF(ISNUMBER(G367),IF(ABS(G367-ROUND(G367,$E$6))&gt;0.00000001,1,0),0),IF(ISNUMBER(H367),IF(ABS(H367-ROUND(H367,$E$6))&gt;0.00000001,1,0),0),IF(ISNUMBER(I367),IF(ABS(I367-ROUND(I367,$E$6))&gt;0.00000001,1,0),0),IF(ISNUMBER(J367),IF(ABS(J367-ROUND(J367,$E$6))&gt;0.00000001,1,0),0),IF(ISNUMBER(M367),IF(ABS(M367-ROUND(M367,$E$6))&gt;0.00000001,1,0),0))&gt;0,1,0),0)</f>
        <v>0</v>
      </c>
      <c r="AA367" s="0" t="n">
        <f>IF(COUNTA(B367:L367)=0,0,IF(OR(AND(ISNUMBER(F367),F367&lt;0),AND(U367=1,OR(SUM(IF(ISNUMBER(G367),IF(G367=0,1,0),0),IF(ISNUMBER(H367),IF(H367=0,1,0),0),IF(ISNUMBER(I367),IF(I367=0,1,0),0),IF(ISNUMBER(J367),IF(J367=0,1,0),0))&gt;0,COUNTIFS(G367:J367,"&lt;0")&gt;0)),AND(P367="DIMENSIONES",U367=1,OR(AND(S367="m",COUNT(H367:J367)&lt;&gt;1),AND(S367="m²",COUNT(H367:J367)&lt;&gt;2,Y367=0),AND(S367="m³",COUNT(H367:J367)&lt;&gt;3),AND(S367="ud",COUNT(H367:J367)&gt;0))),AND(P367="DIRECTA",OR(S367="m",S367="m²",S367="m³"))),1,0))</f>
        <v>0</v>
      </c>
      <c r="AB367" s="0">
        <f>IF(LEN(TRIM(E367&amp;""))&gt;0,E367,IF(R367&gt;0,INDEX($E$13:$E$512,R367),""))</f>
      </c>
      <c r="AC367" s="0">
        <f>UPPER(SUBSTITUTE(SUBSTITUTE(SUBSTITUTE(SUBSTITUTE(SUBSTITUTE(TRIM(AB367),"²","2"),"³","3"),"^",""),".","")," ",""))</f>
      </c>
    </row>
    <row r="368" ht="35" customHeight="1">
      <c r="B368" s="35"/>
      <c r="C368" s="35"/>
      <c r="D368" s="37"/>
      <c r="E368" s="35"/>
      <c r="F368" s="38"/>
      <c r="G368" s="38"/>
      <c r="H368" s="38"/>
      <c r="I368" s="38"/>
      <c r="J368" s="38"/>
      <c r="K368" s="35"/>
      <c r="L368" s="35"/>
      <c r="M368" s="39">
        <f>IF(U368&lt;&gt;1,"",IF(P368="DIRECTA",G368,IF(ISNUMBER(G368),G368,1)*IF(ISNUMBER(H368),H368,1)*IF(ISNUMBER(I368),I368,1)*IF(ISNUMBER(J368),J368,1)))</f>
      </c>
      <c r="N368" s="30">
        <f>IF(COUNTA(B368:L368)=0,"",IF(X368=0,IF(P368="CABECERA","VERDE · Fila descriptiva; la suma usa las líneas del ID","VERDE · Datos numéricos interpretables"),IF(X368=2,"ROJO · ","ÁMBAR · ")&amp;IF(NOT(IF(ISNUMBER($E$6),AND($E$6&gt;=0,$E$6&lt;=6,$E$6=INT($E$6)),FALSE)),"Indicamos entre 0 y 6 decimales en E6. ","")&amp;IF(O368=0,"Falta un ID numérico. ","")&amp;IF(R368=0,"Faltan capítulo, código, unidad o total numérico del ID. ","")&amp;IF(T368&gt;0,"Los datos o el total del ID se contradicen. ","")&amp;IF(AND(P368&lt;&gt;"DIMENSIONES",P368&lt;&gt;"DIRECTA",P368&lt;&gt;"SIN LÍNEAS",P368&lt;&gt;"CABECERA"),"Tipo de fila no reconocido. ","")&amp;IF(AND(OR(P368="SIN LÍNEAS",P368="CABECERA"),COUNTA(G368:J368)&gt;0),"La fila dice que no mide, pero contiene medidas. ","")&amp;IF(AND(OR(P368="DIRECTA",P368="DIMENSIONES"),U368=0),"Línea incompleta o con medidas no numéricas. ","")&amp;IF(P368="SIN LÍNEAS","No constan medidas de esta fila. ","")&amp;IF(Y368&gt;0,"Parece m³: tres dimensiones bajo m². ","")&amp;IF(AND(AB368&lt;&gt;"",SUMPRODUCT(--('LÉEME'!$B$65:$B$86=AC368))&lt;&gt;1),"Revisamos el significado de la unidad. ","")&amp;IF(Z368&gt;0,"Más precisión que los decimales indicados: cotejamos el original. ","")&amp;IF(AA368&gt;0,"Revisamos dimensiones, cantidad directa, ceros o deducción. ","")))</f>
      </c>
      <c r="O368" s="0" t="n">
        <f>IF(ISNUMBER(K368),IF(AND(K368&gt;0,K368=INT(K368),K368&lt;=999999),K368,0),0)</f>
        <v>0</v>
      </c>
      <c r="P368" s="0">
        <f>IF(COUNTA(B368:L368)=0,"",IF(L368="",IF(COUNTA(G368:J368)&gt;0,"DIMENSIONES","SIN LÍNEAS"),UPPER(TRIM(L368))))</f>
      </c>
      <c r="Q368" s="0">
        <f>IF(AND(O368&gt;0,LEN(TRIM(B368&amp;""))&gt;0,LEN(TRIM(C368&amp;""))&gt;0,LEN(TRIM(E368&amp;""))&gt;0,ISNUMBER(F368)),O368,"")</f>
      </c>
      <c r="R368" s="0" t="n">
        <f>IF(O368=0,0,IF(COUNTIFS($Q$13:$Q$512,O368)&gt;0,MATCH(O368,$Q$13:$Q$512,0),0))</f>
        <v>0</v>
      </c>
      <c r="S368" s="0">
        <f>IF(AB368="","",IF(SUMPRODUCT(--('LÉEME'!$B$65:$B$86=AC368))=1,INDEX('LÉEME'!$C$65:$C$86,MATCH(AC368,'LÉEME'!$B$65:$B$86,0)),UPPER(TRIM(AB368))))</f>
      </c>
      <c r="T368" s="0" t="n">
        <f>IF(R368=0,0,IF(OR(AND(LEN(TRIM(B368&amp;""))&gt;0,UPPER(TRIM(B368&amp;""))&lt;&gt;UPPER(TRIM(INDEX($B$13:$B$512,R368)&amp;""))),AND(LEN(TRIM(C368&amp;""))&gt;0,UPPER(TRIM(C368&amp;""))&lt;&gt;UPPER(TRIM(INDEX($C$13:$C$512,R368)&amp;""))),AND(LEN(TRIM(E368&amp;""))&gt;0,S368&lt;&gt;INDEX($S$13:$S$512,R368)),AND(F368&lt;&gt;"",NOT(ISNUMBER(F368)))),1,IF(ISNUMBER(F368),IF(ABS(F368-INDEX($F$13:$F$512,R368))&gt;0.00000001,1,0),0)))</f>
        <v>0</v>
      </c>
      <c r="U368" s="0" t="n">
        <f>IF(P368="DIRECTA",IF(AND(ISNUMBER(G368),COUNTA(H368:J368)=0),1,0),IF(P368="DIMENSIONES",IF(AND(COUNT(G368:J368)&gt;0,COUNTA(G368:J368)=COUNT(G368:J368)),1,0),0))</f>
        <v>0</v>
      </c>
      <c r="V368" s="0" t="n">
        <f>IF(O368=0,0,IF(COUNTIFS($O$13:O368,O368)=1,1,0))</f>
        <v>0</v>
      </c>
      <c r="W368" s="0">
        <f>IF(V368=1,COUNTIFS($V$13:V368,1),"")</f>
      </c>
      <c r="X368" s="0">
        <f>IF(COUNTA(B368:L368)=0,"",IF(OR(NOT(IF(ISNUMBER($E$6),AND($E$6&gt;=0,$E$6&lt;=6,$E$6=INT($E$6)),FALSE)),O368=0,R368=0,T368&gt;0,AND(P368&lt;&gt;"DIMENSIONES",P368&lt;&gt;"DIRECTA",P368&lt;&gt;"SIN LÍNEAS",P368&lt;&gt;"CABECERA"),AND(OR(P368="DIRECTA",P368="DIMENSIONES"),U368=0),AND(OR(P368="SIN LÍNEAS",P368="CABECERA"),COUNTA(G368:J368)&gt;0)),2,IF(OR(P368="SIN LÍNEAS",Y368&gt;0,Z368&gt;0,AA368&gt;0,SUMPRODUCT(--('LÉEME'!$B$65:$B$86=AC368))&lt;&gt;1),1,0)))</f>
      </c>
      <c r="Y368" s="0" t="n">
        <f>IF(AND(P368="DIMENSIONES",S368="m²",COUNT(H368:J368)=3),1,0)</f>
        <v>0</v>
      </c>
      <c r="Z368" s="0" t="n">
        <f>IF(IF(ISNUMBER($E$6),AND($E$6&gt;=0,$E$6&lt;=6,$E$6=INT($E$6)),FALSE),IF(SUM(IF(ISNUMBER(F368),IF(ABS(F368-ROUND(F368,$E$6))&gt;0.00000001,1,0),0),IF(ISNUMBER(G368),IF(ABS(G368-ROUND(G368,$E$6))&gt;0.00000001,1,0),0),IF(ISNUMBER(H368),IF(ABS(H368-ROUND(H368,$E$6))&gt;0.00000001,1,0),0),IF(ISNUMBER(I368),IF(ABS(I368-ROUND(I368,$E$6))&gt;0.00000001,1,0),0),IF(ISNUMBER(J368),IF(ABS(J368-ROUND(J368,$E$6))&gt;0.00000001,1,0),0),IF(ISNUMBER(M368),IF(ABS(M368-ROUND(M368,$E$6))&gt;0.00000001,1,0),0))&gt;0,1,0),0)</f>
        <v>0</v>
      </c>
      <c r="AA368" s="0" t="n">
        <f>IF(COUNTA(B368:L368)=0,0,IF(OR(AND(ISNUMBER(F368),F368&lt;0),AND(U368=1,OR(SUM(IF(ISNUMBER(G368),IF(G368=0,1,0),0),IF(ISNUMBER(H368),IF(H368=0,1,0),0),IF(ISNUMBER(I368),IF(I368=0,1,0),0),IF(ISNUMBER(J368),IF(J368=0,1,0),0))&gt;0,COUNTIFS(G368:J368,"&lt;0")&gt;0)),AND(P368="DIMENSIONES",U368=1,OR(AND(S368="m",COUNT(H368:J368)&lt;&gt;1),AND(S368="m²",COUNT(H368:J368)&lt;&gt;2,Y368=0),AND(S368="m³",COUNT(H368:J368)&lt;&gt;3),AND(S368="ud",COUNT(H368:J368)&gt;0))),AND(P368="DIRECTA",OR(S368="m",S368="m²",S368="m³"))),1,0))</f>
        <v>0</v>
      </c>
      <c r="AB368" s="0">
        <f>IF(LEN(TRIM(E368&amp;""))&gt;0,E368,IF(R368&gt;0,INDEX($E$13:$E$512,R368),""))</f>
      </c>
      <c r="AC368" s="0">
        <f>UPPER(SUBSTITUTE(SUBSTITUTE(SUBSTITUTE(SUBSTITUTE(SUBSTITUTE(TRIM(AB368),"²","2"),"³","3"),"^",""),".","")," ",""))</f>
      </c>
    </row>
    <row r="369" ht="35" customHeight="1">
      <c r="B369" s="35"/>
      <c r="C369" s="35"/>
      <c r="D369" s="37"/>
      <c r="E369" s="35"/>
      <c r="F369" s="38"/>
      <c r="G369" s="38"/>
      <c r="H369" s="38"/>
      <c r="I369" s="38"/>
      <c r="J369" s="38"/>
      <c r="K369" s="35"/>
      <c r="L369" s="35"/>
      <c r="M369" s="39">
        <f>IF(U369&lt;&gt;1,"",IF(P369="DIRECTA",G369,IF(ISNUMBER(G369),G369,1)*IF(ISNUMBER(H369),H369,1)*IF(ISNUMBER(I369),I369,1)*IF(ISNUMBER(J369),J369,1)))</f>
      </c>
      <c r="N369" s="30">
        <f>IF(COUNTA(B369:L369)=0,"",IF(X369=0,IF(P369="CABECERA","VERDE · Fila descriptiva; la suma usa las líneas del ID","VERDE · Datos numéricos interpretables"),IF(X369=2,"ROJO · ","ÁMBAR · ")&amp;IF(NOT(IF(ISNUMBER($E$6),AND($E$6&gt;=0,$E$6&lt;=6,$E$6=INT($E$6)),FALSE)),"Indicamos entre 0 y 6 decimales en E6. ","")&amp;IF(O369=0,"Falta un ID numérico. ","")&amp;IF(R369=0,"Faltan capítulo, código, unidad o total numérico del ID. ","")&amp;IF(T369&gt;0,"Los datos o el total del ID se contradicen. ","")&amp;IF(AND(P369&lt;&gt;"DIMENSIONES",P369&lt;&gt;"DIRECTA",P369&lt;&gt;"SIN LÍNEAS",P369&lt;&gt;"CABECERA"),"Tipo de fila no reconocido. ","")&amp;IF(AND(OR(P369="SIN LÍNEAS",P369="CABECERA"),COUNTA(G369:J369)&gt;0),"La fila dice que no mide, pero contiene medidas. ","")&amp;IF(AND(OR(P369="DIRECTA",P369="DIMENSIONES"),U369=0),"Línea incompleta o con medidas no numéricas. ","")&amp;IF(P369="SIN LÍNEAS","No constan medidas de esta fila. ","")&amp;IF(Y369&gt;0,"Parece m³: tres dimensiones bajo m². ","")&amp;IF(AND(AB369&lt;&gt;"",SUMPRODUCT(--('LÉEME'!$B$65:$B$86=AC369))&lt;&gt;1),"Revisamos el significado de la unidad. ","")&amp;IF(Z369&gt;0,"Más precisión que los decimales indicados: cotejamos el original. ","")&amp;IF(AA369&gt;0,"Revisamos dimensiones, cantidad directa, ceros o deducción. ","")))</f>
      </c>
      <c r="O369" s="0" t="n">
        <f>IF(ISNUMBER(K369),IF(AND(K369&gt;0,K369=INT(K369),K369&lt;=999999),K369,0),0)</f>
        <v>0</v>
      </c>
      <c r="P369" s="0">
        <f>IF(COUNTA(B369:L369)=0,"",IF(L369="",IF(COUNTA(G369:J369)&gt;0,"DIMENSIONES","SIN LÍNEAS"),UPPER(TRIM(L369))))</f>
      </c>
      <c r="Q369" s="0">
        <f>IF(AND(O369&gt;0,LEN(TRIM(B369&amp;""))&gt;0,LEN(TRIM(C369&amp;""))&gt;0,LEN(TRIM(E369&amp;""))&gt;0,ISNUMBER(F369)),O369,"")</f>
      </c>
      <c r="R369" s="0" t="n">
        <f>IF(O369=0,0,IF(COUNTIFS($Q$13:$Q$512,O369)&gt;0,MATCH(O369,$Q$13:$Q$512,0),0))</f>
        <v>0</v>
      </c>
      <c r="S369" s="0">
        <f>IF(AB369="","",IF(SUMPRODUCT(--('LÉEME'!$B$65:$B$86=AC369))=1,INDEX('LÉEME'!$C$65:$C$86,MATCH(AC369,'LÉEME'!$B$65:$B$86,0)),UPPER(TRIM(AB369))))</f>
      </c>
      <c r="T369" s="0" t="n">
        <f>IF(R369=0,0,IF(OR(AND(LEN(TRIM(B369&amp;""))&gt;0,UPPER(TRIM(B369&amp;""))&lt;&gt;UPPER(TRIM(INDEX($B$13:$B$512,R369)&amp;""))),AND(LEN(TRIM(C369&amp;""))&gt;0,UPPER(TRIM(C369&amp;""))&lt;&gt;UPPER(TRIM(INDEX($C$13:$C$512,R369)&amp;""))),AND(LEN(TRIM(E369&amp;""))&gt;0,S369&lt;&gt;INDEX($S$13:$S$512,R369)),AND(F369&lt;&gt;"",NOT(ISNUMBER(F369)))),1,IF(ISNUMBER(F369),IF(ABS(F369-INDEX($F$13:$F$512,R369))&gt;0.00000001,1,0),0)))</f>
        <v>0</v>
      </c>
      <c r="U369" s="0" t="n">
        <f>IF(P369="DIRECTA",IF(AND(ISNUMBER(G369),COUNTA(H369:J369)=0),1,0),IF(P369="DIMENSIONES",IF(AND(COUNT(G369:J369)&gt;0,COUNTA(G369:J369)=COUNT(G369:J369)),1,0),0))</f>
        <v>0</v>
      </c>
      <c r="V369" s="0" t="n">
        <f>IF(O369=0,0,IF(COUNTIFS($O$13:O369,O369)=1,1,0))</f>
        <v>0</v>
      </c>
      <c r="W369" s="0">
        <f>IF(V369=1,COUNTIFS($V$13:V369,1),"")</f>
      </c>
      <c r="X369" s="0">
        <f>IF(COUNTA(B369:L369)=0,"",IF(OR(NOT(IF(ISNUMBER($E$6),AND($E$6&gt;=0,$E$6&lt;=6,$E$6=INT($E$6)),FALSE)),O369=0,R369=0,T369&gt;0,AND(P369&lt;&gt;"DIMENSIONES",P369&lt;&gt;"DIRECTA",P369&lt;&gt;"SIN LÍNEAS",P369&lt;&gt;"CABECERA"),AND(OR(P369="DIRECTA",P369="DIMENSIONES"),U369=0),AND(OR(P369="SIN LÍNEAS",P369="CABECERA"),COUNTA(G369:J369)&gt;0)),2,IF(OR(P369="SIN LÍNEAS",Y369&gt;0,Z369&gt;0,AA369&gt;0,SUMPRODUCT(--('LÉEME'!$B$65:$B$86=AC369))&lt;&gt;1),1,0)))</f>
      </c>
      <c r="Y369" s="0" t="n">
        <f>IF(AND(P369="DIMENSIONES",S369="m²",COUNT(H369:J369)=3),1,0)</f>
        <v>0</v>
      </c>
      <c r="Z369" s="0" t="n">
        <f>IF(IF(ISNUMBER($E$6),AND($E$6&gt;=0,$E$6&lt;=6,$E$6=INT($E$6)),FALSE),IF(SUM(IF(ISNUMBER(F369),IF(ABS(F369-ROUND(F369,$E$6))&gt;0.00000001,1,0),0),IF(ISNUMBER(G369),IF(ABS(G369-ROUND(G369,$E$6))&gt;0.00000001,1,0),0),IF(ISNUMBER(H369),IF(ABS(H369-ROUND(H369,$E$6))&gt;0.00000001,1,0),0),IF(ISNUMBER(I369),IF(ABS(I369-ROUND(I369,$E$6))&gt;0.00000001,1,0),0),IF(ISNUMBER(J369),IF(ABS(J369-ROUND(J369,$E$6))&gt;0.00000001,1,0),0),IF(ISNUMBER(M369),IF(ABS(M369-ROUND(M369,$E$6))&gt;0.00000001,1,0),0))&gt;0,1,0),0)</f>
        <v>0</v>
      </c>
      <c r="AA369" s="0" t="n">
        <f>IF(COUNTA(B369:L369)=0,0,IF(OR(AND(ISNUMBER(F369),F369&lt;0),AND(U369=1,OR(SUM(IF(ISNUMBER(G369),IF(G369=0,1,0),0),IF(ISNUMBER(H369),IF(H369=0,1,0),0),IF(ISNUMBER(I369),IF(I369=0,1,0),0),IF(ISNUMBER(J369),IF(J369=0,1,0),0))&gt;0,COUNTIFS(G369:J369,"&lt;0")&gt;0)),AND(P369="DIMENSIONES",U369=1,OR(AND(S369="m",COUNT(H369:J369)&lt;&gt;1),AND(S369="m²",COUNT(H369:J369)&lt;&gt;2,Y369=0),AND(S369="m³",COUNT(H369:J369)&lt;&gt;3),AND(S369="ud",COUNT(H369:J369)&gt;0))),AND(P369="DIRECTA",OR(S369="m",S369="m²",S369="m³"))),1,0))</f>
        <v>0</v>
      </c>
      <c r="AB369" s="0">
        <f>IF(LEN(TRIM(E369&amp;""))&gt;0,E369,IF(R369&gt;0,INDEX($E$13:$E$512,R369),""))</f>
      </c>
      <c r="AC369" s="0">
        <f>UPPER(SUBSTITUTE(SUBSTITUTE(SUBSTITUTE(SUBSTITUTE(SUBSTITUTE(TRIM(AB369),"²","2"),"³","3"),"^",""),".","")," ",""))</f>
      </c>
    </row>
    <row r="370" ht="35" customHeight="1">
      <c r="B370" s="35"/>
      <c r="C370" s="35"/>
      <c r="D370" s="37"/>
      <c r="E370" s="35"/>
      <c r="F370" s="38"/>
      <c r="G370" s="38"/>
      <c r="H370" s="38"/>
      <c r="I370" s="38"/>
      <c r="J370" s="38"/>
      <c r="K370" s="35"/>
      <c r="L370" s="35"/>
      <c r="M370" s="39">
        <f>IF(U370&lt;&gt;1,"",IF(P370="DIRECTA",G370,IF(ISNUMBER(G370),G370,1)*IF(ISNUMBER(H370),H370,1)*IF(ISNUMBER(I370),I370,1)*IF(ISNUMBER(J370),J370,1)))</f>
      </c>
      <c r="N370" s="30">
        <f>IF(COUNTA(B370:L370)=0,"",IF(X370=0,IF(P370="CABECERA","VERDE · Fila descriptiva; la suma usa las líneas del ID","VERDE · Datos numéricos interpretables"),IF(X370=2,"ROJO · ","ÁMBAR · ")&amp;IF(NOT(IF(ISNUMBER($E$6),AND($E$6&gt;=0,$E$6&lt;=6,$E$6=INT($E$6)),FALSE)),"Indicamos entre 0 y 6 decimales en E6. ","")&amp;IF(O370=0,"Falta un ID numérico. ","")&amp;IF(R370=0,"Faltan capítulo, código, unidad o total numérico del ID. ","")&amp;IF(T370&gt;0,"Los datos o el total del ID se contradicen. ","")&amp;IF(AND(P370&lt;&gt;"DIMENSIONES",P370&lt;&gt;"DIRECTA",P370&lt;&gt;"SIN LÍNEAS",P370&lt;&gt;"CABECERA"),"Tipo de fila no reconocido. ","")&amp;IF(AND(OR(P370="SIN LÍNEAS",P370="CABECERA"),COUNTA(G370:J370)&gt;0),"La fila dice que no mide, pero contiene medidas. ","")&amp;IF(AND(OR(P370="DIRECTA",P370="DIMENSIONES"),U370=0),"Línea incompleta o con medidas no numéricas. ","")&amp;IF(P370="SIN LÍNEAS","No constan medidas de esta fila. ","")&amp;IF(Y370&gt;0,"Parece m³: tres dimensiones bajo m². ","")&amp;IF(AND(AB370&lt;&gt;"",SUMPRODUCT(--('LÉEME'!$B$65:$B$86=AC370))&lt;&gt;1),"Revisamos el significado de la unidad. ","")&amp;IF(Z370&gt;0,"Más precisión que los decimales indicados: cotejamos el original. ","")&amp;IF(AA370&gt;0,"Revisamos dimensiones, cantidad directa, ceros o deducción. ","")))</f>
      </c>
      <c r="O370" s="0" t="n">
        <f>IF(ISNUMBER(K370),IF(AND(K370&gt;0,K370=INT(K370),K370&lt;=999999),K370,0),0)</f>
        <v>0</v>
      </c>
      <c r="P370" s="0">
        <f>IF(COUNTA(B370:L370)=0,"",IF(L370="",IF(COUNTA(G370:J370)&gt;0,"DIMENSIONES","SIN LÍNEAS"),UPPER(TRIM(L370))))</f>
      </c>
      <c r="Q370" s="0">
        <f>IF(AND(O370&gt;0,LEN(TRIM(B370&amp;""))&gt;0,LEN(TRIM(C370&amp;""))&gt;0,LEN(TRIM(E370&amp;""))&gt;0,ISNUMBER(F370)),O370,"")</f>
      </c>
      <c r="R370" s="0" t="n">
        <f>IF(O370=0,0,IF(COUNTIFS($Q$13:$Q$512,O370)&gt;0,MATCH(O370,$Q$13:$Q$512,0),0))</f>
        <v>0</v>
      </c>
      <c r="S370" s="0">
        <f>IF(AB370="","",IF(SUMPRODUCT(--('LÉEME'!$B$65:$B$86=AC370))=1,INDEX('LÉEME'!$C$65:$C$86,MATCH(AC370,'LÉEME'!$B$65:$B$86,0)),UPPER(TRIM(AB370))))</f>
      </c>
      <c r="T370" s="0" t="n">
        <f>IF(R370=0,0,IF(OR(AND(LEN(TRIM(B370&amp;""))&gt;0,UPPER(TRIM(B370&amp;""))&lt;&gt;UPPER(TRIM(INDEX($B$13:$B$512,R370)&amp;""))),AND(LEN(TRIM(C370&amp;""))&gt;0,UPPER(TRIM(C370&amp;""))&lt;&gt;UPPER(TRIM(INDEX($C$13:$C$512,R370)&amp;""))),AND(LEN(TRIM(E370&amp;""))&gt;0,S370&lt;&gt;INDEX($S$13:$S$512,R370)),AND(F370&lt;&gt;"",NOT(ISNUMBER(F370)))),1,IF(ISNUMBER(F370),IF(ABS(F370-INDEX($F$13:$F$512,R370))&gt;0.00000001,1,0),0)))</f>
        <v>0</v>
      </c>
      <c r="U370" s="0" t="n">
        <f>IF(P370="DIRECTA",IF(AND(ISNUMBER(G370),COUNTA(H370:J370)=0),1,0),IF(P370="DIMENSIONES",IF(AND(COUNT(G370:J370)&gt;0,COUNTA(G370:J370)=COUNT(G370:J370)),1,0),0))</f>
        <v>0</v>
      </c>
      <c r="V370" s="0" t="n">
        <f>IF(O370=0,0,IF(COUNTIFS($O$13:O370,O370)=1,1,0))</f>
        <v>0</v>
      </c>
      <c r="W370" s="0">
        <f>IF(V370=1,COUNTIFS($V$13:V370,1),"")</f>
      </c>
      <c r="X370" s="0">
        <f>IF(COUNTA(B370:L370)=0,"",IF(OR(NOT(IF(ISNUMBER($E$6),AND($E$6&gt;=0,$E$6&lt;=6,$E$6=INT($E$6)),FALSE)),O370=0,R370=0,T370&gt;0,AND(P370&lt;&gt;"DIMENSIONES",P370&lt;&gt;"DIRECTA",P370&lt;&gt;"SIN LÍNEAS",P370&lt;&gt;"CABECERA"),AND(OR(P370="DIRECTA",P370="DIMENSIONES"),U370=0),AND(OR(P370="SIN LÍNEAS",P370="CABECERA"),COUNTA(G370:J370)&gt;0)),2,IF(OR(P370="SIN LÍNEAS",Y370&gt;0,Z370&gt;0,AA370&gt;0,SUMPRODUCT(--('LÉEME'!$B$65:$B$86=AC370))&lt;&gt;1),1,0)))</f>
      </c>
      <c r="Y370" s="0" t="n">
        <f>IF(AND(P370="DIMENSIONES",S370="m²",COUNT(H370:J370)=3),1,0)</f>
        <v>0</v>
      </c>
      <c r="Z370" s="0" t="n">
        <f>IF(IF(ISNUMBER($E$6),AND($E$6&gt;=0,$E$6&lt;=6,$E$6=INT($E$6)),FALSE),IF(SUM(IF(ISNUMBER(F370),IF(ABS(F370-ROUND(F370,$E$6))&gt;0.00000001,1,0),0),IF(ISNUMBER(G370),IF(ABS(G370-ROUND(G370,$E$6))&gt;0.00000001,1,0),0),IF(ISNUMBER(H370),IF(ABS(H370-ROUND(H370,$E$6))&gt;0.00000001,1,0),0),IF(ISNUMBER(I370),IF(ABS(I370-ROUND(I370,$E$6))&gt;0.00000001,1,0),0),IF(ISNUMBER(J370),IF(ABS(J370-ROUND(J370,$E$6))&gt;0.00000001,1,0),0),IF(ISNUMBER(M370),IF(ABS(M370-ROUND(M370,$E$6))&gt;0.00000001,1,0),0))&gt;0,1,0),0)</f>
        <v>0</v>
      </c>
      <c r="AA370" s="0" t="n">
        <f>IF(COUNTA(B370:L370)=0,0,IF(OR(AND(ISNUMBER(F370),F370&lt;0),AND(U370=1,OR(SUM(IF(ISNUMBER(G370),IF(G370=0,1,0),0),IF(ISNUMBER(H370),IF(H370=0,1,0),0),IF(ISNUMBER(I370),IF(I370=0,1,0),0),IF(ISNUMBER(J370),IF(J370=0,1,0),0))&gt;0,COUNTIFS(G370:J370,"&lt;0")&gt;0)),AND(P370="DIMENSIONES",U370=1,OR(AND(S370="m",COUNT(H370:J370)&lt;&gt;1),AND(S370="m²",COUNT(H370:J370)&lt;&gt;2,Y370=0),AND(S370="m³",COUNT(H370:J370)&lt;&gt;3),AND(S370="ud",COUNT(H370:J370)&gt;0))),AND(P370="DIRECTA",OR(S370="m",S370="m²",S370="m³"))),1,0))</f>
        <v>0</v>
      </c>
      <c r="AB370" s="0">
        <f>IF(LEN(TRIM(E370&amp;""))&gt;0,E370,IF(R370&gt;0,INDEX($E$13:$E$512,R370),""))</f>
      </c>
      <c r="AC370" s="0">
        <f>UPPER(SUBSTITUTE(SUBSTITUTE(SUBSTITUTE(SUBSTITUTE(SUBSTITUTE(TRIM(AB370),"²","2"),"³","3"),"^",""),".","")," ",""))</f>
      </c>
    </row>
    <row r="371" ht="35" customHeight="1">
      <c r="B371" s="35"/>
      <c r="C371" s="35"/>
      <c r="D371" s="37"/>
      <c r="E371" s="35"/>
      <c r="F371" s="38"/>
      <c r="G371" s="38"/>
      <c r="H371" s="38"/>
      <c r="I371" s="38"/>
      <c r="J371" s="38"/>
      <c r="K371" s="35"/>
      <c r="L371" s="35"/>
      <c r="M371" s="39">
        <f>IF(U371&lt;&gt;1,"",IF(P371="DIRECTA",G371,IF(ISNUMBER(G371),G371,1)*IF(ISNUMBER(H371),H371,1)*IF(ISNUMBER(I371),I371,1)*IF(ISNUMBER(J371),J371,1)))</f>
      </c>
      <c r="N371" s="30">
        <f>IF(COUNTA(B371:L371)=0,"",IF(X371=0,IF(P371="CABECERA","VERDE · Fila descriptiva; la suma usa las líneas del ID","VERDE · Datos numéricos interpretables"),IF(X371=2,"ROJO · ","ÁMBAR · ")&amp;IF(NOT(IF(ISNUMBER($E$6),AND($E$6&gt;=0,$E$6&lt;=6,$E$6=INT($E$6)),FALSE)),"Indicamos entre 0 y 6 decimales en E6. ","")&amp;IF(O371=0,"Falta un ID numérico. ","")&amp;IF(R371=0,"Faltan capítulo, código, unidad o total numérico del ID. ","")&amp;IF(T371&gt;0,"Los datos o el total del ID se contradicen. ","")&amp;IF(AND(P371&lt;&gt;"DIMENSIONES",P371&lt;&gt;"DIRECTA",P371&lt;&gt;"SIN LÍNEAS",P371&lt;&gt;"CABECERA"),"Tipo de fila no reconocido. ","")&amp;IF(AND(OR(P371="SIN LÍNEAS",P371="CABECERA"),COUNTA(G371:J371)&gt;0),"La fila dice que no mide, pero contiene medidas. ","")&amp;IF(AND(OR(P371="DIRECTA",P371="DIMENSIONES"),U371=0),"Línea incompleta o con medidas no numéricas. ","")&amp;IF(P371="SIN LÍNEAS","No constan medidas de esta fila. ","")&amp;IF(Y371&gt;0,"Parece m³: tres dimensiones bajo m². ","")&amp;IF(AND(AB371&lt;&gt;"",SUMPRODUCT(--('LÉEME'!$B$65:$B$86=AC371))&lt;&gt;1),"Revisamos el significado de la unidad. ","")&amp;IF(Z371&gt;0,"Más precisión que los decimales indicados: cotejamos el original. ","")&amp;IF(AA371&gt;0,"Revisamos dimensiones, cantidad directa, ceros o deducción. ","")))</f>
      </c>
      <c r="O371" s="0" t="n">
        <f>IF(ISNUMBER(K371),IF(AND(K371&gt;0,K371=INT(K371),K371&lt;=999999),K371,0),0)</f>
        <v>0</v>
      </c>
      <c r="P371" s="0">
        <f>IF(COUNTA(B371:L371)=0,"",IF(L371="",IF(COUNTA(G371:J371)&gt;0,"DIMENSIONES","SIN LÍNEAS"),UPPER(TRIM(L371))))</f>
      </c>
      <c r="Q371" s="0">
        <f>IF(AND(O371&gt;0,LEN(TRIM(B371&amp;""))&gt;0,LEN(TRIM(C371&amp;""))&gt;0,LEN(TRIM(E371&amp;""))&gt;0,ISNUMBER(F371)),O371,"")</f>
      </c>
      <c r="R371" s="0" t="n">
        <f>IF(O371=0,0,IF(COUNTIFS($Q$13:$Q$512,O371)&gt;0,MATCH(O371,$Q$13:$Q$512,0),0))</f>
        <v>0</v>
      </c>
      <c r="S371" s="0">
        <f>IF(AB371="","",IF(SUMPRODUCT(--('LÉEME'!$B$65:$B$86=AC371))=1,INDEX('LÉEME'!$C$65:$C$86,MATCH(AC371,'LÉEME'!$B$65:$B$86,0)),UPPER(TRIM(AB371))))</f>
      </c>
      <c r="T371" s="0" t="n">
        <f>IF(R371=0,0,IF(OR(AND(LEN(TRIM(B371&amp;""))&gt;0,UPPER(TRIM(B371&amp;""))&lt;&gt;UPPER(TRIM(INDEX($B$13:$B$512,R371)&amp;""))),AND(LEN(TRIM(C371&amp;""))&gt;0,UPPER(TRIM(C371&amp;""))&lt;&gt;UPPER(TRIM(INDEX($C$13:$C$512,R371)&amp;""))),AND(LEN(TRIM(E371&amp;""))&gt;0,S371&lt;&gt;INDEX($S$13:$S$512,R371)),AND(F371&lt;&gt;"",NOT(ISNUMBER(F371)))),1,IF(ISNUMBER(F371),IF(ABS(F371-INDEX($F$13:$F$512,R371))&gt;0.00000001,1,0),0)))</f>
        <v>0</v>
      </c>
      <c r="U371" s="0" t="n">
        <f>IF(P371="DIRECTA",IF(AND(ISNUMBER(G371),COUNTA(H371:J371)=0),1,0),IF(P371="DIMENSIONES",IF(AND(COUNT(G371:J371)&gt;0,COUNTA(G371:J371)=COUNT(G371:J371)),1,0),0))</f>
        <v>0</v>
      </c>
      <c r="V371" s="0" t="n">
        <f>IF(O371=0,0,IF(COUNTIFS($O$13:O371,O371)=1,1,0))</f>
        <v>0</v>
      </c>
      <c r="W371" s="0">
        <f>IF(V371=1,COUNTIFS($V$13:V371,1),"")</f>
      </c>
      <c r="X371" s="0">
        <f>IF(COUNTA(B371:L371)=0,"",IF(OR(NOT(IF(ISNUMBER($E$6),AND($E$6&gt;=0,$E$6&lt;=6,$E$6=INT($E$6)),FALSE)),O371=0,R371=0,T371&gt;0,AND(P371&lt;&gt;"DIMENSIONES",P371&lt;&gt;"DIRECTA",P371&lt;&gt;"SIN LÍNEAS",P371&lt;&gt;"CABECERA"),AND(OR(P371="DIRECTA",P371="DIMENSIONES"),U371=0),AND(OR(P371="SIN LÍNEAS",P371="CABECERA"),COUNTA(G371:J371)&gt;0)),2,IF(OR(P371="SIN LÍNEAS",Y371&gt;0,Z371&gt;0,AA371&gt;0,SUMPRODUCT(--('LÉEME'!$B$65:$B$86=AC371))&lt;&gt;1),1,0)))</f>
      </c>
      <c r="Y371" s="0" t="n">
        <f>IF(AND(P371="DIMENSIONES",S371="m²",COUNT(H371:J371)=3),1,0)</f>
        <v>0</v>
      </c>
      <c r="Z371" s="0" t="n">
        <f>IF(IF(ISNUMBER($E$6),AND($E$6&gt;=0,$E$6&lt;=6,$E$6=INT($E$6)),FALSE),IF(SUM(IF(ISNUMBER(F371),IF(ABS(F371-ROUND(F371,$E$6))&gt;0.00000001,1,0),0),IF(ISNUMBER(G371),IF(ABS(G371-ROUND(G371,$E$6))&gt;0.00000001,1,0),0),IF(ISNUMBER(H371),IF(ABS(H371-ROUND(H371,$E$6))&gt;0.00000001,1,0),0),IF(ISNUMBER(I371),IF(ABS(I371-ROUND(I371,$E$6))&gt;0.00000001,1,0),0),IF(ISNUMBER(J371),IF(ABS(J371-ROUND(J371,$E$6))&gt;0.00000001,1,0),0),IF(ISNUMBER(M371),IF(ABS(M371-ROUND(M371,$E$6))&gt;0.00000001,1,0),0))&gt;0,1,0),0)</f>
        <v>0</v>
      </c>
      <c r="AA371" s="0" t="n">
        <f>IF(COUNTA(B371:L371)=0,0,IF(OR(AND(ISNUMBER(F371),F371&lt;0),AND(U371=1,OR(SUM(IF(ISNUMBER(G371),IF(G371=0,1,0),0),IF(ISNUMBER(H371),IF(H371=0,1,0),0),IF(ISNUMBER(I371),IF(I371=0,1,0),0),IF(ISNUMBER(J371),IF(J371=0,1,0),0))&gt;0,COUNTIFS(G371:J371,"&lt;0")&gt;0)),AND(P371="DIMENSIONES",U371=1,OR(AND(S371="m",COUNT(H371:J371)&lt;&gt;1),AND(S371="m²",COUNT(H371:J371)&lt;&gt;2,Y371=0),AND(S371="m³",COUNT(H371:J371)&lt;&gt;3),AND(S371="ud",COUNT(H371:J371)&gt;0))),AND(P371="DIRECTA",OR(S371="m",S371="m²",S371="m³"))),1,0))</f>
        <v>0</v>
      </c>
      <c r="AB371" s="0">
        <f>IF(LEN(TRIM(E371&amp;""))&gt;0,E371,IF(R371&gt;0,INDEX($E$13:$E$512,R371),""))</f>
      </c>
      <c r="AC371" s="0">
        <f>UPPER(SUBSTITUTE(SUBSTITUTE(SUBSTITUTE(SUBSTITUTE(SUBSTITUTE(TRIM(AB371),"²","2"),"³","3"),"^",""),".","")," ",""))</f>
      </c>
    </row>
    <row r="372" ht="35" customHeight="1">
      <c r="B372" s="35"/>
      <c r="C372" s="35"/>
      <c r="D372" s="37"/>
      <c r="E372" s="35"/>
      <c r="F372" s="38"/>
      <c r="G372" s="38"/>
      <c r="H372" s="38"/>
      <c r="I372" s="38"/>
      <c r="J372" s="38"/>
      <c r="K372" s="35"/>
      <c r="L372" s="35"/>
      <c r="M372" s="39">
        <f>IF(U372&lt;&gt;1,"",IF(P372="DIRECTA",G372,IF(ISNUMBER(G372),G372,1)*IF(ISNUMBER(H372),H372,1)*IF(ISNUMBER(I372),I372,1)*IF(ISNUMBER(J372),J372,1)))</f>
      </c>
      <c r="N372" s="30">
        <f>IF(COUNTA(B372:L372)=0,"",IF(X372=0,IF(P372="CABECERA","VERDE · Fila descriptiva; la suma usa las líneas del ID","VERDE · Datos numéricos interpretables"),IF(X372=2,"ROJO · ","ÁMBAR · ")&amp;IF(NOT(IF(ISNUMBER($E$6),AND($E$6&gt;=0,$E$6&lt;=6,$E$6=INT($E$6)),FALSE)),"Indicamos entre 0 y 6 decimales en E6. ","")&amp;IF(O372=0,"Falta un ID numérico. ","")&amp;IF(R372=0,"Faltan capítulo, código, unidad o total numérico del ID. ","")&amp;IF(T372&gt;0,"Los datos o el total del ID se contradicen. ","")&amp;IF(AND(P372&lt;&gt;"DIMENSIONES",P372&lt;&gt;"DIRECTA",P372&lt;&gt;"SIN LÍNEAS",P372&lt;&gt;"CABECERA"),"Tipo de fila no reconocido. ","")&amp;IF(AND(OR(P372="SIN LÍNEAS",P372="CABECERA"),COUNTA(G372:J372)&gt;0),"La fila dice que no mide, pero contiene medidas. ","")&amp;IF(AND(OR(P372="DIRECTA",P372="DIMENSIONES"),U372=0),"Línea incompleta o con medidas no numéricas. ","")&amp;IF(P372="SIN LÍNEAS","No constan medidas de esta fila. ","")&amp;IF(Y372&gt;0,"Parece m³: tres dimensiones bajo m². ","")&amp;IF(AND(AB372&lt;&gt;"",SUMPRODUCT(--('LÉEME'!$B$65:$B$86=AC372))&lt;&gt;1),"Revisamos el significado de la unidad. ","")&amp;IF(Z372&gt;0,"Más precisión que los decimales indicados: cotejamos el original. ","")&amp;IF(AA372&gt;0,"Revisamos dimensiones, cantidad directa, ceros o deducción. ","")))</f>
      </c>
      <c r="O372" s="0" t="n">
        <f>IF(ISNUMBER(K372),IF(AND(K372&gt;0,K372=INT(K372),K372&lt;=999999),K372,0),0)</f>
        <v>0</v>
      </c>
      <c r="P372" s="0">
        <f>IF(COUNTA(B372:L372)=0,"",IF(L372="",IF(COUNTA(G372:J372)&gt;0,"DIMENSIONES","SIN LÍNEAS"),UPPER(TRIM(L372))))</f>
      </c>
      <c r="Q372" s="0">
        <f>IF(AND(O372&gt;0,LEN(TRIM(B372&amp;""))&gt;0,LEN(TRIM(C372&amp;""))&gt;0,LEN(TRIM(E372&amp;""))&gt;0,ISNUMBER(F372)),O372,"")</f>
      </c>
      <c r="R372" s="0" t="n">
        <f>IF(O372=0,0,IF(COUNTIFS($Q$13:$Q$512,O372)&gt;0,MATCH(O372,$Q$13:$Q$512,0),0))</f>
        <v>0</v>
      </c>
      <c r="S372" s="0">
        <f>IF(AB372="","",IF(SUMPRODUCT(--('LÉEME'!$B$65:$B$86=AC372))=1,INDEX('LÉEME'!$C$65:$C$86,MATCH(AC372,'LÉEME'!$B$65:$B$86,0)),UPPER(TRIM(AB372))))</f>
      </c>
      <c r="T372" s="0" t="n">
        <f>IF(R372=0,0,IF(OR(AND(LEN(TRIM(B372&amp;""))&gt;0,UPPER(TRIM(B372&amp;""))&lt;&gt;UPPER(TRIM(INDEX($B$13:$B$512,R372)&amp;""))),AND(LEN(TRIM(C372&amp;""))&gt;0,UPPER(TRIM(C372&amp;""))&lt;&gt;UPPER(TRIM(INDEX($C$13:$C$512,R372)&amp;""))),AND(LEN(TRIM(E372&amp;""))&gt;0,S372&lt;&gt;INDEX($S$13:$S$512,R372)),AND(F372&lt;&gt;"",NOT(ISNUMBER(F372)))),1,IF(ISNUMBER(F372),IF(ABS(F372-INDEX($F$13:$F$512,R372))&gt;0.00000001,1,0),0)))</f>
        <v>0</v>
      </c>
      <c r="U372" s="0" t="n">
        <f>IF(P372="DIRECTA",IF(AND(ISNUMBER(G372),COUNTA(H372:J372)=0),1,0),IF(P372="DIMENSIONES",IF(AND(COUNT(G372:J372)&gt;0,COUNTA(G372:J372)=COUNT(G372:J372)),1,0),0))</f>
        <v>0</v>
      </c>
      <c r="V372" s="0" t="n">
        <f>IF(O372=0,0,IF(COUNTIFS($O$13:O372,O372)=1,1,0))</f>
        <v>0</v>
      </c>
      <c r="W372" s="0">
        <f>IF(V372=1,COUNTIFS($V$13:V372,1),"")</f>
      </c>
      <c r="X372" s="0">
        <f>IF(COUNTA(B372:L372)=0,"",IF(OR(NOT(IF(ISNUMBER($E$6),AND($E$6&gt;=0,$E$6&lt;=6,$E$6=INT($E$6)),FALSE)),O372=0,R372=0,T372&gt;0,AND(P372&lt;&gt;"DIMENSIONES",P372&lt;&gt;"DIRECTA",P372&lt;&gt;"SIN LÍNEAS",P372&lt;&gt;"CABECERA"),AND(OR(P372="DIRECTA",P372="DIMENSIONES"),U372=0),AND(OR(P372="SIN LÍNEAS",P372="CABECERA"),COUNTA(G372:J372)&gt;0)),2,IF(OR(P372="SIN LÍNEAS",Y372&gt;0,Z372&gt;0,AA372&gt;0,SUMPRODUCT(--('LÉEME'!$B$65:$B$86=AC372))&lt;&gt;1),1,0)))</f>
      </c>
      <c r="Y372" s="0" t="n">
        <f>IF(AND(P372="DIMENSIONES",S372="m²",COUNT(H372:J372)=3),1,0)</f>
        <v>0</v>
      </c>
      <c r="Z372" s="0" t="n">
        <f>IF(IF(ISNUMBER($E$6),AND($E$6&gt;=0,$E$6&lt;=6,$E$6=INT($E$6)),FALSE),IF(SUM(IF(ISNUMBER(F372),IF(ABS(F372-ROUND(F372,$E$6))&gt;0.00000001,1,0),0),IF(ISNUMBER(G372),IF(ABS(G372-ROUND(G372,$E$6))&gt;0.00000001,1,0),0),IF(ISNUMBER(H372),IF(ABS(H372-ROUND(H372,$E$6))&gt;0.00000001,1,0),0),IF(ISNUMBER(I372),IF(ABS(I372-ROUND(I372,$E$6))&gt;0.00000001,1,0),0),IF(ISNUMBER(J372),IF(ABS(J372-ROUND(J372,$E$6))&gt;0.00000001,1,0),0),IF(ISNUMBER(M372),IF(ABS(M372-ROUND(M372,$E$6))&gt;0.00000001,1,0),0))&gt;0,1,0),0)</f>
        <v>0</v>
      </c>
      <c r="AA372" s="0" t="n">
        <f>IF(COUNTA(B372:L372)=0,0,IF(OR(AND(ISNUMBER(F372),F372&lt;0),AND(U372=1,OR(SUM(IF(ISNUMBER(G372),IF(G372=0,1,0),0),IF(ISNUMBER(H372),IF(H372=0,1,0),0),IF(ISNUMBER(I372),IF(I372=0,1,0),0),IF(ISNUMBER(J372),IF(J372=0,1,0),0))&gt;0,COUNTIFS(G372:J372,"&lt;0")&gt;0)),AND(P372="DIMENSIONES",U372=1,OR(AND(S372="m",COUNT(H372:J372)&lt;&gt;1),AND(S372="m²",COUNT(H372:J372)&lt;&gt;2,Y372=0),AND(S372="m³",COUNT(H372:J372)&lt;&gt;3),AND(S372="ud",COUNT(H372:J372)&gt;0))),AND(P372="DIRECTA",OR(S372="m",S372="m²",S372="m³"))),1,0))</f>
        <v>0</v>
      </c>
      <c r="AB372" s="0">
        <f>IF(LEN(TRIM(E372&amp;""))&gt;0,E372,IF(R372&gt;0,INDEX($E$13:$E$512,R372),""))</f>
      </c>
      <c r="AC372" s="0">
        <f>UPPER(SUBSTITUTE(SUBSTITUTE(SUBSTITUTE(SUBSTITUTE(SUBSTITUTE(TRIM(AB372),"²","2"),"³","3"),"^",""),".","")," ",""))</f>
      </c>
    </row>
    <row r="373" ht="35" customHeight="1">
      <c r="B373" s="35"/>
      <c r="C373" s="35"/>
      <c r="D373" s="37"/>
      <c r="E373" s="35"/>
      <c r="F373" s="38"/>
      <c r="G373" s="38"/>
      <c r="H373" s="38"/>
      <c r="I373" s="38"/>
      <c r="J373" s="38"/>
      <c r="K373" s="35"/>
      <c r="L373" s="35"/>
      <c r="M373" s="39">
        <f>IF(U373&lt;&gt;1,"",IF(P373="DIRECTA",G373,IF(ISNUMBER(G373),G373,1)*IF(ISNUMBER(H373),H373,1)*IF(ISNUMBER(I373),I373,1)*IF(ISNUMBER(J373),J373,1)))</f>
      </c>
      <c r="N373" s="30">
        <f>IF(COUNTA(B373:L373)=0,"",IF(X373=0,IF(P373="CABECERA","VERDE · Fila descriptiva; la suma usa las líneas del ID","VERDE · Datos numéricos interpretables"),IF(X373=2,"ROJO · ","ÁMBAR · ")&amp;IF(NOT(IF(ISNUMBER($E$6),AND($E$6&gt;=0,$E$6&lt;=6,$E$6=INT($E$6)),FALSE)),"Indicamos entre 0 y 6 decimales en E6. ","")&amp;IF(O373=0,"Falta un ID numérico. ","")&amp;IF(R373=0,"Faltan capítulo, código, unidad o total numérico del ID. ","")&amp;IF(T373&gt;0,"Los datos o el total del ID se contradicen. ","")&amp;IF(AND(P373&lt;&gt;"DIMENSIONES",P373&lt;&gt;"DIRECTA",P373&lt;&gt;"SIN LÍNEAS",P373&lt;&gt;"CABECERA"),"Tipo de fila no reconocido. ","")&amp;IF(AND(OR(P373="SIN LÍNEAS",P373="CABECERA"),COUNTA(G373:J373)&gt;0),"La fila dice que no mide, pero contiene medidas. ","")&amp;IF(AND(OR(P373="DIRECTA",P373="DIMENSIONES"),U373=0),"Línea incompleta o con medidas no numéricas. ","")&amp;IF(P373="SIN LÍNEAS","No constan medidas de esta fila. ","")&amp;IF(Y373&gt;0,"Parece m³: tres dimensiones bajo m². ","")&amp;IF(AND(AB373&lt;&gt;"",SUMPRODUCT(--('LÉEME'!$B$65:$B$86=AC373))&lt;&gt;1),"Revisamos el significado de la unidad. ","")&amp;IF(Z373&gt;0,"Más precisión que los decimales indicados: cotejamos el original. ","")&amp;IF(AA373&gt;0,"Revisamos dimensiones, cantidad directa, ceros o deducción. ","")))</f>
      </c>
      <c r="O373" s="0" t="n">
        <f>IF(ISNUMBER(K373),IF(AND(K373&gt;0,K373=INT(K373),K373&lt;=999999),K373,0),0)</f>
        <v>0</v>
      </c>
      <c r="P373" s="0">
        <f>IF(COUNTA(B373:L373)=0,"",IF(L373="",IF(COUNTA(G373:J373)&gt;0,"DIMENSIONES","SIN LÍNEAS"),UPPER(TRIM(L373))))</f>
      </c>
      <c r="Q373" s="0">
        <f>IF(AND(O373&gt;0,LEN(TRIM(B373&amp;""))&gt;0,LEN(TRIM(C373&amp;""))&gt;0,LEN(TRIM(E373&amp;""))&gt;0,ISNUMBER(F373)),O373,"")</f>
      </c>
      <c r="R373" s="0" t="n">
        <f>IF(O373=0,0,IF(COUNTIFS($Q$13:$Q$512,O373)&gt;0,MATCH(O373,$Q$13:$Q$512,0),0))</f>
        <v>0</v>
      </c>
      <c r="S373" s="0">
        <f>IF(AB373="","",IF(SUMPRODUCT(--('LÉEME'!$B$65:$B$86=AC373))=1,INDEX('LÉEME'!$C$65:$C$86,MATCH(AC373,'LÉEME'!$B$65:$B$86,0)),UPPER(TRIM(AB373))))</f>
      </c>
      <c r="T373" s="0" t="n">
        <f>IF(R373=0,0,IF(OR(AND(LEN(TRIM(B373&amp;""))&gt;0,UPPER(TRIM(B373&amp;""))&lt;&gt;UPPER(TRIM(INDEX($B$13:$B$512,R373)&amp;""))),AND(LEN(TRIM(C373&amp;""))&gt;0,UPPER(TRIM(C373&amp;""))&lt;&gt;UPPER(TRIM(INDEX($C$13:$C$512,R373)&amp;""))),AND(LEN(TRIM(E373&amp;""))&gt;0,S373&lt;&gt;INDEX($S$13:$S$512,R373)),AND(F373&lt;&gt;"",NOT(ISNUMBER(F373)))),1,IF(ISNUMBER(F373),IF(ABS(F373-INDEX($F$13:$F$512,R373))&gt;0.00000001,1,0),0)))</f>
        <v>0</v>
      </c>
      <c r="U373" s="0" t="n">
        <f>IF(P373="DIRECTA",IF(AND(ISNUMBER(G373),COUNTA(H373:J373)=0),1,0),IF(P373="DIMENSIONES",IF(AND(COUNT(G373:J373)&gt;0,COUNTA(G373:J373)=COUNT(G373:J373)),1,0),0))</f>
        <v>0</v>
      </c>
      <c r="V373" s="0" t="n">
        <f>IF(O373=0,0,IF(COUNTIFS($O$13:O373,O373)=1,1,0))</f>
        <v>0</v>
      </c>
      <c r="W373" s="0">
        <f>IF(V373=1,COUNTIFS($V$13:V373,1),"")</f>
      </c>
      <c r="X373" s="0">
        <f>IF(COUNTA(B373:L373)=0,"",IF(OR(NOT(IF(ISNUMBER($E$6),AND($E$6&gt;=0,$E$6&lt;=6,$E$6=INT($E$6)),FALSE)),O373=0,R373=0,T373&gt;0,AND(P373&lt;&gt;"DIMENSIONES",P373&lt;&gt;"DIRECTA",P373&lt;&gt;"SIN LÍNEAS",P373&lt;&gt;"CABECERA"),AND(OR(P373="DIRECTA",P373="DIMENSIONES"),U373=0),AND(OR(P373="SIN LÍNEAS",P373="CABECERA"),COUNTA(G373:J373)&gt;0)),2,IF(OR(P373="SIN LÍNEAS",Y373&gt;0,Z373&gt;0,AA373&gt;0,SUMPRODUCT(--('LÉEME'!$B$65:$B$86=AC373))&lt;&gt;1),1,0)))</f>
      </c>
      <c r="Y373" s="0" t="n">
        <f>IF(AND(P373="DIMENSIONES",S373="m²",COUNT(H373:J373)=3),1,0)</f>
        <v>0</v>
      </c>
      <c r="Z373" s="0" t="n">
        <f>IF(IF(ISNUMBER($E$6),AND($E$6&gt;=0,$E$6&lt;=6,$E$6=INT($E$6)),FALSE),IF(SUM(IF(ISNUMBER(F373),IF(ABS(F373-ROUND(F373,$E$6))&gt;0.00000001,1,0),0),IF(ISNUMBER(G373),IF(ABS(G373-ROUND(G373,$E$6))&gt;0.00000001,1,0),0),IF(ISNUMBER(H373),IF(ABS(H373-ROUND(H373,$E$6))&gt;0.00000001,1,0),0),IF(ISNUMBER(I373),IF(ABS(I373-ROUND(I373,$E$6))&gt;0.00000001,1,0),0),IF(ISNUMBER(J373),IF(ABS(J373-ROUND(J373,$E$6))&gt;0.00000001,1,0),0),IF(ISNUMBER(M373),IF(ABS(M373-ROUND(M373,$E$6))&gt;0.00000001,1,0),0))&gt;0,1,0),0)</f>
        <v>0</v>
      </c>
      <c r="AA373" s="0" t="n">
        <f>IF(COUNTA(B373:L373)=0,0,IF(OR(AND(ISNUMBER(F373),F373&lt;0),AND(U373=1,OR(SUM(IF(ISNUMBER(G373),IF(G373=0,1,0),0),IF(ISNUMBER(H373),IF(H373=0,1,0),0),IF(ISNUMBER(I373),IF(I373=0,1,0),0),IF(ISNUMBER(J373),IF(J373=0,1,0),0))&gt;0,COUNTIFS(G373:J373,"&lt;0")&gt;0)),AND(P373="DIMENSIONES",U373=1,OR(AND(S373="m",COUNT(H373:J373)&lt;&gt;1),AND(S373="m²",COUNT(H373:J373)&lt;&gt;2,Y373=0),AND(S373="m³",COUNT(H373:J373)&lt;&gt;3),AND(S373="ud",COUNT(H373:J373)&gt;0))),AND(P373="DIRECTA",OR(S373="m",S373="m²",S373="m³"))),1,0))</f>
        <v>0</v>
      </c>
      <c r="AB373" s="0">
        <f>IF(LEN(TRIM(E373&amp;""))&gt;0,E373,IF(R373&gt;0,INDEX($E$13:$E$512,R373),""))</f>
      </c>
      <c r="AC373" s="0">
        <f>UPPER(SUBSTITUTE(SUBSTITUTE(SUBSTITUTE(SUBSTITUTE(SUBSTITUTE(TRIM(AB373),"²","2"),"³","3"),"^",""),".","")," ",""))</f>
      </c>
    </row>
    <row r="374" ht="35" customHeight="1">
      <c r="B374" s="35"/>
      <c r="C374" s="35"/>
      <c r="D374" s="37"/>
      <c r="E374" s="35"/>
      <c r="F374" s="38"/>
      <c r="G374" s="38"/>
      <c r="H374" s="38"/>
      <c r="I374" s="38"/>
      <c r="J374" s="38"/>
      <c r="K374" s="35"/>
      <c r="L374" s="35"/>
      <c r="M374" s="39">
        <f>IF(U374&lt;&gt;1,"",IF(P374="DIRECTA",G374,IF(ISNUMBER(G374),G374,1)*IF(ISNUMBER(H374),H374,1)*IF(ISNUMBER(I374),I374,1)*IF(ISNUMBER(J374),J374,1)))</f>
      </c>
      <c r="N374" s="30">
        <f>IF(COUNTA(B374:L374)=0,"",IF(X374=0,IF(P374="CABECERA","VERDE · Fila descriptiva; la suma usa las líneas del ID","VERDE · Datos numéricos interpretables"),IF(X374=2,"ROJO · ","ÁMBAR · ")&amp;IF(NOT(IF(ISNUMBER($E$6),AND($E$6&gt;=0,$E$6&lt;=6,$E$6=INT($E$6)),FALSE)),"Indicamos entre 0 y 6 decimales en E6. ","")&amp;IF(O374=0,"Falta un ID numérico. ","")&amp;IF(R374=0,"Faltan capítulo, código, unidad o total numérico del ID. ","")&amp;IF(T374&gt;0,"Los datos o el total del ID se contradicen. ","")&amp;IF(AND(P374&lt;&gt;"DIMENSIONES",P374&lt;&gt;"DIRECTA",P374&lt;&gt;"SIN LÍNEAS",P374&lt;&gt;"CABECERA"),"Tipo de fila no reconocido. ","")&amp;IF(AND(OR(P374="SIN LÍNEAS",P374="CABECERA"),COUNTA(G374:J374)&gt;0),"La fila dice que no mide, pero contiene medidas. ","")&amp;IF(AND(OR(P374="DIRECTA",P374="DIMENSIONES"),U374=0),"Línea incompleta o con medidas no numéricas. ","")&amp;IF(P374="SIN LÍNEAS","No constan medidas de esta fila. ","")&amp;IF(Y374&gt;0,"Parece m³: tres dimensiones bajo m². ","")&amp;IF(AND(AB374&lt;&gt;"",SUMPRODUCT(--('LÉEME'!$B$65:$B$86=AC374))&lt;&gt;1),"Revisamos el significado de la unidad. ","")&amp;IF(Z374&gt;0,"Más precisión que los decimales indicados: cotejamos el original. ","")&amp;IF(AA374&gt;0,"Revisamos dimensiones, cantidad directa, ceros o deducción. ","")))</f>
      </c>
      <c r="O374" s="0" t="n">
        <f>IF(ISNUMBER(K374),IF(AND(K374&gt;0,K374=INT(K374),K374&lt;=999999),K374,0),0)</f>
        <v>0</v>
      </c>
      <c r="P374" s="0">
        <f>IF(COUNTA(B374:L374)=0,"",IF(L374="",IF(COUNTA(G374:J374)&gt;0,"DIMENSIONES","SIN LÍNEAS"),UPPER(TRIM(L374))))</f>
      </c>
      <c r="Q374" s="0">
        <f>IF(AND(O374&gt;0,LEN(TRIM(B374&amp;""))&gt;0,LEN(TRIM(C374&amp;""))&gt;0,LEN(TRIM(E374&amp;""))&gt;0,ISNUMBER(F374)),O374,"")</f>
      </c>
      <c r="R374" s="0" t="n">
        <f>IF(O374=0,0,IF(COUNTIFS($Q$13:$Q$512,O374)&gt;0,MATCH(O374,$Q$13:$Q$512,0),0))</f>
        <v>0</v>
      </c>
      <c r="S374" s="0">
        <f>IF(AB374="","",IF(SUMPRODUCT(--('LÉEME'!$B$65:$B$86=AC374))=1,INDEX('LÉEME'!$C$65:$C$86,MATCH(AC374,'LÉEME'!$B$65:$B$86,0)),UPPER(TRIM(AB374))))</f>
      </c>
      <c r="T374" s="0" t="n">
        <f>IF(R374=0,0,IF(OR(AND(LEN(TRIM(B374&amp;""))&gt;0,UPPER(TRIM(B374&amp;""))&lt;&gt;UPPER(TRIM(INDEX($B$13:$B$512,R374)&amp;""))),AND(LEN(TRIM(C374&amp;""))&gt;0,UPPER(TRIM(C374&amp;""))&lt;&gt;UPPER(TRIM(INDEX($C$13:$C$512,R374)&amp;""))),AND(LEN(TRIM(E374&amp;""))&gt;0,S374&lt;&gt;INDEX($S$13:$S$512,R374)),AND(F374&lt;&gt;"",NOT(ISNUMBER(F374)))),1,IF(ISNUMBER(F374),IF(ABS(F374-INDEX($F$13:$F$512,R374))&gt;0.00000001,1,0),0)))</f>
        <v>0</v>
      </c>
      <c r="U374" s="0" t="n">
        <f>IF(P374="DIRECTA",IF(AND(ISNUMBER(G374),COUNTA(H374:J374)=0),1,0),IF(P374="DIMENSIONES",IF(AND(COUNT(G374:J374)&gt;0,COUNTA(G374:J374)=COUNT(G374:J374)),1,0),0))</f>
        <v>0</v>
      </c>
      <c r="V374" s="0" t="n">
        <f>IF(O374=0,0,IF(COUNTIFS($O$13:O374,O374)=1,1,0))</f>
        <v>0</v>
      </c>
      <c r="W374" s="0">
        <f>IF(V374=1,COUNTIFS($V$13:V374,1),"")</f>
      </c>
      <c r="X374" s="0">
        <f>IF(COUNTA(B374:L374)=0,"",IF(OR(NOT(IF(ISNUMBER($E$6),AND($E$6&gt;=0,$E$6&lt;=6,$E$6=INT($E$6)),FALSE)),O374=0,R374=0,T374&gt;0,AND(P374&lt;&gt;"DIMENSIONES",P374&lt;&gt;"DIRECTA",P374&lt;&gt;"SIN LÍNEAS",P374&lt;&gt;"CABECERA"),AND(OR(P374="DIRECTA",P374="DIMENSIONES"),U374=0),AND(OR(P374="SIN LÍNEAS",P374="CABECERA"),COUNTA(G374:J374)&gt;0)),2,IF(OR(P374="SIN LÍNEAS",Y374&gt;0,Z374&gt;0,AA374&gt;0,SUMPRODUCT(--('LÉEME'!$B$65:$B$86=AC374))&lt;&gt;1),1,0)))</f>
      </c>
      <c r="Y374" s="0" t="n">
        <f>IF(AND(P374="DIMENSIONES",S374="m²",COUNT(H374:J374)=3),1,0)</f>
        <v>0</v>
      </c>
      <c r="Z374" s="0" t="n">
        <f>IF(IF(ISNUMBER($E$6),AND($E$6&gt;=0,$E$6&lt;=6,$E$6=INT($E$6)),FALSE),IF(SUM(IF(ISNUMBER(F374),IF(ABS(F374-ROUND(F374,$E$6))&gt;0.00000001,1,0),0),IF(ISNUMBER(G374),IF(ABS(G374-ROUND(G374,$E$6))&gt;0.00000001,1,0),0),IF(ISNUMBER(H374),IF(ABS(H374-ROUND(H374,$E$6))&gt;0.00000001,1,0),0),IF(ISNUMBER(I374),IF(ABS(I374-ROUND(I374,$E$6))&gt;0.00000001,1,0),0),IF(ISNUMBER(J374),IF(ABS(J374-ROUND(J374,$E$6))&gt;0.00000001,1,0),0),IF(ISNUMBER(M374),IF(ABS(M374-ROUND(M374,$E$6))&gt;0.00000001,1,0),0))&gt;0,1,0),0)</f>
        <v>0</v>
      </c>
      <c r="AA374" s="0" t="n">
        <f>IF(COUNTA(B374:L374)=0,0,IF(OR(AND(ISNUMBER(F374),F374&lt;0),AND(U374=1,OR(SUM(IF(ISNUMBER(G374),IF(G374=0,1,0),0),IF(ISNUMBER(H374),IF(H374=0,1,0),0),IF(ISNUMBER(I374),IF(I374=0,1,0),0),IF(ISNUMBER(J374),IF(J374=0,1,0),0))&gt;0,COUNTIFS(G374:J374,"&lt;0")&gt;0)),AND(P374="DIMENSIONES",U374=1,OR(AND(S374="m",COUNT(H374:J374)&lt;&gt;1),AND(S374="m²",COUNT(H374:J374)&lt;&gt;2,Y374=0),AND(S374="m³",COUNT(H374:J374)&lt;&gt;3),AND(S374="ud",COUNT(H374:J374)&gt;0))),AND(P374="DIRECTA",OR(S374="m",S374="m²",S374="m³"))),1,0))</f>
        <v>0</v>
      </c>
      <c r="AB374" s="0">
        <f>IF(LEN(TRIM(E374&amp;""))&gt;0,E374,IF(R374&gt;0,INDEX($E$13:$E$512,R374),""))</f>
      </c>
      <c r="AC374" s="0">
        <f>UPPER(SUBSTITUTE(SUBSTITUTE(SUBSTITUTE(SUBSTITUTE(SUBSTITUTE(TRIM(AB374),"²","2"),"³","3"),"^",""),".","")," ",""))</f>
      </c>
    </row>
    <row r="375" ht="35" customHeight="1">
      <c r="B375" s="35"/>
      <c r="C375" s="35"/>
      <c r="D375" s="37"/>
      <c r="E375" s="35"/>
      <c r="F375" s="38"/>
      <c r="G375" s="38"/>
      <c r="H375" s="38"/>
      <c r="I375" s="38"/>
      <c r="J375" s="38"/>
      <c r="K375" s="35"/>
      <c r="L375" s="35"/>
      <c r="M375" s="39">
        <f>IF(U375&lt;&gt;1,"",IF(P375="DIRECTA",G375,IF(ISNUMBER(G375),G375,1)*IF(ISNUMBER(H375),H375,1)*IF(ISNUMBER(I375),I375,1)*IF(ISNUMBER(J375),J375,1)))</f>
      </c>
      <c r="N375" s="30">
        <f>IF(COUNTA(B375:L375)=0,"",IF(X375=0,IF(P375="CABECERA","VERDE · Fila descriptiva; la suma usa las líneas del ID","VERDE · Datos numéricos interpretables"),IF(X375=2,"ROJO · ","ÁMBAR · ")&amp;IF(NOT(IF(ISNUMBER($E$6),AND($E$6&gt;=0,$E$6&lt;=6,$E$6=INT($E$6)),FALSE)),"Indicamos entre 0 y 6 decimales en E6. ","")&amp;IF(O375=0,"Falta un ID numérico. ","")&amp;IF(R375=0,"Faltan capítulo, código, unidad o total numérico del ID. ","")&amp;IF(T375&gt;0,"Los datos o el total del ID se contradicen. ","")&amp;IF(AND(P375&lt;&gt;"DIMENSIONES",P375&lt;&gt;"DIRECTA",P375&lt;&gt;"SIN LÍNEAS",P375&lt;&gt;"CABECERA"),"Tipo de fila no reconocido. ","")&amp;IF(AND(OR(P375="SIN LÍNEAS",P375="CABECERA"),COUNTA(G375:J375)&gt;0),"La fila dice que no mide, pero contiene medidas. ","")&amp;IF(AND(OR(P375="DIRECTA",P375="DIMENSIONES"),U375=0),"Línea incompleta o con medidas no numéricas. ","")&amp;IF(P375="SIN LÍNEAS","No constan medidas de esta fila. ","")&amp;IF(Y375&gt;0,"Parece m³: tres dimensiones bajo m². ","")&amp;IF(AND(AB375&lt;&gt;"",SUMPRODUCT(--('LÉEME'!$B$65:$B$86=AC375))&lt;&gt;1),"Revisamos el significado de la unidad. ","")&amp;IF(Z375&gt;0,"Más precisión que los decimales indicados: cotejamos el original. ","")&amp;IF(AA375&gt;0,"Revisamos dimensiones, cantidad directa, ceros o deducción. ","")))</f>
      </c>
      <c r="O375" s="0" t="n">
        <f>IF(ISNUMBER(K375),IF(AND(K375&gt;0,K375=INT(K375),K375&lt;=999999),K375,0),0)</f>
        <v>0</v>
      </c>
      <c r="P375" s="0">
        <f>IF(COUNTA(B375:L375)=0,"",IF(L375="",IF(COUNTA(G375:J375)&gt;0,"DIMENSIONES","SIN LÍNEAS"),UPPER(TRIM(L375))))</f>
      </c>
      <c r="Q375" s="0">
        <f>IF(AND(O375&gt;0,LEN(TRIM(B375&amp;""))&gt;0,LEN(TRIM(C375&amp;""))&gt;0,LEN(TRIM(E375&amp;""))&gt;0,ISNUMBER(F375)),O375,"")</f>
      </c>
      <c r="R375" s="0" t="n">
        <f>IF(O375=0,0,IF(COUNTIFS($Q$13:$Q$512,O375)&gt;0,MATCH(O375,$Q$13:$Q$512,0),0))</f>
        <v>0</v>
      </c>
      <c r="S375" s="0">
        <f>IF(AB375="","",IF(SUMPRODUCT(--('LÉEME'!$B$65:$B$86=AC375))=1,INDEX('LÉEME'!$C$65:$C$86,MATCH(AC375,'LÉEME'!$B$65:$B$86,0)),UPPER(TRIM(AB375))))</f>
      </c>
      <c r="T375" s="0" t="n">
        <f>IF(R375=0,0,IF(OR(AND(LEN(TRIM(B375&amp;""))&gt;0,UPPER(TRIM(B375&amp;""))&lt;&gt;UPPER(TRIM(INDEX($B$13:$B$512,R375)&amp;""))),AND(LEN(TRIM(C375&amp;""))&gt;0,UPPER(TRIM(C375&amp;""))&lt;&gt;UPPER(TRIM(INDEX($C$13:$C$512,R375)&amp;""))),AND(LEN(TRIM(E375&amp;""))&gt;0,S375&lt;&gt;INDEX($S$13:$S$512,R375)),AND(F375&lt;&gt;"",NOT(ISNUMBER(F375)))),1,IF(ISNUMBER(F375),IF(ABS(F375-INDEX($F$13:$F$512,R375))&gt;0.00000001,1,0),0)))</f>
        <v>0</v>
      </c>
      <c r="U375" s="0" t="n">
        <f>IF(P375="DIRECTA",IF(AND(ISNUMBER(G375),COUNTA(H375:J375)=0),1,0),IF(P375="DIMENSIONES",IF(AND(COUNT(G375:J375)&gt;0,COUNTA(G375:J375)=COUNT(G375:J375)),1,0),0))</f>
        <v>0</v>
      </c>
      <c r="V375" s="0" t="n">
        <f>IF(O375=0,0,IF(COUNTIFS($O$13:O375,O375)=1,1,0))</f>
        <v>0</v>
      </c>
      <c r="W375" s="0">
        <f>IF(V375=1,COUNTIFS($V$13:V375,1),"")</f>
      </c>
      <c r="X375" s="0">
        <f>IF(COUNTA(B375:L375)=0,"",IF(OR(NOT(IF(ISNUMBER($E$6),AND($E$6&gt;=0,$E$6&lt;=6,$E$6=INT($E$6)),FALSE)),O375=0,R375=0,T375&gt;0,AND(P375&lt;&gt;"DIMENSIONES",P375&lt;&gt;"DIRECTA",P375&lt;&gt;"SIN LÍNEAS",P375&lt;&gt;"CABECERA"),AND(OR(P375="DIRECTA",P375="DIMENSIONES"),U375=0),AND(OR(P375="SIN LÍNEAS",P375="CABECERA"),COUNTA(G375:J375)&gt;0)),2,IF(OR(P375="SIN LÍNEAS",Y375&gt;0,Z375&gt;0,AA375&gt;0,SUMPRODUCT(--('LÉEME'!$B$65:$B$86=AC375))&lt;&gt;1),1,0)))</f>
      </c>
      <c r="Y375" s="0" t="n">
        <f>IF(AND(P375="DIMENSIONES",S375="m²",COUNT(H375:J375)=3),1,0)</f>
        <v>0</v>
      </c>
      <c r="Z375" s="0" t="n">
        <f>IF(IF(ISNUMBER($E$6),AND($E$6&gt;=0,$E$6&lt;=6,$E$6=INT($E$6)),FALSE),IF(SUM(IF(ISNUMBER(F375),IF(ABS(F375-ROUND(F375,$E$6))&gt;0.00000001,1,0),0),IF(ISNUMBER(G375),IF(ABS(G375-ROUND(G375,$E$6))&gt;0.00000001,1,0),0),IF(ISNUMBER(H375),IF(ABS(H375-ROUND(H375,$E$6))&gt;0.00000001,1,0),0),IF(ISNUMBER(I375),IF(ABS(I375-ROUND(I375,$E$6))&gt;0.00000001,1,0),0),IF(ISNUMBER(J375),IF(ABS(J375-ROUND(J375,$E$6))&gt;0.00000001,1,0),0),IF(ISNUMBER(M375),IF(ABS(M375-ROUND(M375,$E$6))&gt;0.00000001,1,0),0))&gt;0,1,0),0)</f>
        <v>0</v>
      </c>
      <c r="AA375" s="0" t="n">
        <f>IF(COUNTA(B375:L375)=0,0,IF(OR(AND(ISNUMBER(F375),F375&lt;0),AND(U375=1,OR(SUM(IF(ISNUMBER(G375),IF(G375=0,1,0),0),IF(ISNUMBER(H375),IF(H375=0,1,0),0),IF(ISNUMBER(I375),IF(I375=0,1,0),0),IF(ISNUMBER(J375),IF(J375=0,1,0),0))&gt;0,COUNTIFS(G375:J375,"&lt;0")&gt;0)),AND(P375="DIMENSIONES",U375=1,OR(AND(S375="m",COUNT(H375:J375)&lt;&gt;1),AND(S375="m²",COUNT(H375:J375)&lt;&gt;2,Y375=0),AND(S375="m³",COUNT(H375:J375)&lt;&gt;3),AND(S375="ud",COUNT(H375:J375)&gt;0))),AND(P375="DIRECTA",OR(S375="m",S375="m²",S375="m³"))),1,0))</f>
        <v>0</v>
      </c>
      <c r="AB375" s="0">
        <f>IF(LEN(TRIM(E375&amp;""))&gt;0,E375,IF(R375&gt;0,INDEX($E$13:$E$512,R375),""))</f>
      </c>
      <c r="AC375" s="0">
        <f>UPPER(SUBSTITUTE(SUBSTITUTE(SUBSTITUTE(SUBSTITUTE(SUBSTITUTE(TRIM(AB375),"²","2"),"³","3"),"^",""),".","")," ",""))</f>
      </c>
    </row>
    <row r="376" ht="35" customHeight="1">
      <c r="B376" s="35"/>
      <c r="C376" s="35"/>
      <c r="D376" s="37"/>
      <c r="E376" s="35"/>
      <c r="F376" s="38"/>
      <c r="G376" s="38"/>
      <c r="H376" s="38"/>
      <c r="I376" s="38"/>
      <c r="J376" s="38"/>
      <c r="K376" s="35"/>
      <c r="L376" s="35"/>
      <c r="M376" s="39">
        <f>IF(U376&lt;&gt;1,"",IF(P376="DIRECTA",G376,IF(ISNUMBER(G376),G376,1)*IF(ISNUMBER(H376),H376,1)*IF(ISNUMBER(I376),I376,1)*IF(ISNUMBER(J376),J376,1)))</f>
      </c>
      <c r="N376" s="30">
        <f>IF(COUNTA(B376:L376)=0,"",IF(X376=0,IF(P376="CABECERA","VERDE · Fila descriptiva; la suma usa las líneas del ID","VERDE · Datos numéricos interpretables"),IF(X376=2,"ROJO · ","ÁMBAR · ")&amp;IF(NOT(IF(ISNUMBER($E$6),AND($E$6&gt;=0,$E$6&lt;=6,$E$6=INT($E$6)),FALSE)),"Indicamos entre 0 y 6 decimales en E6. ","")&amp;IF(O376=0,"Falta un ID numérico. ","")&amp;IF(R376=0,"Faltan capítulo, código, unidad o total numérico del ID. ","")&amp;IF(T376&gt;0,"Los datos o el total del ID se contradicen. ","")&amp;IF(AND(P376&lt;&gt;"DIMENSIONES",P376&lt;&gt;"DIRECTA",P376&lt;&gt;"SIN LÍNEAS",P376&lt;&gt;"CABECERA"),"Tipo de fila no reconocido. ","")&amp;IF(AND(OR(P376="SIN LÍNEAS",P376="CABECERA"),COUNTA(G376:J376)&gt;0),"La fila dice que no mide, pero contiene medidas. ","")&amp;IF(AND(OR(P376="DIRECTA",P376="DIMENSIONES"),U376=0),"Línea incompleta o con medidas no numéricas. ","")&amp;IF(P376="SIN LÍNEAS","No constan medidas de esta fila. ","")&amp;IF(Y376&gt;0,"Parece m³: tres dimensiones bajo m². ","")&amp;IF(AND(AB376&lt;&gt;"",SUMPRODUCT(--('LÉEME'!$B$65:$B$86=AC376))&lt;&gt;1),"Revisamos el significado de la unidad. ","")&amp;IF(Z376&gt;0,"Más precisión que los decimales indicados: cotejamos el original. ","")&amp;IF(AA376&gt;0,"Revisamos dimensiones, cantidad directa, ceros o deducción. ","")))</f>
      </c>
      <c r="O376" s="0" t="n">
        <f>IF(ISNUMBER(K376),IF(AND(K376&gt;0,K376=INT(K376),K376&lt;=999999),K376,0),0)</f>
        <v>0</v>
      </c>
      <c r="P376" s="0">
        <f>IF(COUNTA(B376:L376)=0,"",IF(L376="",IF(COUNTA(G376:J376)&gt;0,"DIMENSIONES","SIN LÍNEAS"),UPPER(TRIM(L376))))</f>
      </c>
      <c r="Q376" s="0">
        <f>IF(AND(O376&gt;0,LEN(TRIM(B376&amp;""))&gt;0,LEN(TRIM(C376&amp;""))&gt;0,LEN(TRIM(E376&amp;""))&gt;0,ISNUMBER(F376)),O376,"")</f>
      </c>
      <c r="R376" s="0" t="n">
        <f>IF(O376=0,0,IF(COUNTIFS($Q$13:$Q$512,O376)&gt;0,MATCH(O376,$Q$13:$Q$512,0),0))</f>
        <v>0</v>
      </c>
      <c r="S376" s="0">
        <f>IF(AB376="","",IF(SUMPRODUCT(--('LÉEME'!$B$65:$B$86=AC376))=1,INDEX('LÉEME'!$C$65:$C$86,MATCH(AC376,'LÉEME'!$B$65:$B$86,0)),UPPER(TRIM(AB376))))</f>
      </c>
      <c r="T376" s="0" t="n">
        <f>IF(R376=0,0,IF(OR(AND(LEN(TRIM(B376&amp;""))&gt;0,UPPER(TRIM(B376&amp;""))&lt;&gt;UPPER(TRIM(INDEX($B$13:$B$512,R376)&amp;""))),AND(LEN(TRIM(C376&amp;""))&gt;0,UPPER(TRIM(C376&amp;""))&lt;&gt;UPPER(TRIM(INDEX($C$13:$C$512,R376)&amp;""))),AND(LEN(TRIM(E376&amp;""))&gt;0,S376&lt;&gt;INDEX($S$13:$S$512,R376)),AND(F376&lt;&gt;"",NOT(ISNUMBER(F376)))),1,IF(ISNUMBER(F376),IF(ABS(F376-INDEX($F$13:$F$512,R376))&gt;0.00000001,1,0),0)))</f>
        <v>0</v>
      </c>
      <c r="U376" s="0" t="n">
        <f>IF(P376="DIRECTA",IF(AND(ISNUMBER(G376),COUNTA(H376:J376)=0),1,0),IF(P376="DIMENSIONES",IF(AND(COUNT(G376:J376)&gt;0,COUNTA(G376:J376)=COUNT(G376:J376)),1,0),0))</f>
        <v>0</v>
      </c>
      <c r="V376" s="0" t="n">
        <f>IF(O376=0,0,IF(COUNTIFS($O$13:O376,O376)=1,1,0))</f>
        <v>0</v>
      </c>
      <c r="W376" s="0">
        <f>IF(V376=1,COUNTIFS($V$13:V376,1),"")</f>
      </c>
      <c r="X376" s="0">
        <f>IF(COUNTA(B376:L376)=0,"",IF(OR(NOT(IF(ISNUMBER($E$6),AND($E$6&gt;=0,$E$6&lt;=6,$E$6=INT($E$6)),FALSE)),O376=0,R376=0,T376&gt;0,AND(P376&lt;&gt;"DIMENSIONES",P376&lt;&gt;"DIRECTA",P376&lt;&gt;"SIN LÍNEAS",P376&lt;&gt;"CABECERA"),AND(OR(P376="DIRECTA",P376="DIMENSIONES"),U376=0),AND(OR(P376="SIN LÍNEAS",P376="CABECERA"),COUNTA(G376:J376)&gt;0)),2,IF(OR(P376="SIN LÍNEAS",Y376&gt;0,Z376&gt;0,AA376&gt;0,SUMPRODUCT(--('LÉEME'!$B$65:$B$86=AC376))&lt;&gt;1),1,0)))</f>
      </c>
      <c r="Y376" s="0" t="n">
        <f>IF(AND(P376="DIMENSIONES",S376="m²",COUNT(H376:J376)=3),1,0)</f>
        <v>0</v>
      </c>
      <c r="Z376" s="0" t="n">
        <f>IF(IF(ISNUMBER($E$6),AND($E$6&gt;=0,$E$6&lt;=6,$E$6=INT($E$6)),FALSE),IF(SUM(IF(ISNUMBER(F376),IF(ABS(F376-ROUND(F376,$E$6))&gt;0.00000001,1,0),0),IF(ISNUMBER(G376),IF(ABS(G376-ROUND(G376,$E$6))&gt;0.00000001,1,0),0),IF(ISNUMBER(H376),IF(ABS(H376-ROUND(H376,$E$6))&gt;0.00000001,1,0),0),IF(ISNUMBER(I376),IF(ABS(I376-ROUND(I376,$E$6))&gt;0.00000001,1,0),0),IF(ISNUMBER(J376),IF(ABS(J376-ROUND(J376,$E$6))&gt;0.00000001,1,0),0),IF(ISNUMBER(M376),IF(ABS(M376-ROUND(M376,$E$6))&gt;0.00000001,1,0),0))&gt;0,1,0),0)</f>
        <v>0</v>
      </c>
      <c r="AA376" s="0" t="n">
        <f>IF(COUNTA(B376:L376)=0,0,IF(OR(AND(ISNUMBER(F376),F376&lt;0),AND(U376=1,OR(SUM(IF(ISNUMBER(G376),IF(G376=0,1,0),0),IF(ISNUMBER(H376),IF(H376=0,1,0),0),IF(ISNUMBER(I376),IF(I376=0,1,0),0),IF(ISNUMBER(J376),IF(J376=0,1,0),0))&gt;0,COUNTIFS(G376:J376,"&lt;0")&gt;0)),AND(P376="DIMENSIONES",U376=1,OR(AND(S376="m",COUNT(H376:J376)&lt;&gt;1),AND(S376="m²",COUNT(H376:J376)&lt;&gt;2,Y376=0),AND(S376="m³",COUNT(H376:J376)&lt;&gt;3),AND(S376="ud",COUNT(H376:J376)&gt;0))),AND(P376="DIRECTA",OR(S376="m",S376="m²",S376="m³"))),1,0))</f>
        <v>0</v>
      </c>
      <c r="AB376" s="0">
        <f>IF(LEN(TRIM(E376&amp;""))&gt;0,E376,IF(R376&gt;0,INDEX($E$13:$E$512,R376),""))</f>
      </c>
      <c r="AC376" s="0">
        <f>UPPER(SUBSTITUTE(SUBSTITUTE(SUBSTITUTE(SUBSTITUTE(SUBSTITUTE(TRIM(AB376),"²","2"),"³","3"),"^",""),".","")," ",""))</f>
      </c>
    </row>
    <row r="377" ht="35" customHeight="1">
      <c r="B377" s="35"/>
      <c r="C377" s="35"/>
      <c r="D377" s="37"/>
      <c r="E377" s="35"/>
      <c r="F377" s="38"/>
      <c r="G377" s="38"/>
      <c r="H377" s="38"/>
      <c r="I377" s="38"/>
      <c r="J377" s="38"/>
      <c r="K377" s="35"/>
      <c r="L377" s="35"/>
      <c r="M377" s="39">
        <f>IF(U377&lt;&gt;1,"",IF(P377="DIRECTA",G377,IF(ISNUMBER(G377),G377,1)*IF(ISNUMBER(H377),H377,1)*IF(ISNUMBER(I377),I377,1)*IF(ISNUMBER(J377),J377,1)))</f>
      </c>
      <c r="N377" s="30">
        <f>IF(COUNTA(B377:L377)=0,"",IF(X377=0,IF(P377="CABECERA","VERDE · Fila descriptiva; la suma usa las líneas del ID","VERDE · Datos numéricos interpretables"),IF(X377=2,"ROJO · ","ÁMBAR · ")&amp;IF(NOT(IF(ISNUMBER($E$6),AND($E$6&gt;=0,$E$6&lt;=6,$E$6=INT($E$6)),FALSE)),"Indicamos entre 0 y 6 decimales en E6. ","")&amp;IF(O377=0,"Falta un ID numérico. ","")&amp;IF(R377=0,"Faltan capítulo, código, unidad o total numérico del ID. ","")&amp;IF(T377&gt;0,"Los datos o el total del ID se contradicen. ","")&amp;IF(AND(P377&lt;&gt;"DIMENSIONES",P377&lt;&gt;"DIRECTA",P377&lt;&gt;"SIN LÍNEAS",P377&lt;&gt;"CABECERA"),"Tipo de fila no reconocido. ","")&amp;IF(AND(OR(P377="SIN LÍNEAS",P377="CABECERA"),COUNTA(G377:J377)&gt;0),"La fila dice que no mide, pero contiene medidas. ","")&amp;IF(AND(OR(P377="DIRECTA",P377="DIMENSIONES"),U377=0),"Línea incompleta o con medidas no numéricas. ","")&amp;IF(P377="SIN LÍNEAS","No constan medidas de esta fila. ","")&amp;IF(Y377&gt;0,"Parece m³: tres dimensiones bajo m². ","")&amp;IF(AND(AB377&lt;&gt;"",SUMPRODUCT(--('LÉEME'!$B$65:$B$86=AC377))&lt;&gt;1),"Revisamos el significado de la unidad. ","")&amp;IF(Z377&gt;0,"Más precisión que los decimales indicados: cotejamos el original. ","")&amp;IF(AA377&gt;0,"Revisamos dimensiones, cantidad directa, ceros o deducción. ","")))</f>
      </c>
      <c r="O377" s="0" t="n">
        <f>IF(ISNUMBER(K377),IF(AND(K377&gt;0,K377=INT(K377),K377&lt;=999999),K377,0),0)</f>
        <v>0</v>
      </c>
      <c r="P377" s="0">
        <f>IF(COUNTA(B377:L377)=0,"",IF(L377="",IF(COUNTA(G377:J377)&gt;0,"DIMENSIONES","SIN LÍNEAS"),UPPER(TRIM(L377))))</f>
      </c>
      <c r="Q377" s="0">
        <f>IF(AND(O377&gt;0,LEN(TRIM(B377&amp;""))&gt;0,LEN(TRIM(C377&amp;""))&gt;0,LEN(TRIM(E377&amp;""))&gt;0,ISNUMBER(F377)),O377,"")</f>
      </c>
      <c r="R377" s="0" t="n">
        <f>IF(O377=0,0,IF(COUNTIFS($Q$13:$Q$512,O377)&gt;0,MATCH(O377,$Q$13:$Q$512,0),0))</f>
        <v>0</v>
      </c>
      <c r="S377" s="0">
        <f>IF(AB377="","",IF(SUMPRODUCT(--('LÉEME'!$B$65:$B$86=AC377))=1,INDEX('LÉEME'!$C$65:$C$86,MATCH(AC377,'LÉEME'!$B$65:$B$86,0)),UPPER(TRIM(AB377))))</f>
      </c>
      <c r="T377" s="0" t="n">
        <f>IF(R377=0,0,IF(OR(AND(LEN(TRIM(B377&amp;""))&gt;0,UPPER(TRIM(B377&amp;""))&lt;&gt;UPPER(TRIM(INDEX($B$13:$B$512,R377)&amp;""))),AND(LEN(TRIM(C377&amp;""))&gt;0,UPPER(TRIM(C377&amp;""))&lt;&gt;UPPER(TRIM(INDEX($C$13:$C$512,R377)&amp;""))),AND(LEN(TRIM(E377&amp;""))&gt;0,S377&lt;&gt;INDEX($S$13:$S$512,R377)),AND(F377&lt;&gt;"",NOT(ISNUMBER(F377)))),1,IF(ISNUMBER(F377),IF(ABS(F377-INDEX($F$13:$F$512,R377))&gt;0.00000001,1,0),0)))</f>
        <v>0</v>
      </c>
      <c r="U377" s="0" t="n">
        <f>IF(P377="DIRECTA",IF(AND(ISNUMBER(G377),COUNTA(H377:J377)=0),1,0),IF(P377="DIMENSIONES",IF(AND(COUNT(G377:J377)&gt;0,COUNTA(G377:J377)=COUNT(G377:J377)),1,0),0))</f>
        <v>0</v>
      </c>
      <c r="V377" s="0" t="n">
        <f>IF(O377=0,0,IF(COUNTIFS($O$13:O377,O377)=1,1,0))</f>
        <v>0</v>
      </c>
      <c r="W377" s="0">
        <f>IF(V377=1,COUNTIFS($V$13:V377,1),"")</f>
      </c>
      <c r="X377" s="0">
        <f>IF(COUNTA(B377:L377)=0,"",IF(OR(NOT(IF(ISNUMBER($E$6),AND($E$6&gt;=0,$E$6&lt;=6,$E$6=INT($E$6)),FALSE)),O377=0,R377=0,T377&gt;0,AND(P377&lt;&gt;"DIMENSIONES",P377&lt;&gt;"DIRECTA",P377&lt;&gt;"SIN LÍNEAS",P377&lt;&gt;"CABECERA"),AND(OR(P377="DIRECTA",P377="DIMENSIONES"),U377=0),AND(OR(P377="SIN LÍNEAS",P377="CABECERA"),COUNTA(G377:J377)&gt;0)),2,IF(OR(P377="SIN LÍNEAS",Y377&gt;0,Z377&gt;0,AA377&gt;0,SUMPRODUCT(--('LÉEME'!$B$65:$B$86=AC377))&lt;&gt;1),1,0)))</f>
      </c>
      <c r="Y377" s="0" t="n">
        <f>IF(AND(P377="DIMENSIONES",S377="m²",COUNT(H377:J377)=3),1,0)</f>
        <v>0</v>
      </c>
      <c r="Z377" s="0" t="n">
        <f>IF(IF(ISNUMBER($E$6),AND($E$6&gt;=0,$E$6&lt;=6,$E$6=INT($E$6)),FALSE),IF(SUM(IF(ISNUMBER(F377),IF(ABS(F377-ROUND(F377,$E$6))&gt;0.00000001,1,0),0),IF(ISNUMBER(G377),IF(ABS(G377-ROUND(G377,$E$6))&gt;0.00000001,1,0),0),IF(ISNUMBER(H377),IF(ABS(H377-ROUND(H377,$E$6))&gt;0.00000001,1,0),0),IF(ISNUMBER(I377),IF(ABS(I377-ROUND(I377,$E$6))&gt;0.00000001,1,0),0),IF(ISNUMBER(J377),IF(ABS(J377-ROUND(J377,$E$6))&gt;0.00000001,1,0),0),IF(ISNUMBER(M377),IF(ABS(M377-ROUND(M377,$E$6))&gt;0.00000001,1,0),0))&gt;0,1,0),0)</f>
        <v>0</v>
      </c>
      <c r="AA377" s="0" t="n">
        <f>IF(COUNTA(B377:L377)=0,0,IF(OR(AND(ISNUMBER(F377),F377&lt;0),AND(U377=1,OR(SUM(IF(ISNUMBER(G377),IF(G377=0,1,0),0),IF(ISNUMBER(H377),IF(H377=0,1,0),0),IF(ISNUMBER(I377),IF(I377=0,1,0),0),IF(ISNUMBER(J377),IF(J377=0,1,0),0))&gt;0,COUNTIFS(G377:J377,"&lt;0")&gt;0)),AND(P377="DIMENSIONES",U377=1,OR(AND(S377="m",COUNT(H377:J377)&lt;&gt;1),AND(S377="m²",COUNT(H377:J377)&lt;&gt;2,Y377=0),AND(S377="m³",COUNT(H377:J377)&lt;&gt;3),AND(S377="ud",COUNT(H377:J377)&gt;0))),AND(P377="DIRECTA",OR(S377="m",S377="m²",S377="m³"))),1,0))</f>
        <v>0</v>
      </c>
      <c r="AB377" s="0">
        <f>IF(LEN(TRIM(E377&amp;""))&gt;0,E377,IF(R377&gt;0,INDEX($E$13:$E$512,R377),""))</f>
      </c>
      <c r="AC377" s="0">
        <f>UPPER(SUBSTITUTE(SUBSTITUTE(SUBSTITUTE(SUBSTITUTE(SUBSTITUTE(TRIM(AB377),"²","2"),"³","3"),"^",""),".","")," ",""))</f>
      </c>
    </row>
    <row r="378" ht="35" customHeight="1">
      <c r="B378" s="35"/>
      <c r="C378" s="35"/>
      <c r="D378" s="37"/>
      <c r="E378" s="35"/>
      <c r="F378" s="38"/>
      <c r="G378" s="38"/>
      <c r="H378" s="38"/>
      <c r="I378" s="38"/>
      <c r="J378" s="38"/>
      <c r="K378" s="35"/>
      <c r="L378" s="35"/>
      <c r="M378" s="39">
        <f>IF(U378&lt;&gt;1,"",IF(P378="DIRECTA",G378,IF(ISNUMBER(G378),G378,1)*IF(ISNUMBER(H378),H378,1)*IF(ISNUMBER(I378),I378,1)*IF(ISNUMBER(J378),J378,1)))</f>
      </c>
      <c r="N378" s="30">
        <f>IF(COUNTA(B378:L378)=0,"",IF(X378=0,IF(P378="CABECERA","VERDE · Fila descriptiva; la suma usa las líneas del ID","VERDE · Datos numéricos interpretables"),IF(X378=2,"ROJO · ","ÁMBAR · ")&amp;IF(NOT(IF(ISNUMBER($E$6),AND($E$6&gt;=0,$E$6&lt;=6,$E$6=INT($E$6)),FALSE)),"Indicamos entre 0 y 6 decimales en E6. ","")&amp;IF(O378=0,"Falta un ID numérico. ","")&amp;IF(R378=0,"Faltan capítulo, código, unidad o total numérico del ID. ","")&amp;IF(T378&gt;0,"Los datos o el total del ID se contradicen. ","")&amp;IF(AND(P378&lt;&gt;"DIMENSIONES",P378&lt;&gt;"DIRECTA",P378&lt;&gt;"SIN LÍNEAS",P378&lt;&gt;"CABECERA"),"Tipo de fila no reconocido. ","")&amp;IF(AND(OR(P378="SIN LÍNEAS",P378="CABECERA"),COUNTA(G378:J378)&gt;0),"La fila dice que no mide, pero contiene medidas. ","")&amp;IF(AND(OR(P378="DIRECTA",P378="DIMENSIONES"),U378=0),"Línea incompleta o con medidas no numéricas. ","")&amp;IF(P378="SIN LÍNEAS","No constan medidas de esta fila. ","")&amp;IF(Y378&gt;0,"Parece m³: tres dimensiones bajo m². ","")&amp;IF(AND(AB378&lt;&gt;"",SUMPRODUCT(--('LÉEME'!$B$65:$B$86=AC378))&lt;&gt;1),"Revisamos el significado de la unidad. ","")&amp;IF(Z378&gt;0,"Más precisión que los decimales indicados: cotejamos el original. ","")&amp;IF(AA378&gt;0,"Revisamos dimensiones, cantidad directa, ceros o deducción. ","")))</f>
      </c>
      <c r="O378" s="0" t="n">
        <f>IF(ISNUMBER(K378),IF(AND(K378&gt;0,K378=INT(K378),K378&lt;=999999),K378,0),0)</f>
        <v>0</v>
      </c>
      <c r="P378" s="0">
        <f>IF(COUNTA(B378:L378)=0,"",IF(L378="",IF(COUNTA(G378:J378)&gt;0,"DIMENSIONES","SIN LÍNEAS"),UPPER(TRIM(L378))))</f>
      </c>
      <c r="Q378" s="0">
        <f>IF(AND(O378&gt;0,LEN(TRIM(B378&amp;""))&gt;0,LEN(TRIM(C378&amp;""))&gt;0,LEN(TRIM(E378&amp;""))&gt;0,ISNUMBER(F378)),O378,"")</f>
      </c>
      <c r="R378" s="0" t="n">
        <f>IF(O378=0,0,IF(COUNTIFS($Q$13:$Q$512,O378)&gt;0,MATCH(O378,$Q$13:$Q$512,0),0))</f>
        <v>0</v>
      </c>
      <c r="S378" s="0">
        <f>IF(AB378="","",IF(SUMPRODUCT(--('LÉEME'!$B$65:$B$86=AC378))=1,INDEX('LÉEME'!$C$65:$C$86,MATCH(AC378,'LÉEME'!$B$65:$B$86,0)),UPPER(TRIM(AB378))))</f>
      </c>
      <c r="T378" s="0" t="n">
        <f>IF(R378=0,0,IF(OR(AND(LEN(TRIM(B378&amp;""))&gt;0,UPPER(TRIM(B378&amp;""))&lt;&gt;UPPER(TRIM(INDEX($B$13:$B$512,R378)&amp;""))),AND(LEN(TRIM(C378&amp;""))&gt;0,UPPER(TRIM(C378&amp;""))&lt;&gt;UPPER(TRIM(INDEX($C$13:$C$512,R378)&amp;""))),AND(LEN(TRIM(E378&amp;""))&gt;0,S378&lt;&gt;INDEX($S$13:$S$512,R378)),AND(F378&lt;&gt;"",NOT(ISNUMBER(F378)))),1,IF(ISNUMBER(F378),IF(ABS(F378-INDEX($F$13:$F$512,R378))&gt;0.00000001,1,0),0)))</f>
        <v>0</v>
      </c>
      <c r="U378" s="0" t="n">
        <f>IF(P378="DIRECTA",IF(AND(ISNUMBER(G378),COUNTA(H378:J378)=0),1,0),IF(P378="DIMENSIONES",IF(AND(COUNT(G378:J378)&gt;0,COUNTA(G378:J378)=COUNT(G378:J378)),1,0),0))</f>
        <v>0</v>
      </c>
      <c r="V378" s="0" t="n">
        <f>IF(O378=0,0,IF(COUNTIFS($O$13:O378,O378)=1,1,0))</f>
        <v>0</v>
      </c>
      <c r="W378" s="0">
        <f>IF(V378=1,COUNTIFS($V$13:V378,1),"")</f>
      </c>
      <c r="X378" s="0">
        <f>IF(COUNTA(B378:L378)=0,"",IF(OR(NOT(IF(ISNUMBER($E$6),AND($E$6&gt;=0,$E$6&lt;=6,$E$6=INT($E$6)),FALSE)),O378=0,R378=0,T378&gt;0,AND(P378&lt;&gt;"DIMENSIONES",P378&lt;&gt;"DIRECTA",P378&lt;&gt;"SIN LÍNEAS",P378&lt;&gt;"CABECERA"),AND(OR(P378="DIRECTA",P378="DIMENSIONES"),U378=0),AND(OR(P378="SIN LÍNEAS",P378="CABECERA"),COUNTA(G378:J378)&gt;0)),2,IF(OR(P378="SIN LÍNEAS",Y378&gt;0,Z378&gt;0,AA378&gt;0,SUMPRODUCT(--('LÉEME'!$B$65:$B$86=AC378))&lt;&gt;1),1,0)))</f>
      </c>
      <c r="Y378" s="0" t="n">
        <f>IF(AND(P378="DIMENSIONES",S378="m²",COUNT(H378:J378)=3),1,0)</f>
        <v>0</v>
      </c>
      <c r="Z378" s="0" t="n">
        <f>IF(IF(ISNUMBER($E$6),AND($E$6&gt;=0,$E$6&lt;=6,$E$6=INT($E$6)),FALSE),IF(SUM(IF(ISNUMBER(F378),IF(ABS(F378-ROUND(F378,$E$6))&gt;0.00000001,1,0),0),IF(ISNUMBER(G378),IF(ABS(G378-ROUND(G378,$E$6))&gt;0.00000001,1,0),0),IF(ISNUMBER(H378),IF(ABS(H378-ROUND(H378,$E$6))&gt;0.00000001,1,0),0),IF(ISNUMBER(I378),IF(ABS(I378-ROUND(I378,$E$6))&gt;0.00000001,1,0),0),IF(ISNUMBER(J378),IF(ABS(J378-ROUND(J378,$E$6))&gt;0.00000001,1,0),0),IF(ISNUMBER(M378),IF(ABS(M378-ROUND(M378,$E$6))&gt;0.00000001,1,0),0))&gt;0,1,0),0)</f>
        <v>0</v>
      </c>
      <c r="AA378" s="0" t="n">
        <f>IF(COUNTA(B378:L378)=0,0,IF(OR(AND(ISNUMBER(F378),F378&lt;0),AND(U378=1,OR(SUM(IF(ISNUMBER(G378),IF(G378=0,1,0),0),IF(ISNUMBER(H378),IF(H378=0,1,0),0),IF(ISNUMBER(I378),IF(I378=0,1,0),0),IF(ISNUMBER(J378),IF(J378=0,1,0),0))&gt;0,COUNTIFS(G378:J378,"&lt;0")&gt;0)),AND(P378="DIMENSIONES",U378=1,OR(AND(S378="m",COUNT(H378:J378)&lt;&gt;1),AND(S378="m²",COUNT(H378:J378)&lt;&gt;2,Y378=0),AND(S378="m³",COUNT(H378:J378)&lt;&gt;3),AND(S378="ud",COUNT(H378:J378)&gt;0))),AND(P378="DIRECTA",OR(S378="m",S378="m²",S378="m³"))),1,0))</f>
        <v>0</v>
      </c>
      <c r="AB378" s="0">
        <f>IF(LEN(TRIM(E378&amp;""))&gt;0,E378,IF(R378&gt;0,INDEX($E$13:$E$512,R378),""))</f>
      </c>
      <c r="AC378" s="0">
        <f>UPPER(SUBSTITUTE(SUBSTITUTE(SUBSTITUTE(SUBSTITUTE(SUBSTITUTE(TRIM(AB378),"²","2"),"³","3"),"^",""),".","")," ",""))</f>
      </c>
    </row>
    <row r="379" ht="35" customHeight="1">
      <c r="B379" s="35"/>
      <c r="C379" s="35"/>
      <c r="D379" s="37"/>
      <c r="E379" s="35"/>
      <c r="F379" s="38"/>
      <c r="G379" s="38"/>
      <c r="H379" s="38"/>
      <c r="I379" s="38"/>
      <c r="J379" s="38"/>
      <c r="K379" s="35"/>
      <c r="L379" s="35"/>
      <c r="M379" s="39">
        <f>IF(U379&lt;&gt;1,"",IF(P379="DIRECTA",G379,IF(ISNUMBER(G379),G379,1)*IF(ISNUMBER(H379),H379,1)*IF(ISNUMBER(I379),I379,1)*IF(ISNUMBER(J379),J379,1)))</f>
      </c>
      <c r="N379" s="30">
        <f>IF(COUNTA(B379:L379)=0,"",IF(X379=0,IF(P379="CABECERA","VERDE · Fila descriptiva; la suma usa las líneas del ID","VERDE · Datos numéricos interpretables"),IF(X379=2,"ROJO · ","ÁMBAR · ")&amp;IF(NOT(IF(ISNUMBER($E$6),AND($E$6&gt;=0,$E$6&lt;=6,$E$6=INT($E$6)),FALSE)),"Indicamos entre 0 y 6 decimales en E6. ","")&amp;IF(O379=0,"Falta un ID numérico. ","")&amp;IF(R379=0,"Faltan capítulo, código, unidad o total numérico del ID. ","")&amp;IF(T379&gt;0,"Los datos o el total del ID se contradicen. ","")&amp;IF(AND(P379&lt;&gt;"DIMENSIONES",P379&lt;&gt;"DIRECTA",P379&lt;&gt;"SIN LÍNEAS",P379&lt;&gt;"CABECERA"),"Tipo de fila no reconocido. ","")&amp;IF(AND(OR(P379="SIN LÍNEAS",P379="CABECERA"),COUNTA(G379:J379)&gt;0),"La fila dice que no mide, pero contiene medidas. ","")&amp;IF(AND(OR(P379="DIRECTA",P379="DIMENSIONES"),U379=0),"Línea incompleta o con medidas no numéricas. ","")&amp;IF(P379="SIN LÍNEAS","No constan medidas de esta fila. ","")&amp;IF(Y379&gt;0,"Parece m³: tres dimensiones bajo m². ","")&amp;IF(AND(AB379&lt;&gt;"",SUMPRODUCT(--('LÉEME'!$B$65:$B$86=AC379))&lt;&gt;1),"Revisamos el significado de la unidad. ","")&amp;IF(Z379&gt;0,"Más precisión que los decimales indicados: cotejamos el original. ","")&amp;IF(AA379&gt;0,"Revisamos dimensiones, cantidad directa, ceros o deducción. ","")))</f>
      </c>
      <c r="O379" s="0" t="n">
        <f>IF(ISNUMBER(K379),IF(AND(K379&gt;0,K379=INT(K379),K379&lt;=999999),K379,0),0)</f>
        <v>0</v>
      </c>
      <c r="P379" s="0">
        <f>IF(COUNTA(B379:L379)=0,"",IF(L379="",IF(COUNTA(G379:J379)&gt;0,"DIMENSIONES","SIN LÍNEAS"),UPPER(TRIM(L379))))</f>
      </c>
      <c r="Q379" s="0">
        <f>IF(AND(O379&gt;0,LEN(TRIM(B379&amp;""))&gt;0,LEN(TRIM(C379&amp;""))&gt;0,LEN(TRIM(E379&amp;""))&gt;0,ISNUMBER(F379)),O379,"")</f>
      </c>
      <c r="R379" s="0" t="n">
        <f>IF(O379=0,0,IF(COUNTIFS($Q$13:$Q$512,O379)&gt;0,MATCH(O379,$Q$13:$Q$512,0),0))</f>
        <v>0</v>
      </c>
      <c r="S379" s="0">
        <f>IF(AB379="","",IF(SUMPRODUCT(--('LÉEME'!$B$65:$B$86=AC379))=1,INDEX('LÉEME'!$C$65:$C$86,MATCH(AC379,'LÉEME'!$B$65:$B$86,0)),UPPER(TRIM(AB379))))</f>
      </c>
      <c r="T379" s="0" t="n">
        <f>IF(R379=0,0,IF(OR(AND(LEN(TRIM(B379&amp;""))&gt;0,UPPER(TRIM(B379&amp;""))&lt;&gt;UPPER(TRIM(INDEX($B$13:$B$512,R379)&amp;""))),AND(LEN(TRIM(C379&amp;""))&gt;0,UPPER(TRIM(C379&amp;""))&lt;&gt;UPPER(TRIM(INDEX($C$13:$C$512,R379)&amp;""))),AND(LEN(TRIM(E379&amp;""))&gt;0,S379&lt;&gt;INDEX($S$13:$S$512,R379)),AND(F379&lt;&gt;"",NOT(ISNUMBER(F379)))),1,IF(ISNUMBER(F379),IF(ABS(F379-INDEX($F$13:$F$512,R379))&gt;0.00000001,1,0),0)))</f>
        <v>0</v>
      </c>
      <c r="U379" s="0" t="n">
        <f>IF(P379="DIRECTA",IF(AND(ISNUMBER(G379),COUNTA(H379:J379)=0),1,0),IF(P379="DIMENSIONES",IF(AND(COUNT(G379:J379)&gt;0,COUNTA(G379:J379)=COUNT(G379:J379)),1,0),0))</f>
        <v>0</v>
      </c>
      <c r="V379" s="0" t="n">
        <f>IF(O379=0,0,IF(COUNTIFS($O$13:O379,O379)=1,1,0))</f>
        <v>0</v>
      </c>
      <c r="W379" s="0">
        <f>IF(V379=1,COUNTIFS($V$13:V379,1),"")</f>
      </c>
      <c r="X379" s="0">
        <f>IF(COUNTA(B379:L379)=0,"",IF(OR(NOT(IF(ISNUMBER($E$6),AND($E$6&gt;=0,$E$6&lt;=6,$E$6=INT($E$6)),FALSE)),O379=0,R379=0,T379&gt;0,AND(P379&lt;&gt;"DIMENSIONES",P379&lt;&gt;"DIRECTA",P379&lt;&gt;"SIN LÍNEAS",P379&lt;&gt;"CABECERA"),AND(OR(P379="DIRECTA",P379="DIMENSIONES"),U379=0),AND(OR(P379="SIN LÍNEAS",P379="CABECERA"),COUNTA(G379:J379)&gt;0)),2,IF(OR(P379="SIN LÍNEAS",Y379&gt;0,Z379&gt;0,AA379&gt;0,SUMPRODUCT(--('LÉEME'!$B$65:$B$86=AC379))&lt;&gt;1),1,0)))</f>
      </c>
      <c r="Y379" s="0" t="n">
        <f>IF(AND(P379="DIMENSIONES",S379="m²",COUNT(H379:J379)=3),1,0)</f>
        <v>0</v>
      </c>
      <c r="Z379" s="0" t="n">
        <f>IF(IF(ISNUMBER($E$6),AND($E$6&gt;=0,$E$6&lt;=6,$E$6=INT($E$6)),FALSE),IF(SUM(IF(ISNUMBER(F379),IF(ABS(F379-ROUND(F379,$E$6))&gt;0.00000001,1,0),0),IF(ISNUMBER(G379),IF(ABS(G379-ROUND(G379,$E$6))&gt;0.00000001,1,0),0),IF(ISNUMBER(H379),IF(ABS(H379-ROUND(H379,$E$6))&gt;0.00000001,1,0),0),IF(ISNUMBER(I379),IF(ABS(I379-ROUND(I379,$E$6))&gt;0.00000001,1,0),0),IF(ISNUMBER(J379),IF(ABS(J379-ROUND(J379,$E$6))&gt;0.00000001,1,0),0),IF(ISNUMBER(M379),IF(ABS(M379-ROUND(M379,$E$6))&gt;0.00000001,1,0),0))&gt;0,1,0),0)</f>
        <v>0</v>
      </c>
      <c r="AA379" s="0" t="n">
        <f>IF(COUNTA(B379:L379)=0,0,IF(OR(AND(ISNUMBER(F379),F379&lt;0),AND(U379=1,OR(SUM(IF(ISNUMBER(G379),IF(G379=0,1,0),0),IF(ISNUMBER(H379),IF(H379=0,1,0),0),IF(ISNUMBER(I379),IF(I379=0,1,0),0),IF(ISNUMBER(J379),IF(J379=0,1,0),0))&gt;0,COUNTIFS(G379:J379,"&lt;0")&gt;0)),AND(P379="DIMENSIONES",U379=1,OR(AND(S379="m",COUNT(H379:J379)&lt;&gt;1),AND(S379="m²",COUNT(H379:J379)&lt;&gt;2,Y379=0),AND(S379="m³",COUNT(H379:J379)&lt;&gt;3),AND(S379="ud",COUNT(H379:J379)&gt;0))),AND(P379="DIRECTA",OR(S379="m",S379="m²",S379="m³"))),1,0))</f>
        <v>0</v>
      </c>
      <c r="AB379" s="0">
        <f>IF(LEN(TRIM(E379&amp;""))&gt;0,E379,IF(R379&gt;0,INDEX($E$13:$E$512,R379),""))</f>
      </c>
      <c r="AC379" s="0">
        <f>UPPER(SUBSTITUTE(SUBSTITUTE(SUBSTITUTE(SUBSTITUTE(SUBSTITUTE(TRIM(AB379),"²","2"),"³","3"),"^",""),".","")," ",""))</f>
      </c>
    </row>
    <row r="380" ht="35" customHeight="1">
      <c r="B380" s="35"/>
      <c r="C380" s="35"/>
      <c r="D380" s="37"/>
      <c r="E380" s="35"/>
      <c r="F380" s="38"/>
      <c r="G380" s="38"/>
      <c r="H380" s="38"/>
      <c r="I380" s="38"/>
      <c r="J380" s="38"/>
      <c r="K380" s="35"/>
      <c r="L380" s="35"/>
      <c r="M380" s="39">
        <f>IF(U380&lt;&gt;1,"",IF(P380="DIRECTA",G380,IF(ISNUMBER(G380),G380,1)*IF(ISNUMBER(H380),H380,1)*IF(ISNUMBER(I380),I380,1)*IF(ISNUMBER(J380),J380,1)))</f>
      </c>
      <c r="N380" s="30">
        <f>IF(COUNTA(B380:L380)=0,"",IF(X380=0,IF(P380="CABECERA","VERDE · Fila descriptiva; la suma usa las líneas del ID","VERDE · Datos numéricos interpretables"),IF(X380=2,"ROJO · ","ÁMBAR · ")&amp;IF(NOT(IF(ISNUMBER($E$6),AND($E$6&gt;=0,$E$6&lt;=6,$E$6=INT($E$6)),FALSE)),"Indicamos entre 0 y 6 decimales en E6. ","")&amp;IF(O380=0,"Falta un ID numérico. ","")&amp;IF(R380=0,"Faltan capítulo, código, unidad o total numérico del ID. ","")&amp;IF(T380&gt;0,"Los datos o el total del ID se contradicen. ","")&amp;IF(AND(P380&lt;&gt;"DIMENSIONES",P380&lt;&gt;"DIRECTA",P380&lt;&gt;"SIN LÍNEAS",P380&lt;&gt;"CABECERA"),"Tipo de fila no reconocido. ","")&amp;IF(AND(OR(P380="SIN LÍNEAS",P380="CABECERA"),COUNTA(G380:J380)&gt;0),"La fila dice que no mide, pero contiene medidas. ","")&amp;IF(AND(OR(P380="DIRECTA",P380="DIMENSIONES"),U380=0),"Línea incompleta o con medidas no numéricas. ","")&amp;IF(P380="SIN LÍNEAS","No constan medidas de esta fila. ","")&amp;IF(Y380&gt;0,"Parece m³: tres dimensiones bajo m². ","")&amp;IF(AND(AB380&lt;&gt;"",SUMPRODUCT(--('LÉEME'!$B$65:$B$86=AC380))&lt;&gt;1),"Revisamos el significado de la unidad. ","")&amp;IF(Z380&gt;0,"Más precisión que los decimales indicados: cotejamos el original. ","")&amp;IF(AA380&gt;0,"Revisamos dimensiones, cantidad directa, ceros o deducción. ","")))</f>
      </c>
      <c r="O380" s="0" t="n">
        <f>IF(ISNUMBER(K380),IF(AND(K380&gt;0,K380=INT(K380),K380&lt;=999999),K380,0),0)</f>
        <v>0</v>
      </c>
      <c r="P380" s="0">
        <f>IF(COUNTA(B380:L380)=0,"",IF(L380="",IF(COUNTA(G380:J380)&gt;0,"DIMENSIONES","SIN LÍNEAS"),UPPER(TRIM(L380))))</f>
      </c>
      <c r="Q380" s="0">
        <f>IF(AND(O380&gt;0,LEN(TRIM(B380&amp;""))&gt;0,LEN(TRIM(C380&amp;""))&gt;0,LEN(TRIM(E380&amp;""))&gt;0,ISNUMBER(F380)),O380,"")</f>
      </c>
      <c r="R380" s="0" t="n">
        <f>IF(O380=0,0,IF(COUNTIFS($Q$13:$Q$512,O380)&gt;0,MATCH(O380,$Q$13:$Q$512,0),0))</f>
        <v>0</v>
      </c>
      <c r="S380" s="0">
        <f>IF(AB380="","",IF(SUMPRODUCT(--('LÉEME'!$B$65:$B$86=AC380))=1,INDEX('LÉEME'!$C$65:$C$86,MATCH(AC380,'LÉEME'!$B$65:$B$86,0)),UPPER(TRIM(AB380))))</f>
      </c>
      <c r="T380" s="0" t="n">
        <f>IF(R380=0,0,IF(OR(AND(LEN(TRIM(B380&amp;""))&gt;0,UPPER(TRIM(B380&amp;""))&lt;&gt;UPPER(TRIM(INDEX($B$13:$B$512,R380)&amp;""))),AND(LEN(TRIM(C380&amp;""))&gt;0,UPPER(TRIM(C380&amp;""))&lt;&gt;UPPER(TRIM(INDEX($C$13:$C$512,R380)&amp;""))),AND(LEN(TRIM(E380&amp;""))&gt;0,S380&lt;&gt;INDEX($S$13:$S$512,R380)),AND(F380&lt;&gt;"",NOT(ISNUMBER(F380)))),1,IF(ISNUMBER(F380),IF(ABS(F380-INDEX($F$13:$F$512,R380))&gt;0.00000001,1,0),0)))</f>
        <v>0</v>
      </c>
      <c r="U380" s="0" t="n">
        <f>IF(P380="DIRECTA",IF(AND(ISNUMBER(G380),COUNTA(H380:J380)=0),1,0),IF(P380="DIMENSIONES",IF(AND(COUNT(G380:J380)&gt;0,COUNTA(G380:J380)=COUNT(G380:J380)),1,0),0))</f>
        <v>0</v>
      </c>
      <c r="V380" s="0" t="n">
        <f>IF(O380=0,0,IF(COUNTIFS($O$13:O380,O380)=1,1,0))</f>
        <v>0</v>
      </c>
      <c r="W380" s="0">
        <f>IF(V380=1,COUNTIFS($V$13:V380,1),"")</f>
      </c>
      <c r="X380" s="0">
        <f>IF(COUNTA(B380:L380)=0,"",IF(OR(NOT(IF(ISNUMBER($E$6),AND($E$6&gt;=0,$E$6&lt;=6,$E$6=INT($E$6)),FALSE)),O380=0,R380=0,T380&gt;0,AND(P380&lt;&gt;"DIMENSIONES",P380&lt;&gt;"DIRECTA",P380&lt;&gt;"SIN LÍNEAS",P380&lt;&gt;"CABECERA"),AND(OR(P380="DIRECTA",P380="DIMENSIONES"),U380=0),AND(OR(P380="SIN LÍNEAS",P380="CABECERA"),COUNTA(G380:J380)&gt;0)),2,IF(OR(P380="SIN LÍNEAS",Y380&gt;0,Z380&gt;0,AA380&gt;0,SUMPRODUCT(--('LÉEME'!$B$65:$B$86=AC380))&lt;&gt;1),1,0)))</f>
      </c>
      <c r="Y380" s="0" t="n">
        <f>IF(AND(P380="DIMENSIONES",S380="m²",COUNT(H380:J380)=3),1,0)</f>
        <v>0</v>
      </c>
      <c r="Z380" s="0" t="n">
        <f>IF(IF(ISNUMBER($E$6),AND($E$6&gt;=0,$E$6&lt;=6,$E$6=INT($E$6)),FALSE),IF(SUM(IF(ISNUMBER(F380),IF(ABS(F380-ROUND(F380,$E$6))&gt;0.00000001,1,0),0),IF(ISNUMBER(G380),IF(ABS(G380-ROUND(G380,$E$6))&gt;0.00000001,1,0),0),IF(ISNUMBER(H380),IF(ABS(H380-ROUND(H380,$E$6))&gt;0.00000001,1,0),0),IF(ISNUMBER(I380),IF(ABS(I380-ROUND(I380,$E$6))&gt;0.00000001,1,0),0),IF(ISNUMBER(J380),IF(ABS(J380-ROUND(J380,$E$6))&gt;0.00000001,1,0),0),IF(ISNUMBER(M380),IF(ABS(M380-ROUND(M380,$E$6))&gt;0.00000001,1,0),0))&gt;0,1,0),0)</f>
        <v>0</v>
      </c>
      <c r="AA380" s="0" t="n">
        <f>IF(COUNTA(B380:L380)=0,0,IF(OR(AND(ISNUMBER(F380),F380&lt;0),AND(U380=1,OR(SUM(IF(ISNUMBER(G380),IF(G380=0,1,0),0),IF(ISNUMBER(H380),IF(H380=0,1,0),0),IF(ISNUMBER(I380),IF(I380=0,1,0),0),IF(ISNUMBER(J380),IF(J380=0,1,0),0))&gt;0,COUNTIFS(G380:J380,"&lt;0")&gt;0)),AND(P380="DIMENSIONES",U380=1,OR(AND(S380="m",COUNT(H380:J380)&lt;&gt;1),AND(S380="m²",COUNT(H380:J380)&lt;&gt;2,Y380=0),AND(S380="m³",COUNT(H380:J380)&lt;&gt;3),AND(S380="ud",COUNT(H380:J380)&gt;0))),AND(P380="DIRECTA",OR(S380="m",S380="m²",S380="m³"))),1,0))</f>
        <v>0</v>
      </c>
      <c r="AB380" s="0">
        <f>IF(LEN(TRIM(E380&amp;""))&gt;0,E380,IF(R380&gt;0,INDEX($E$13:$E$512,R380),""))</f>
      </c>
      <c r="AC380" s="0">
        <f>UPPER(SUBSTITUTE(SUBSTITUTE(SUBSTITUTE(SUBSTITUTE(SUBSTITUTE(TRIM(AB380),"²","2"),"³","3"),"^",""),".","")," ",""))</f>
      </c>
    </row>
    <row r="381" ht="35" customHeight="1">
      <c r="B381" s="35"/>
      <c r="C381" s="35"/>
      <c r="D381" s="37"/>
      <c r="E381" s="35"/>
      <c r="F381" s="38"/>
      <c r="G381" s="38"/>
      <c r="H381" s="38"/>
      <c r="I381" s="38"/>
      <c r="J381" s="38"/>
      <c r="K381" s="35"/>
      <c r="L381" s="35"/>
      <c r="M381" s="39">
        <f>IF(U381&lt;&gt;1,"",IF(P381="DIRECTA",G381,IF(ISNUMBER(G381),G381,1)*IF(ISNUMBER(H381),H381,1)*IF(ISNUMBER(I381),I381,1)*IF(ISNUMBER(J381),J381,1)))</f>
      </c>
      <c r="N381" s="30">
        <f>IF(COUNTA(B381:L381)=0,"",IF(X381=0,IF(P381="CABECERA","VERDE · Fila descriptiva; la suma usa las líneas del ID","VERDE · Datos numéricos interpretables"),IF(X381=2,"ROJO · ","ÁMBAR · ")&amp;IF(NOT(IF(ISNUMBER($E$6),AND($E$6&gt;=0,$E$6&lt;=6,$E$6=INT($E$6)),FALSE)),"Indicamos entre 0 y 6 decimales en E6. ","")&amp;IF(O381=0,"Falta un ID numérico. ","")&amp;IF(R381=0,"Faltan capítulo, código, unidad o total numérico del ID. ","")&amp;IF(T381&gt;0,"Los datos o el total del ID se contradicen. ","")&amp;IF(AND(P381&lt;&gt;"DIMENSIONES",P381&lt;&gt;"DIRECTA",P381&lt;&gt;"SIN LÍNEAS",P381&lt;&gt;"CABECERA"),"Tipo de fila no reconocido. ","")&amp;IF(AND(OR(P381="SIN LÍNEAS",P381="CABECERA"),COUNTA(G381:J381)&gt;0),"La fila dice que no mide, pero contiene medidas. ","")&amp;IF(AND(OR(P381="DIRECTA",P381="DIMENSIONES"),U381=0),"Línea incompleta o con medidas no numéricas. ","")&amp;IF(P381="SIN LÍNEAS","No constan medidas de esta fila. ","")&amp;IF(Y381&gt;0,"Parece m³: tres dimensiones bajo m². ","")&amp;IF(AND(AB381&lt;&gt;"",SUMPRODUCT(--('LÉEME'!$B$65:$B$86=AC381))&lt;&gt;1),"Revisamos el significado de la unidad. ","")&amp;IF(Z381&gt;0,"Más precisión que los decimales indicados: cotejamos el original. ","")&amp;IF(AA381&gt;0,"Revisamos dimensiones, cantidad directa, ceros o deducción. ","")))</f>
      </c>
      <c r="O381" s="0" t="n">
        <f>IF(ISNUMBER(K381),IF(AND(K381&gt;0,K381=INT(K381),K381&lt;=999999),K381,0),0)</f>
        <v>0</v>
      </c>
      <c r="P381" s="0">
        <f>IF(COUNTA(B381:L381)=0,"",IF(L381="",IF(COUNTA(G381:J381)&gt;0,"DIMENSIONES","SIN LÍNEAS"),UPPER(TRIM(L381))))</f>
      </c>
      <c r="Q381" s="0">
        <f>IF(AND(O381&gt;0,LEN(TRIM(B381&amp;""))&gt;0,LEN(TRIM(C381&amp;""))&gt;0,LEN(TRIM(E381&amp;""))&gt;0,ISNUMBER(F381)),O381,"")</f>
      </c>
      <c r="R381" s="0" t="n">
        <f>IF(O381=0,0,IF(COUNTIFS($Q$13:$Q$512,O381)&gt;0,MATCH(O381,$Q$13:$Q$512,0),0))</f>
        <v>0</v>
      </c>
      <c r="S381" s="0">
        <f>IF(AB381="","",IF(SUMPRODUCT(--('LÉEME'!$B$65:$B$86=AC381))=1,INDEX('LÉEME'!$C$65:$C$86,MATCH(AC381,'LÉEME'!$B$65:$B$86,0)),UPPER(TRIM(AB381))))</f>
      </c>
      <c r="T381" s="0" t="n">
        <f>IF(R381=0,0,IF(OR(AND(LEN(TRIM(B381&amp;""))&gt;0,UPPER(TRIM(B381&amp;""))&lt;&gt;UPPER(TRIM(INDEX($B$13:$B$512,R381)&amp;""))),AND(LEN(TRIM(C381&amp;""))&gt;0,UPPER(TRIM(C381&amp;""))&lt;&gt;UPPER(TRIM(INDEX($C$13:$C$512,R381)&amp;""))),AND(LEN(TRIM(E381&amp;""))&gt;0,S381&lt;&gt;INDEX($S$13:$S$512,R381)),AND(F381&lt;&gt;"",NOT(ISNUMBER(F381)))),1,IF(ISNUMBER(F381),IF(ABS(F381-INDEX($F$13:$F$512,R381))&gt;0.00000001,1,0),0)))</f>
        <v>0</v>
      </c>
      <c r="U381" s="0" t="n">
        <f>IF(P381="DIRECTA",IF(AND(ISNUMBER(G381),COUNTA(H381:J381)=0),1,0),IF(P381="DIMENSIONES",IF(AND(COUNT(G381:J381)&gt;0,COUNTA(G381:J381)=COUNT(G381:J381)),1,0),0))</f>
        <v>0</v>
      </c>
      <c r="V381" s="0" t="n">
        <f>IF(O381=0,0,IF(COUNTIFS($O$13:O381,O381)=1,1,0))</f>
        <v>0</v>
      </c>
      <c r="W381" s="0">
        <f>IF(V381=1,COUNTIFS($V$13:V381,1),"")</f>
      </c>
      <c r="X381" s="0">
        <f>IF(COUNTA(B381:L381)=0,"",IF(OR(NOT(IF(ISNUMBER($E$6),AND($E$6&gt;=0,$E$6&lt;=6,$E$6=INT($E$6)),FALSE)),O381=0,R381=0,T381&gt;0,AND(P381&lt;&gt;"DIMENSIONES",P381&lt;&gt;"DIRECTA",P381&lt;&gt;"SIN LÍNEAS",P381&lt;&gt;"CABECERA"),AND(OR(P381="DIRECTA",P381="DIMENSIONES"),U381=0),AND(OR(P381="SIN LÍNEAS",P381="CABECERA"),COUNTA(G381:J381)&gt;0)),2,IF(OR(P381="SIN LÍNEAS",Y381&gt;0,Z381&gt;0,AA381&gt;0,SUMPRODUCT(--('LÉEME'!$B$65:$B$86=AC381))&lt;&gt;1),1,0)))</f>
      </c>
      <c r="Y381" s="0" t="n">
        <f>IF(AND(P381="DIMENSIONES",S381="m²",COUNT(H381:J381)=3),1,0)</f>
        <v>0</v>
      </c>
      <c r="Z381" s="0" t="n">
        <f>IF(IF(ISNUMBER($E$6),AND($E$6&gt;=0,$E$6&lt;=6,$E$6=INT($E$6)),FALSE),IF(SUM(IF(ISNUMBER(F381),IF(ABS(F381-ROUND(F381,$E$6))&gt;0.00000001,1,0),0),IF(ISNUMBER(G381),IF(ABS(G381-ROUND(G381,$E$6))&gt;0.00000001,1,0),0),IF(ISNUMBER(H381),IF(ABS(H381-ROUND(H381,$E$6))&gt;0.00000001,1,0),0),IF(ISNUMBER(I381),IF(ABS(I381-ROUND(I381,$E$6))&gt;0.00000001,1,0),0),IF(ISNUMBER(J381),IF(ABS(J381-ROUND(J381,$E$6))&gt;0.00000001,1,0),0),IF(ISNUMBER(M381),IF(ABS(M381-ROUND(M381,$E$6))&gt;0.00000001,1,0),0))&gt;0,1,0),0)</f>
        <v>0</v>
      </c>
      <c r="AA381" s="0" t="n">
        <f>IF(COUNTA(B381:L381)=0,0,IF(OR(AND(ISNUMBER(F381),F381&lt;0),AND(U381=1,OR(SUM(IF(ISNUMBER(G381),IF(G381=0,1,0),0),IF(ISNUMBER(H381),IF(H381=0,1,0),0),IF(ISNUMBER(I381),IF(I381=0,1,0),0),IF(ISNUMBER(J381),IF(J381=0,1,0),0))&gt;0,COUNTIFS(G381:J381,"&lt;0")&gt;0)),AND(P381="DIMENSIONES",U381=1,OR(AND(S381="m",COUNT(H381:J381)&lt;&gt;1),AND(S381="m²",COUNT(H381:J381)&lt;&gt;2,Y381=0),AND(S381="m³",COUNT(H381:J381)&lt;&gt;3),AND(S381="ud",COUNT(H381:J381)&gt;0))),AND(P381="DIRECTA",OR(S381="m",S381="m²",S381="m³"))),1,0))</f>
        <v>0</v>
      </c>
      <c r="AB381" s="0">
        <f>IF(LEN(TRIM(E381&amp;""))&gt;0,E381,IF(R381&gt;0,INDEX($E$13:$E$512,R381),""))</f>
      </c>
      <c r="AC381" s="0">
        <f>UPPER(SUBSTITUTE(SUBSTITUTE(SUBSTITUTE(SUBSTITUTE(SUBSTITUTE(TRIM(AB381),"²","2"),"³","3"),"^",""),".","")," ",""))</f>
      </c>
    </row>
    <row r="382" ht="35" customHeight="1">
      <c r="B382" s="35"/>
      <c r="C382" s="35"/>
      <c r="D382" s="37"/>
      <c r="E382" s="35"/>
      <c r="F382" s="38"/>
      <c r="G382" s="38"/>
      <c r="H382" s="38"/>
      <c r="I382" s="38"/>
      <c r="J382" s="38"/>
      <c r="K382" s="35"/>
      <c r="L382" s="35"/>
      <c r="M382" s="39">
        <f>IF(U382&lt;&gt;1,"",IF(P382="DIRECTA",G382,IF(ISNUMBER(G382),G382,1)*IF(ISNUMBER(H382),H382,1)*IF(ISNUMBER(I382),I382,1)*IF(ISNUMBER(J382),J382,1)))</f>
      </c>
      <c r="N382" s="30">
        <f>IF(COUNTA(B382:L382)=0,"",IF(X382=0,IF(P382="CABECERA","VERDE · Fila descriptiva; la suma usa las líneas del ID","VERDE · Datos numéricos interpretables"),IF(X382=2,"ROJO · ","ÁMBAR · ")&amp;IF(NOT(IF(ISNUMBER($E$6),AND($E$6&gt;=0,$E$6&lt;=6,$E$6=INT($E$6)),FALSE)),"Indicamos entre 0 y 6 decimales en E6. ","")&amp;IF(O382=0,"Falta un ID numérico. ","")&amp;IF(R382=0,"Faltan capítulo, código, unidad o total numérico del ID. ","")&amp;IF(T382&gt;0,"Los datos o el total del ID se contradicen. ","")&amp;IF(AND(P382&lt;&gt;"DIMENSIONES",P382&lt;&gt;"DIRECTA",P382&lt;&gt;"SIN LÍNEAS",P382&lt;&gt;"CABECERA"),"Tipo de fila no reconocido. ","")&amp;IF(AND(OR(P382="SIN LÍNEAS",P382="CABECERA"),COUNTA(G382:J382)&gt;0),"La fila dice que no mide, pero contiene medidas. ","")&amp;IF(AND(OR(P382="DIRECTA",P382="DIMENSIONES"),U382=0),"Línea incompleta o con medidas no numéricas. ","")&amp;IF(P382="SIN LÍNEAS","No constan medidas de esta fila. ","")&amp;IF(Y382&gt;0,"Parece m³: tres dimensiones bajo m². ","")&amp;IF(AND(AB382&lt;&gt;"",SUMPRODUCT(--('LÉEME'!$B$65:$B$86=AC382))&lt;&gt;1),"Revisamos el significado de la unidad. ","")&amp;IF(Z382&gt;0,"Más precisión que los decimales indicados: cotejamos el original. ","")&amp;IF(AA382&gt;0,"Revisamos dimensiones, cantidad directa, ceros o deducción. ","")))</f>
      </c>
      <c r="O382" s="0" t="n">
        <f>IF(ISNUMBER(K382),IF(AND(K382&gt;0,K382=INT(K382),K382&lt;=999999),K382,0),0)</f>
        <v>0</v>
      </c>
      <c r="P382" s="0">
        <f>IF(COUNTA(B382:L382)=0,"",IF(L382="",IF(COUNTA(G382:J382)&gt;0,"DIMENSIONES","SIN LÍNEAS"),UPPER(TRIM(L382))))</f>
      </c>
      <c r="Q382" s="0">
        <f>IF(AND(O382&gt;0,LEN(TRIM(B382&amp;""))&gt;0,LEN(TRIM(C382&amp;""))&gt;0,LEN(TRIM(E382&amp;""))&gt;0,ISNUMBER(F382)),O382,"")</f>
      </c>
      <c r="R382" s="0" t="n">
        <f>IF(O382=0,0,IF(COUNTIFS($Q$13:$Q$512,O382)&gt;0,MATCH(O382,$Q$13:$Q$512,0),0))</f>
        <v>0</v>
      </c>
      <c r="S382" s="0">
        <f>IF(AB382="","",IF(SUMPRODUCT(--('LÉEME'!$B$65:$B$86=AC382))=1,INDEX('LÉEME'!$C$65:$C$86,MATCH(AC382,'LÉEME'!$B$65:$B$86,0)),UPPER(TRIM(AB382))))</f>
      </c>
      <c r="T382" s="0" t="n">
        <f>IF(R382=0,0,IF(OR(AND(LEN(TRIM(B382&amp;""))&gt;0,UPPER(TRIM(B382&amp;""))&lt;&gt;UPPER(TRIM(INDEX($B$13:$B$512,R382)&amp;""))),AND(LEN(TRIM(C382&amp;""))&gt;0,UPPER(TRIM(C382&amp;""))&lt;&gt;UPPER(TRIM(INDEX($C$13:$C$512,R382)&amp;""))),AND(LEN(TRIM(E382&amp;""))&gt;0,S382&lt;&gt;INDEX($S$13:$S$512,R382)),AND(F382&lt;&gt;"",NOT(ISNUMBER(F382)))),1,IF(ISNUMBER(F382),IF(ABS(F382-INDEX($F$13:$F$512,R382))&gt;0.00000001,1,0),0)))</f>
        <v>0</v>
      </c>
      <c r="U382" s="0" t="n">
        <f>IF(P382="DIRECTA",IF(AND(ISNUMBER(G382),COUNTA(H382:J382)=0),1,0),IF(P382="DIMENSIONES",IF(AND(COUNT(G382:J382)&gt;0,COUNTA(G382:J382)=COUNT(G382:J382)),1,0),0))</f>
        <v>0</v>
      </c>
      <c r="V382" s="0" t="n">
        <f>IF(O382=0,0,IF(COUNTIFS($O$13:O382,O382)=1,1,0))</f>
        <v>0</v>
      </c>
      <c r="W382" s="0">
        <f>IF(V382=1,COUNTIFS($V$13:V382,1),"")</f>
      </c>
      <c r="X382" s="0">
        <f>IF(COUNTA(B382:L382)=0,"",IF(OR(NOT(IF(ISNUMBER($E$6),AND($E$6&gt;=0,$E$6&lt;=6,$E$6=INT($E$6)),FALSE)),O382=0,R382=0,T382&gt;0,AND(P382&lt;&gt;"DIMENSIONES",P382&lt;&gt;"DIRECTA",P382&lt;&gt;"SIN LÍNEAS",P382&lt;&gt;"CABECERA"),AND(OR(P382="DIRECTA",P382="DIMENSIONES"),U382=0),AND(OR(P382="SIN LÍNEAS",P382="CABECERA"),COUNTA(G382:J382)&gt;0)),2,IF(OR(P382="SIN LÍNEAS",Y382&gt;0,Z382&gt;0,AA382&gt;0,SUMPRODUCT(--('LÉEME'!$B$65:$B$86=AC382))&lt;&gt;1),1,0)))</f>
      </c>
      <c r="Y382" s="0" t="n">
        <f>IF(AND(P382="DIMENSIONES",S382="m²",COUNT(H382:J382)=3),1,0)</f>
        <v>0</v>
      </c>
      <c r="Z382" s="0" t="n">
        <f>IF(IF(ISNUMBER($E$6),AND($E$6&gt;=0,$E$6&lt;=6,$E$6=INT($E$6)),FALSE),IF(SUM(IF(ISNUMBER(F382),IF(ABS(F382-ROUND(F382,$E$6))&gt;0.00000001,1,0),0),IF(ISNUMBER(G382),IF(ABS(G382-ROUND(G382,$E$6))&gt;0.00000001,1,0),0),IF(ISNUMBER(H382),IF(ABS(H382-ROUND(H382,$E$6))&gt;0.00000001,1,0),0),IF(ISNUMBER(I382),IF(ABS(I382-ROUND(I382,$E$6))&gt;0.00000001,1,0),0),IF(ISNUMBER(J382),IF(ABS(J382-ROUND(J382,$E$6))&gt;0.00000001,1,0),0),IF(ISNUMBER(M382),IF(ABS(M382-ROUND(M382,$E$6))&gt;0.00000001,1,0),0))&gt;0,1,0),0)</f>
        <v>0</v>
      </c>
      <c r="AA382" s="0" t="n">
        <f>IF(COUNTA(B382:L382)=0,0,IF(OR(AND(ISNUMBER(F382),F382&lt;0),AND(U382=1,OR(SUM(IF(ISNUMBER(G382),IF(G382=0,1,0),0),IF(ISNUMBER(H382),IF(H382=0,1,0),0),IF(ISNUMBER(I382),IF(I382=0,1,0),0),IF(ISNUMBER(J382),IF(J382=0,1,0),0))&gt;0,COUNTIFS(G382:J382,"&lt;0")&gt;0)),AND(P382="DIMENSIONES",U382=1,OR(AND(S382="m",COUNT(H382:J382)&lt;&gt;1),AND(S382="m²",COUNT(H382:J382)&lt;&gt;2,Y382=0),AND(S382="m³",COUNT(H382:J382)&lt;&gt;3),AND(S382="ud",COUNT(H382:J382)&gt;0))),AND(P382="DIRECTA",OR(S382="m",S382="m²",S382="m³"))),1,0))</f>
        <v>0</v>
      </c>
      <c r="AB382" s="0">
        <f>IF(LEN(TRIM(E382&amp;""))&gt;0,E382,IF(R382&gt;0,INDEX($E$13:$E$512,R382),""))</f>
      </c>
      <c r="AC382" s="0">
        <f>UPPER(SUBSTITUTE(SUBSTITUTE(SUBSTITUTE(SUBSTITUTE(SUBSTITUTE(TRIM(AB382),"²","2"),"³","3"),"^",""),".","")," ",""))</f>
      </c>
    </row>
    <row r="383" ht="35" customHeight="1">
      <c r="B383" s="35"/>
      <c r="C383" s="35"/>
      <c r="D383" s="37"/>
      <c r="E383" s="35"/>
      <c r="F383" s="38"/>
      <c r="G383" s="38"/>
      <c r="H383" s="38"/>
      <c r="I383" s="38"/>
      <c r="J383" s="38"/>
      <c r="K383" s="35"/>
      <c r="L383" s="35"/>
      <c r="M383" s="39">
        <f>IF(U383&lt;&gt;1,"",IF(P383="DIRECTA",G383,IF(ISNUMBER(G383),G383,1)*IF(ISNUMBER(H383),H383,1)*IF(ISNUMBER(I383),I383,1)*IF(ISNUMBER(J383),J383,1)))</f>
      </c>
      <c r="N383" s="30">
        <f>IF(COUNTA(B383:L383)=0,"",IF(X383=0,IF(P383="CABECERA","VERDE · Fila descriptiva; la suma usa las líneas del ID","VERDE · Datos numéricos interpretables"),IF(X383=2,"ROJO · ","ÁMBAR · ")&amp;IF(NOT(IF(ISNUMBER($E$6),AND($E$6&gt;=0,$E$6&lt;=6,$E$6=INT($E$6)),FALSE)),"Indicamos entre 0 y 6 decimales en E6. ","")&amp;IF(O383=0,"Falta un ID numérico. ","")&amp;IF(R383=0,"Faltan capítulo, código, unidad o total numérico del ID. ","")&amp;IF(T383&gt;0,"Los datos o el total del ID se contradicen. ","")&amp;IF(AND(P383&lt;&gt;"DIMENSIONES",P383&lt;&gt;"DIRECTA",P383&lt;&gt;"SIN LÍNEAS",P383&lt;&gt;"CABECERA"),"Tipo de fila no reconocido. ","")&amp;IF(AND(OR(P383="SIN LÍNEAS",P383="CABECERA"),COUNTA(G383:J383)&gt;0),"La fila dice que no mide, pero contiene medidas. ","")&amp;IF(AND(OR(P383="DIRECTA",P383="DIMENSIONES"),U383=0),"Línea incompleta o con medidas no numéricas. ","")&amp;IF(P383="SIN LÍNEAS","No constan medidas de esta fila. ","")&amp;IF(Y383&gt;0,"Parece m³: tres dimensiones bajo m². ","")&amp;IF(AND(AB383&lt;&gt;"",SUMPRODUCT(--('LÉEME'!$B$65:$B$86=AC383))&lt;&gt;1),"Revisamos el significado de la unidad. ","")&amp;IF(Z383&gt;0,"Más precisión que los decimales indicados: cotejamos el original. ","")&amp;IF(AA383&gt;0,"Revisamos dimensiones, cantidad directa, ceros o deducción. ","")))</f>
      </c>
      <c r="O383" s="0" t="n">
        <f>IF(ISNUMBER(K383),IF(AND(K383&gt;0,K383=INT(K383),K383&lt;=999999),K383,0),0)</f>
        <v>0</v>
      </c>
      <c r="P383" s="0">
        <f>IF(COUNTA(B383:L383)=0,"",IF(L383="",IF(COUNTA(G383:J383)&gt;0,"DIMENSIONES","SIN LÍNEAS"),UPPER(TRIM(L383))))</f>
      </c>
      <c r="Q383" s="0">
        <f>IF(AND(O383&gt;0,LEN(TRIM(B383&amp;""))&gt;0,LEN(TRIM(C383&amp;""))&gt;0,LEN(TRIM(E383&amp;""))&gt;0,ISNUMBER(F383)),O383,"")</f>
      </c>
      <c r="R383" s="0" t="n">
        <f>IF(O383=0,0,IF(COUNTIFS($Q$13:$Q$512,O383)&gt;0,MATCH(O383,$Q$13:$Q$512,0),0))</f>
        <v>0</v>
      </c>
      <c r="S383" s="0">
        <f>IF(AB383="","",IF(SUMPRODUCT(--('LÉEME'!$B$65:$B$86=AC383))=1,INDEX('LÉEME'!$C$65:$C$86,MATCH(AC383,'LÉEME'!$B$65:$B$86,0)),UPPER(TRIM(AB383))))</f>
      </c>
      <c r="T383" s="0" t="n">
        <f>IF(R383=0,0,IF(OR(AND(LEN(TRIM(B383&amp;""))&gt;0,UPPER(TRIM(B383&amp;""))&lt;&gt;UPPER(TRIM(INDEX($B$13:$B$512,R383)&amp;""))),AND(LEN(TRIM(C383&amp;""))&gt;0,UPPER(TRIM(C383&amp;""))&lt;&gt;UPPER(TRIM(INDEX($C$13:$C$512,R383)&amp;""))),AND(LEN(TRIM(E383&amp;""))&gt;0,S383&lt;&gt;INDEX($S$13:$S$512,R383)),AND(F383&lt;&gt;"",NOT(ISNUMBER(F383)))),1,IF(ISNUMBER(F383),IF(ABS(F383-INDEX($F$13:$F$512,R383))&gt;0.00000001,1,0),0)))</f>
        <v>0</v>
      </c>
      <c r="U383" s="0" t="n">
        <f>IF(P383="DIRECTA",IF(AND(ISNUMBER(G383),COUNTA(H383:J383)=0),1,0),IF(P383="DIMENSIONES",IF(AND(COUNT(G383:J383)&gt;0,COUNTA(G383:J383)=COUNT(G383:J383)),1,0),0))</f>
        <v>0</v>
      </c>
      <c r="V383" s="0" t="n">
        <f>IF(O383=0,0,IF(COUNTIFS($O$13:O383,O383)=1,1,0))</f>
        <v>0</v>
      </c>
      <c r="W383" s="0">
        <f>IF(V383=1,COUNTIFS($V$13:V383,1),"")</f>
      </c>
      <c r="X383" s="0">
        <f>IF(COUNTA(B383:L383)=0,"",IF(OR(NOT(IF(ISNUMBER($E$6),AND($E$6&gt;=0,$E$6&lt;=6,$E$6=INT($E$6)),FALSE)),O383=0,R383=0,T383&gt;0,AND(P383&lt;&gt;"DIMENSIONES",P383&lt;&gt;"DIRECTA",P383&lt;&gt;"SIN LÍNEAS",P383&lt;&gt;"CABECERA"),AND(OR(P383="DIRECTA",P383="DIMENSIONES"),U383=0),AND(OR(P383="SIN LÍNEAS",P383="CABECERA"),COUNTA(G383:J383)&gt;0)),2,IF(OR(P383="SIN LÍNEAS",Y383&gt;0,Z383&gt;0,AA383&gt;0,SUMPRODUCT(--('LÉEME'!$B$65:$B$86=AC383))&lt;&gt;1),1,0)))</f>
      </c>
      <c r="Y383" s="0" t="n">
        <f>IF(AND(P383="DIMENSIONES",S383="m²",COUNT(H383:J383)=3),1,0)</f>
        <v>0</v>
      </c>
      <c r="Z383" s="0" t="n">
        <f>IF(IF(ISNUMBER($E$6),AND($E$6&gt;=0,$E$6&lt;=6,$E$6=INT($E$6)),FALSE),IF(SUM(IF(ISNUMBER(F383),IF(ABS(F383-ROUND(F383,$E$6))&gt;0.00000001,1,0),0),IF(ISNUMBER(G383),IF(ABS(G383-ROUND(G383,$E$6))&gt;0.00000001,1,0),0),IF(ISNUMBER(H383),IF(ABS(H383-ROUND(H383,$E$6))&gt;0.00000001,1,0),0),IF(ISNUMBER(I383),IF(ABS(I383-ROUND(I383,$E$6))&gt;0.00000001,1,0),0),IF(ISNUMBER(J383),IF(ABS(J383-ROUND(J383,$E$6))&gt;0.00000001,1,0),0),IF(ISNUMBER(M383),IF(ABS(M383-ROUND(M383,$E$6))&gt;0.00000001,1,0),0))&gt;0,1,0),0)</f>
        <v>0</v>
      </c>
      <c r="AA383" s="0" t="n">
        <f>IF(COUNTA(B383:L383)=0,0,IF(OR(AND(ISNUMBER(F383),F383&lt;0),AND(U383=1,OR(SUM(IF(ISNUMBER(G383),IF(G383=0,1,0),0),IF(ISNUMBER(H383),IF(H383=0,1,0),0),IF(ISNUMBER(I383),IF(I383=0,1,0),0),IF(ISNUMBER(J383),IF(J383=0,1,0),0))&gt;0,COUNTIFS(G383:J383,"&lt;0")&gt;0)),AND(P383="DIMENSIONES",U383=1,OR(AND(S383="m",COUNT(H383:J383)&lt;&gt;1),AND(S383="m²",COUNT(H383:J383)&lt;&gt;2,Y383=0),AND(S383="m³",COUNT(H383:J383)&lt;&gt;3),AND(S383="ud",COUNT(H383:J383)&gt;0))),AND(P383="DIRECTA",OR(S383="m",S383="m²",S383="m³"))),1,0))</f>
        <v>0</v>
      </c>
      <c r="AB383" s="0">
        <f>IF(LEN(TRIM(E383&amp;""))&gt;0,E383,IF(R383&gt;0,INDEX($E$13:$E$512,R383),""))</f>
      </c>
      <c r="AC383" s="0">
        <f>UPPER(SUBSTITUTE(SUBSTITUTE(SUBSTITUTE(SUBSTITUTE(SUBSTITUTE(TRIM(AB383),"²","2"),"³","3"),"^",""),".","")," ",""))</f>
      </c>
    </row>
    <row r="384" ht="35" customHeight="1">
      <c r="B384" s="35"/>
      <c r="C384" s="35"/>
      <c r="D384" s="37"/>
      <c r="E384" s="35"/>
      <c r="F384" s="38"/>
      <c r="G384" s="38"/>
      <c r="H384" s="38"/>
      <c r="I384" s="38"/>
      <c r="J384" s="38"/>
      <c r="K384" s="35"/>
      <c r="L384" s="35"/>
      <c r="M384" s="39">
        <f>IF(U384&lt;&gt;1,"",IF(P384="DIRECTA",G384,IF(ISNUMBER(G384),G384,1)*IF(ISNUMBER(H384),H384,1)*IF(ISNUMBER(I384),I384,1)*IF(ISNUMBER(J384),J384,1)))</f>
      </c>
      <c r="N384" s="30">
        <f>IF(COUNTA(B384:L384)=0,"",IF(X384=0,IF(P384="CABECERA","VERDE · Fila descriptiva; la suma usa las líneas del ID","VERDE · Datos numéricos interpretables"),IF(X384=2,"ROJO · ","ÁMBAR · ")&amp;IF(NOT(IF(ISNUMBER($E$6),AND($E$6&gt;=0,$E$6&lt;=6,$E$6=INT($E$6)),FALSE)),"Indicamos entre 0 y 6 decimales en E6. ","")&amp;IF(O384=0,"Falta un ID numérico. ","")&amp;IF(R384=0,"Faltan capítulo, código, unidad o total numérico del ID. ","")&amp;IF(T384&gt;0,"Los datos o el total del ID se contradicen. ","")&amp;IF(AND(P384&lt;&gt;"DIMENSIONES",P384&lt;&gt;"DIRECTA",P384&lt;&gt;"SIN LÍNEAS",P384&lt;&gt;"CABECERA"),"Tipo de fila no reconocido. ","")&amp;IF(AND(OR(P384="SIN LÍNEAS",P384="CABECERA"),COUNTA(G384:J384)&gt;0),"La fila dice que no mide, pero contiene medidas. ","")&amp;IF(AND(OR(P384="DIRECTA",P384="DIMENSIONES"),U384=0),"Línea incompleta o con medidas no numéricas. ","")&amp;IF(P384="SIN LÍNEAS","No constan medidas de esta fila. ","")&amp;IF(Y384&gt;0,"Parece m³: tres dimensiones bajo m². ","")&amp;IF(AND(AB384&lt;&gt;"",SUMPRODUCT(--('LÉEME'!$B$65:$B$86=AC384))&lt;&gt;1),"Revisamos el significado de la unidad. ","")&amp;IF(Z384&gt;0,"Más precisión que los decimales indicados: cotejamos el original. ","")&amp;IF(AA384&gt;0,"Revisamos dimensiones, cantidad directa, ceros o deducción. ","")))</f>
      </c>
      <c r="O384" s="0" t="n">
        <f>IF(ISNUMBER(K384),IF(AND(K384&gt;0,K384=INT(K384),K384&lt;=999999),K384,0),0)</f>
        <v>0</v>
      </c>
      <c r="P384" s="0">
        <f>IF(COUNTA(B384:L384)=0,"",IF(L384="",IF(COUNTA(G384:J384)&gt;0,"DIMENSIONES","SIN LÍNEAS"),UPPER(TRIM(L384))))</f>
      </c>
      <c r="Q384" s="0">
        <f>IF(AND(O384&gt;0,LEN(TRIM(B384&amp;""))&gt;0,LEN(TRIM(C384&amp;""))&gt;0,LEN(TRIM(E384&amp;""))&gt;0,ISNUMBER(F384)),O384,"")</f>
      </c>
      <c r="R384" s="0" t="n">
        <f>IF(O384=0,0,IF(COUNTIFS($Q$13:$Q$512,O384)&gt;0,MATCH(O384,$Q$13:$Q$512,0),0))</f>
        <v>0</v>
      </c>
      <c r="S384" s="0">
        <f>IF(AB384="","",IF(SUMPRODUCT(--('LÉEME'!$B$65:$B$86=AC384))=1,INDEX('LÉEME'!$C$65:$C$86,MATCH(AC384,'LÉEME'!$B$65:$B$86,0)),UPPER(TRIM(AB384))))</f>
      </c>
      <c r="T384" s="0" t="n">
        <f>IF(R384=0,0,IF(OR(AND(LEN(TRIM(B384&amp;""))&gt;0,UPPER(TRIM(B384&amp;""))&lt;&gt;UPPER(TRIM(INDEX($B$13:$B$512,R384)&amp;""))),AND(LEN(TRIM(C384&amp;""))&gt;0,UPPER(TRIM(C384&amp;""))&lt;&gt;UPPER(TRIM(INDEX($C$13:$C$512,R384)&amp;""))),AND(LEN(TRIM(E384&amp;""))&gt;0,S384&lt;&gt;INDEX($S$13:$S$512,R384)),AND(F384&lt;&gt;"",NOT(ISNUMBER(F384)))),1,IF(ISNUMBER(F384),IF(ABS(F384-INDEX($F$13:$F$512,R384))&gt;0.00000001,1,0),0)))</f>
        <v>0</v>
      </c>
      <c r="U384" s="0" t="n">
        <f>IF(P384="DIRECTA",IF(AND(ISNUMBER(G384),COUNTA(H384:J384)=0),1,0),IF(P384="DIMENSIONES",IF(AND(COUNT(G384:J384)&gt;0,COUNTA(G384:J384)=COUNT(G384:J384)),1,0),0))</f>
        <v>0</v>
      </c>
      <c r="V384" s="0" t="n">
        <f>IF(O384=0,0,IF(COUNTIFS($O$13:O384,O384)=1,1,0))</f>
        <v>0</v>
      </c>
      <c r="W384" s="0">
        <f>IF(V384=1,COUNTIFS($V$13:V384,1),"")</f>
      </c>
      <c r="X384" s="0">
        <f>IF(COUNTA(B384:L384)=0,"",IF(OR(NOT(IF(ISNUMBER($E$6),AND($E$6&gt;=0,$E$6&lt;=6,$E$6=INT($E$6)),FALSE)),O384=0,R384=0,T384&gt;0,AND(P384&lt;&gt;"DIMENSIONES",P384&lt;&gt;"DIRECTA",P384&lt;&gt;"SIN LÍNEAS",P384&lt;&gt;"CABECERA"),AND(OR(P384="DIRECTA",P384="DIMENSIONES"),U384=0),AND(OR(P384="SIN LÍNEAS",P384="CABECERA"),COUNTA(G384:J384)&gt;0)),2,IF(OR(P384="SIN LÍNEAS",Y384&gt;0,Z384&gt;0,AA384&gt;0,SUMPRODUCT(--('LÉEME'!$B$65:$B$86=AC384))&lt;&gt;1),1,0)))</f>
      </c>
      <c r="Y384" s="0" t="n">
        <f>IF(AND(P384="DIMENSIONES",S384="m²",COUNT(H384:J384)=3),1,0)</f>
        <v>0</v>
      </c>
      <c r="Z384" s="0" t="n">
        <f>IF(IF(ISNUMBER($E$6),AND($E$6&gt;=0,$E$6&lt;=6,$E$6=INT($E$6)),FALSE),IF(SUM(IF(ISNUMBER(F384),IF(ABS(F384-ROUND(F384,$E$6))&gt;0.00000001,1,0),0),IF(ISNUMBER(G384),IF(ABS(G384-ROUND(G384,$E$6))&gt;0.00000001,1,0),0),IF(ISNUMBER(H384),IF(ABS(H384-ROUND(H384,$E$6))&gt;0.00000001,1,0),0),IF(ISNUMBER(I384),IF(ABS(I384-ROUND(I384,$E$6))&gt;0.00000001,1,0),0),IF(ISNUMBER(J384),IF(ABS(J384-ROUND(J384,$E$6))&gt;0.00000001,1,0),0),IF(ISNUMBER(M384),IF(ABS(M384-ROUND(M384,$E$6))&gt;0.00000001,1,0),0))&gt;0,1,0),0)</f>
        <v>0</v>
      </c>
      <c r="AA384" s="0" t="n">
        <f>IF(COUNTA(B384:L384)=0,0,IF(OR(AND(ISNUMBER(F384),F384&lt;0),AND(U384=1,OR(SUM(IF(ISNUMBER(G384),IF(G384=0,1,0),0),IF(ISNUMBER(H384),IF(H384=0,1,0),0),IF(ISNUMBER(I384),IF(I384=0,1,0),0),IF(ISNUMBER(J384),IF(J384=0,1,0),0))&gt;0,COUNTIFS(G384:J384,"&lt;0")&gt;0)),AND(P384="DIMENSIONES",U384=1,OR(AND(S384="m",COUNT(H384:J384)&lt;&gt;1),AND(S384="m²",COUNT(H384:J384)&lt;&gt;2,Y384=0),AND(S384="m³",COUNT(H384:J384)&lt;&gt;3),AND(S384="ud",COUNT(H384:J384)&gt;0))),AND(P384="DIRECTA",OR(S384="m",S384="m²",S384="m³"))),1,0))</f>
        <v>0</v>
      </c>
      <c r="AB384" s="0">
        <f>IF(LEN(TRIM(E384&amp;""))&gt;0,E384,IF(R384&gt;0,INDEX($E$13:$E$512,R384),""))</f>
      </c>
      <c r="AC384" s="0">
        <f>UPPER(SUBSTITUTE(SUBSTITUTE(SUBSTITUTE(SUBSTITUTE(SUBSTITUTE(TRIM(AB384),"²","2"),"³","3"),"^",""),".","")," ",""))</f>
      </c>
    </row>
    <row r="385" ht="35" customHeight="1">
      <c r="B385" s="35"/>
      <c r="C385" s="35"/>
      <c r="D385" s="37"/>
      <c r="E385" s="35"/>
      <c r="F385" s="38"/>
      <c r="G385" s="38"/>
      <c r="H385" s="38"/>
      <c r="I385" s="38"/>
      <c r="J385" s="38"/>
      <c r="K385" s="35"/>
      <c r="L385" s="35"/>
      <c r="M385" s="39">
        <f>IF(U385&lt;&gt;1,"",IF(P385="DIRECTA",G385,IF(ISNUMBER(G385),G385,1)*IF(ISNUMBER(H385),H385,1)*IF(ISNUMBER(I385),I385,1)*IF(ISNUMBER(J385),J385,1)))</f>
      </c>
      <c r="N385" s="30">
        <f>IF(COUNTA(B385:L385)=0,"",IF(X385=0,IF(P385="CABECERA","VERDE · Fila descriptiva; la suma usa las líneas del ID","VERDE · Datos numéricos interpretables"),IF(X385=2,"ROJO · ","ÁMBAR · ")&amp;IF(NOT(IF(ISNUMBER($E$6),AND($E$6&gt;=0,$E$6&lt;=6,$E$6=INT($E$6)),FALSE)),"Indicamos entre 0 y 6 decimales en E6. ","")&amp;IF(O385=0,"Falta un ID numérico. ","")&amp;IF(R385=0,"Faltan capítulo, código, unidad o total numérico del ID. ","")&amp;IF(T385&gt;0,"Los datos o el total del ID se contradicen. ","")&amp;IF(AND(P385&lt;&gt;"DIMENSIONES",P385&lt;&gt;"DIRECTA",P385&lt;&gt;"SIN LÍNEAS",P385&lt;&gt;"CABECERA"),"Tipo de fila no reconocido. ","")&amp;IF(AND(OR(P385="SIN LÍNEAS",P385="CABECERA"),COUNTA(G385:J385)&gt;0),"La fila dice que no mide, pero contiene medidas. ","")&amp;IF(AND(OR(P385="DIRECTA",P385="DIMENSIONES"),U385=0),"Línea incompleta o con medidas no numéricas. ","")&amp;IF(P385="SIN LÍNEAS","No constan medidas de esta fila. ","")&amp;IF(Y385&gt;0,"Parece m³: tres dimensiones bajo m². ","")&amp;IF(AND(AB385&lt;&gt;"",SUMPRODUCT(--('LÉEME'!$B$65:$B$86=AC385))&lt;&gt;1),"Revisamos el significado de la unidad. ","")&amp;IF(Z385&gt;0,"Más precisión que los decimales indicados: cotejamos el original. ","")&amp;IF(AA385&gt;0,"Revisamos dimensiones, cantidad directa, ceros o deducción. ","")))</f>
      </c>
      <c r="O385" s="0" t="n">
        <f>IF(ISNUMBER(K385),IF(AND(K385&gt;0,K385=INT(K385),K385&lt;=999999),K385,0),0)</f>
        <v>0</v>
      </c>
      <c r="P385" s="0">
        <f>IF(COUNTA(B385:L385)=0,"",IF(L385="",IF(COUNTA(G385:J385)&gt;0,"DIMENSIONES","SIN LÍNEAS"),UPPER(TRIM(L385))))</f>
      </c>
      <c r="Q385" s="0">
        <f>IF(AND(O385&gt;0,LEN(TRIM(B385&amp;""))&gt;0,LEN(TRIM(C385&amp;""))&gt;0,LEN(TRIM(E385&amp;""))&gt;0,ISNUMBER(F385)),O385,"")</f>
      </c>
      <c r="R385" s="0" t="n">
        <f>IF(O385=0,0,IF(COUNTIFS($Q$13:$Q$512,O385)&gt;0,MATCH(O385,$Q$13:$Q$512,0),0))</f>
        <v>0</v>
      </c>
      <c r="S385" s="0">
        <f>IF(AB385="","",IF(SUMPRODUCT(--('LÉEME'!$B$65:$B$86=AC385))=1,INDEX('LÉEME'!$C$65:$C$86,MATCH(AC385,'LÉEME'!$B$65:$B$86,0)),UPPER(TRIM(AB385))))</f>
      </c>
      <c r="T385" s="0" t="n">
        <f>IF(R385=0,0,IF(OR(AND(LEN(TRIM(B385&amp;""))&gt;0,UPPER(TRIM(B385&amp;""))&lt;&gt;UPPER(TRIM(INDEX($B$13:$B$512,R385)&amp;""))),AND(LEN(TRIM(C385&amp;""))&gt;0,UPPER(TRIM(C385&amp;""))&lt;&gt;UPPER(TRIM(INDEX($C$13:$C$512,R385)&amp;""))),AND(LEN(TRIM(E385&amp;""))&gt;0,S385&lt;&gt;INDEX($S$13:$S$512,R385)),AND(F385&lt;&gt;"",NOT(ISNUMBER(F385)))),1,IF(ISNUMBER(F385),IF(ABS(F385-INDEX($F$13:$F$512,R385))&gt;0.00000001,1,0),0)))</f>
        <v>0</v>
      </c>
      <c r="U385" s="0" t="n">
        <f>IF(P385="DIRECTA",IF(AND(ISNUMBER(G385),COUNTA(H385:J385)=0),1,0),IF(P385="DIMENSIONES",IF(AND(COUNT(G385:J385)&gt;0,COUNTA(G385:J385)=COUNT(G385:J385)),1,0),0))</f>
        <v>0</v>
      </c>
      <c r="V385" s="0" t="n">
        <f>IF(O385=0,0,IF(COUNTIFS($O$13:O385,O385)=1,1,0))</f>
        <v>0</v>
      </c>
      <c r="W385" s="0">
        <f>IF(V385=1,COUNTIFS($V$13:V385,1),"")</f>
      </c>
      <c r="X385" s="0">
        <f>IF(COUNTA(B385:L385)=0,"",IF(OR(NOT(IF(ISNUMBER($E$6),AND($E$6&gt;=0,$E$6&lt;=6,$E$6=INT($E$6)),FALSE)),O385=0,R385=0,T385&gt;0,AND(P385&lt;&gt;"DIMENSIONES",P385&lt;&gt;"DIRECTA",P385&lt;&gt;"SIN LÍNEAS",P385&lt;&gt;"CABECERA"),AND(OR(P385="DIRECTA",P385="DIMENSIONES"),U385=0),AND(OR(P385="SIN LÍNEAS",P385="CABECERA"),COUNTA(G385:J385)&gt;0)),2,IF(OR(P385="SIN LÍNEAS",Y385&gt;0,Z385&gt;0,AA385&gt;0,SUMPRODUCT(--('LÉEME'!$B$65:$B$86=AC385))&lt;&gt;1),1,0)))</f>
      </c>
      <c r="Y385" s="0" t="n">
        <f>IF(AND(P385="DIMENSIONES",S385="m²",COUNT(H385:J385)=3),1,0)</f>
        <v>0</v>
      </c>
      <c r="Z385" s="0" t="n">
        <f>IF(IF(ISNUMBER($E$6),AND($E$6&gt;=0,$E$6&lt;=6,$E$6=INT($E$6)),FALSE),IF(SUM(IF(ISNUMBER(F385),IF(ABS(F385-ROUND(F385,$E$6))&gt;0.00000001,1,0),0),IF(ISNUMBER(G385),IF(ABS(G385-ROUND(G385,$E$6))&gt;0.00000001,1,0),0),IF(ISNUMBER(H385),IF(ABS(H385-ROUND(H385,$E$6))&gt;0.00000001,1,0),0),IF(ISNUMBER(I385),IF(ABS(I385-ROUND(I385,$E$6))&gt;0.00000001,1,0),0),IF(ISNUMBER(J385),IF(ABS(J385-ROUND(J385,$E$6))&gt;0.00000001,1,0),0),IF(ISNUMBER(M385),IF(ABS(M385-ROUND(M385,$E$6))&gt;0.00000001,1,0),0))&gt;0,1,0),0)</f>
        <v>0</v>
      </c>
      <c r="AA385" s="0" t="n">
        <f>IF(COUNTA(B385:L385)=0,0,IF(OR(AND(ISNUMBER(F385),F385&lt;0),AND(U385=1,OR(SUM(IF(ISNUMBER(G385),IF(G385=0,1,0),0),IF(ISNUMBER(H385),IF(H385=0,1,0),0),IF(ISNUMBER(I385),IF(I385=0,1,0),0),IF(ISNUMBER(J385),IF(J385=0,1,0),0))&gt;0,COUNTIFS(G385:J385,"&lt;0")&gt;0)),AND(P385="DIMENSIONES",U385=1,OR(AND(S385="m",COUNT(H385:J385)&lt;&gt;1),AND(S385="m²",COUNT(H385:J385)&lt;&gt;2,Y385=0),AND(S385="m³",COUNT(H385:J385)&lt;&gt;3),AND(S385="ud",COUNT(H385:J385)&gt;0))),AND(P385="DIRECTA",OR(S385="m",S385="m²",S385="m³"))),1,0))</f>
        <v>0</v>
      </c>
      <c r="AB385" s="0">
        <f>IF(LEN(TRIM(E385&amp;""))&gt;0,E385,IF(R385&gt;0,INDEX($E$13:$E$512,R385),""))</f>
      </c>
      <c r="AC385" s="0">
        <f>UPPER(SUBSTITUTE(SUBSTITUTE(SUBSTITUTE(SUBSTITUTE(SUBSTITUTE(TRIM(AB385),"²","2"),"³","3"),"^",""),".","")," ",""))</f>
      </c>
    </row>
    <row r="386" ht="35" customHeight="1">
      <c r="B386" s="35"/>
      <c r="C386" s="35"/>
      <c r="D386" s="37"/>
      <c r="E386" s="35"/>
      <c r="F386" s="38"/>
      <c r="G386" s="38"/>
      <c r="H386" s="38"/>
      <c r="I386" s="38"/>
      <c r="J386" s="38"/>
      <c r="K386" s="35"/>
      <c r="L386" s="35"/>
      <c r="M386" s="39">
        <f>IF(U386&lt;&gt;1,"",IF(P386="DIRECTA",G386,IF(ISNUMBER(G386),G386,1)*IF(ISNUMBER(H386),H386,1)*IF(ISNUMBER(I386),I386,1)*IF(ISNUMBER(J386),J386,1)))</f>
      </c>
      <c r="N386" s="30">
        <f>IF(COUNTA(B386:L386)=0,"",IF(X386=0,IF(P386="CABECERA","VERDE · Fila descriptiva; la suma usa las líneas del ID","VERDE · Datos numéricos interpretables"),IF(X386=2,"ROJO · ","ÁMBAR · ")&amp;IF(NOT(IF(ISNUMBER($E$6),AND($E$6&gt;=0,$E$6&lt;=6,$E$6=INT($E$6)),FALSE)),"Indicamos entre 0 y 6 decimales en E6. ","")&amp;IF(O386=0,"Falta un ID numérico. ","")&amp;IF(R386=0,"Faltan capítulo, código, unidad o total numérico del ID. ","")&amp;IF(T386&gt;0,"Los datos o el total del ID se contradicen. ","")&amp;IF(AND(P386&lt;&gt;"DIMENSIONES",P386&lt;&gt;"DIRECTA",P386&lt;&gt;"SIN LÍNEAS",P386&lt;&gt;"CABECERA"),"Tipo de fila no reconocido. ","")&amp;IF(AND(OR(P386="SIN LÍNEAS",P386="CABECERA"),COUNTA(G386:J386)&gt;0),"La fila dice que no mide, pero contiene medidas. ","")&amp;IF(AND(OR(P386="DIRECTA",P386="DIMENSIONES"),U386=0),"Línea incompleta o con medidas no numéricas. ","")&amp;IF(P386="SIN LÍNEAS","No constan medidas de esta fila. ","")&amp;IF(Y386&gt;0,"Parece m³: tres dimensiones bajo m². ","")&amp;IF(AND(AB386&lt;&gt;"",SUMPRODUCT(--('LÉEME'!$B$65:$B$86=AC386))&lt;&gt;1),"Revisamos el significado de la unidad. ","")&amp;IF(Z386&gt;0,"Más precisión que los decimales indicados: cotejamos el original. ","")&amp;IF(AA386&gt;0,"Revisamos dimensiones, cantidad directa, ceros o deducción. ","")))</f>
      </c>
      <c r="O386" s="0" t="n">
        <f>IF(ISNUMBER(K386),IF(AND(K386&gt;0,K386=INT(K386),K386&lt;=999999),K386,0),0)</f>
        <v>0</v>
      </c>
      <c r="P386" s="0">
        <f>IF(COUNTA(B386:L386)=0,"",IF(L386="",IF(COUNTA(G386:J386)&gt;0,"DIMENSIONES","SIN LÍNEAS"),UPPER(TRIM(L386))))</f>
      </c>
      <c r="Q386" s="0">
        <f>IF(AND(O386&gt;0,LEN(TRIM(B386&amp;""))&gt;0,LEN(TRIM(C386&amp;""))&gt;0,LEN(TRIM(E386&amp;""))&gt;0,ISNUMBER(F386)),O386,"")</f>
      </c>
      <c r="R386" s="0" t="n">
        <f>IF(O386=0,0,IF(COUNTIFS($Q$13:$Q$512,O386)&gt;0,MATCH(O386,$Q$13:$Q$512,0),0))</f>
        <v>0</v>
      </c>
      <c r="S386" s="0">
        <f>IF(AB386="","",IF(SUMPRODUCT(--('LÉEME'!$B$65:$B$86=AC386))=1,INDEX('LÉEME'!$C$65:$C$86,MATCH(AC386,'LÉEME'!$B$65:$B$86,0)),UPPER(TRIM(AB386))))</f>
      </c>
      <c r="T386" s="0" t="n">
        <f>IF(R386=0,0,IF(OR(AND(LEN(TRIM(B386&amp;""))&gt;0,UPPER(TRIM(B386&amp;""))&lt;&gt;UPPER(TRIM(INDEX($B$13:$B$512,R386)&amp;""))),AND(LEN(TRIM(C386&amp;""))&gt;0,UPPER(TRIM(C386&amp;""))&lt;&gt;UPPER(TRIM(INDEX($C$13:$C$512,R386)&amp;""))),AND(LEN(TRIM(E386&amp;""))&gt;0,S386&lt;&gt;INDEX($S$13:$S$512,R386)),AND(F386&lt;&gt;"",NOT(ISNUMBER(F386)))),1,IF(ISNUMBER(F386),IF(ABS(F386-INDEX($F$13:$F$512,R386))&gt;0.00000001,1,0),0)))</f>
        <v>0</v>
      </c>
      <c r="U386" s="0" t="n">
        <f>IF(P386="DIRECTA",IF(AND(ISNUMBER(G386),COUNTA(H386:J386)=0),1,0),IF(P386="DIMENSIONES",IF(AND(COUNT(G386:J386)&gt;0,COUNTA(G386:J386)=COUNT(G386:J386)),1,0),0))</f>
        <v>0</v>
      </c>
      <c r="V386" s="0" t="n">
        <f>IF(O386=0,0,IF(COUNTIFS($O$13:O386,O386)=1,1,0))</f>
        <v>0</v>
      </c>
      <c r="W386" s="0">
        <f>IF(V386=1,COUNTIFS($V$13:V386,1),"")</f>
      </c>
      <c r="X386" s="0">
        <f>IF(COUNTA(B386:L386)=0,"",IF(OR(NOT(IF(ISNUMBER($E$6),AND($E$6&gt;=0,$E$6&lt;=6,$E$6=INT($E$6)),FALSE)),O386=0,R386=0,T386&gt;0,AND(P386&lt;&gt;"DIMENSIONES",P386&lt;&gt;"DIRECTA",P386&lt;&gt;"SIN LÍNEAS",P386&lt;&gt;"CABECERA"),AND(OR(P386="DIRECTA",P386="DIMENSIONES"),U386=0),AND(OR(P386="SIN LÍNEAS",P386="CABECERA"),COUNTA(G386:J386)&gt;0)),2,IF(OR(P386="SIN LÍNEAS",Y386&gt;0,Z386&gt;0,AA386&gt;0,SUMPRODUCT(--('LÉEME'!$B$65:$B$86=AC386))&lt;&gt;1),1,0)))</f>
      </c>
      <c r="Y386" s="0" t="n">
        <f>IF(AND(P386="DIMENSIONES",S386="m²",COUNT(H386:J386)=3),1,0)</f>
        <v>0</v>
      </c>
      <c r="Z386" s="0" t="n">
        <f>IF(IF(ISNUMBER($E$6),AND($E$6&gt;=0,$E$6&lt;=6,$E$6=INT($E$6)),FALSE),IF(SUM(IF(ISNUMBER(F386),IF(ABS(F386-ROUND(F386,$E$6))&gt;0.00000001,1,0),0),IF(ISNUMBER(G386),IF(ABS(G386-ROUND(G386,$E$6))&gt;0.00000001,1,0),0),IF(ISNUMBER(H386),IF(ABS(H386-ROUND(H386,$E$6))&gt;0.00000001,1,0),0),IF(ISNUMBER(I386),IF(ABS(I386-ROUND(I386,$E$6))&gt;0.00000001,1,0),0),IF(ISNUMBER(J386),IF(ABS(J386-ROUND(J386,$E$6))&gt;0.00000001,1,0),0),IF(ISNUMBER(M386),IF(ABS(M386-ROUND(M386,$E$6))&gt;0.00000001,1,0),0))&gt;0,1,0),0)</f>
        <v>0</v>
      </c>
      <c r="AA386" s="0" t="n">
        <f>IF(COUNTA(B386:L386)=0,0,IF(OR(AND(ISNUMBER(F386),F386&lt;0),AND(U386=1,OR(SUM(IF(ISNUMBER(G386),IF(G386=0,1,0),0),IF(ISNUMBER(H386),IF(H386=0,1,0),0),IF(ISNUMBER(I386),IF(I386=0,1,0),0),IF(ISNUMBER(J386),IF(J386=0,1,0),0))&gt;0,COUNTIFS(G386:J386,"&lt;0")&gt;0)),AND(P386="DIMENSIONES",U386=1,OR(AND(S386="m",COUNT(H386:J386)&lt;&gt;1),AND(S386="m²",COUNT(H386:J386)&lt;&gt;2,Y386=0),AND(S386="m³",COUNT(H386:J386)&lt;&gt;3),AND(S386="ud",COUNT(H386:J386)&gt;0))),AND(P386="DIRECTA",OR(S386="m",S386="m²",S386="m³"))),1,0))</f>
        <v>0</v>
      </c>
      <c r="AB386" s="0">
        <f>IF(LEN(TRIM(E386&amp;""))&gt;0,E386,IF(R386&gt;0,INDEX($E$13:$E$512,R386),""))</f>
      </c>
      <c r="AC386" s="0">
        <f>UPPER(SUBSTITUTE(SUBSTITUTE(SUBSTITUTE(SUBSTITUTE(SUBSTITUTE(TRIM(AB386),"²","2"),"³","3"),"^",""),".","")," ",""))</f>
      </c>
    </row>
    <row r="387" ht="35" customHeight="1">
      <c r="B387" s="35"/>
      <c r="C387" s="35"/>
      <c r="D387" s="37"/>
      <c r="E387" s="35"/>
      <c r="F387" s="38"/>
      <c r="G387" s="38"/>
      <c r="H387" s="38"/>
      <c r="I387" s="38"/>
      <c r="J387" s="38"/>
      <c r="K387" s="35"/>
      <c r="L387" s="35"/>
      <c r="M387" s="39">
        <f>IF(U387&lt;&gt;1,"",IF(P387="DIRECTA",G387,IF(ISNUMBER(G387),G387,1)*IF(ISNUMBER(H387),H387,1)*IF(ISNUMBER(I387),I387,1)*IF(ISNUMBER(J387),J387,1)))</f>
      </c>
      <c r="N387" s="30">
        <f>IF(COUNTA(B387:L387)=0,"",IF(X387=0,IF(P387="CABECERA","VERDE · Fila descriptiva; la suma usa las líneas del ID","VERDE · Datos numéricos interpretables"),IF(X387=2,"ROJO · ","ÁMBAR · ")&amp;IF(NOT(IF(ISNUMBER($E$6),AND($E$6&gt;=0,$E$6&lt;=6,$E$6=INT($E$6)),FALSE)),"Indicamos entre 0 y 6 decimales en E6. ","")&amp;IF(O387=0,"Falta un ID numérico. ","")&amp;IF(R387=0,"Faltan capítulo, código, unidad o total numérico del ID. ","")&amp;IF(T387&gt;0,"Los datos o el total del ID se contradicen. ","")&amp;IF(AND(P387&lt;&gt;"DIMENSIONES",P387&lt;&gt;"DIRECTA",P387&lt;&gt;"SIN LÍNEAS",P387&lt;&gt;"CABECERA"),"Tipo de fila no reconocido. ","")&amp;IF(AND(OR(P387="SIN LÍNEAS",P387="CABECERA"),COUNTA(G387:J387)&gt;0),"La fila dice que no mide, pero contiene medidas. ","")&amp;IF(AND(OR(P387="DIRECTA",P387="DIMENSIONES"),U387=0),"Línea incompleta o con medidas no numéricas. ","")&amp;IF(P387="SIN LÍNEAS","No constan medidas de esta fila. ","")&amp;IF(Y387&gt;0,"Parece m³: tres dimensiones bajo m². ","")&amp;IF(AND(AB387&lt;&gt;"",SUMPRODUCT(--('LÉEME'!$B$65:$B$86=AC387))&lt;&gt;1),"Revisamos el significado de la unidad. ","")&amp;IF(Z387&gt;0,"Más precisión que los decimales indicados: cotejamos el original. ","")&amp;IF(AA387&gt;0,"Revisamos dimensiones, cantidad directa, ceros o deducción. ","")))</f>
      </c>
      <c r="O387" s="0" t="n">
        <f>IF(ISNUMBER(K387),IF(AND(K387&gt;0,K387=INT(K387),K387&lt;=999999),K387,0),0)</f>
        <v>0</v>
      </c>
      <c r="P387" s="0">
        <f>IF(COUNTA(B387:L387)=0,"",IF(L387="",IF(COUNTA(G387:J387)&gt;0,"DIMENSIONES","SIN LÍNEAS"),UPPER(TRIM(L387))))</f>
      </c>
      <c r="Q387" s="0">
        <f>IF(AND(O387&gt;0,LEN(TRIM(B387&amp;""))&gt;0,LEN(TRIM(C387&amp;""))&gt;0,LEN(TRIM(E387&amp;""))&gt;0,ISNUMBER(F387)),O387,"")</f>
      </c>
      <c r="R387" s="0" t="n">
        <f>IF(O387=0,0,IF(COUNTIFS($Q$13:$Q$512,O387)&gt;0,MATCH(O387,$Q$13:$Q$512,0),0))</f>
        <v>0</v>
      </c>
      <c r="S387" s="0">
        <f>IF(AB387="","",IF(SUMPRODUCT(--('LÉEME'!$B$65:$B$86=AC387))=1,INDEX('LÉEME'!$C$65:$C$86,MATCH(AC387,'LÉEME'!$B$65:$B$86,0)),UPPER(TRIM(AB387))))</f>
      </c>
      <c r="T387" s="0" t="n">
        <f>IF(R387=0,0,IF(OR(AND(LEN(TRIM(B387&amp;""))&gt;0,UPPER(TRIM(B387&amp;""))&lt;&gt;UPPER(TRIM(INDEX($B$13:$B$512,R387)&amp;""))),AND(LEN(TRIM(C387&amp;""))&gt;0,UPPER(TRIM(C387&amp;""))&lt;&gt;UPPER(TRIM(INDEX($C$13:$C$512,R387)&amp;""))),AND(LEN(TRIM(E387&amp;""))&gt;0,S387&lt;&gt;INDEX($S$13:$S$512,R387)),AND(F387&lt;&gt;"",NOT(ISNUMBER(F387)))),1,IF(ISNUMBER(F387),IF(ABS(F387-INDEX($F$13:$F$512,R387))&gt;0.00000001,1,0),0)))</f>
        <v>0</v>
      </c>
      <c r="U387" s="0" t="n">
        <f>IF(P387="DIRECTA",IF(AND(ISNUMBER(G387),COUNTA(H387:J387)=0),1,0),IF(P387="DIMENSIONES",IF(AND(COUNT(G387:J387)&gt;0,COUNTA(G387:J387)=COUNT(G387:J387)),1,0),0))</f>
        <v>0</v>
      </c>
      <c r="V387" s="0" t="n">
        <f>IF(O387=0,0,IF(COUNTIFS($O$13:O387,O387)=1,1,0))</f>
        <v>0</v>
      </c>
      <c r="W387" s="0">
        <f>IF(V387=1,COUNTIFS($V$13:V387,1),"")</f>
      </c>
      <c r="X387" s="0">
        <f>IF(COUNTA(B387:L387)=0,"",IF(OR(NOT(IF(ISNUMBER($E$6),AND($E$6&gt;=0,$E$6&lt;=6,$E$6=INT($E$6)),FALSE)),O387=0,R387=0,T387&gt;0,AND(P387&lt;&gt;"DIMENSIONES",P387&lt;&gt;"DIRECTA",P387&lt;&gt;"SIN LÍNEAS",P387&lt;&gt;"CABECERA"),AND(OR(P387="DIRECTA",P387="DIMENSIONES"),U387=0),AND(OR(P387="SIN LÍNEAS",P387="CABECERA"),COUNTA(G387:J387)&gt;0)),2,IF(OR(P387="SIN LÍNEAS",Y387&gt;0,Z387&gt;0,AA387&gt;0,SUMPRODUCT(--('LÉEME'!$B$65:$B$86=AC387))&lt;&gt;1),1,0)))</f>
      </c>
      <c r="Y387" s="0" t="n">
        <f>IF(AND(P387="DIMENSIONES",S387="m²",COUNT(H387:J387)=3),1,0)</f>
        <v>0</v>
      </c>
      <c r="Z387" s="0" t="n">
        <f>IF(IF(ISNUMBER($E$6),AND($E$6&gt;=0,$E$6&lt;=6,$E$6=INT($E$6)),FALSE),IF(SUM(IF(ISNUMBER(F387),IF(ABS(F387-ROUND(F387,$E$6))&gt;0.00000001,1,0),0),IF(ISNUMBER(G387),IF(ABS(G387-ROUND(G387,$E$6))&gt;0.00000001,1,0),0),IF(ISNUMBER(H387),IF(ABS(H387-ROUND(H387,$E$6))&gt;0.00000001,1,0),0),IF(ISNUMBER(I387),IF(ABS(I387-ROUND(I387,$E$6))&gt;0.00000001,1,0),0),IF(ISNUMBER(J387),IF(ABS(J387-ROUND(J387,$E$6))&gt;0.00000001,1,0),0),IF(ISNUMBER(M387),IF(ABS(M387-ROUND(M387,$E$6))&gt;0.00000001,1,0),0))&gt;0,1,0),0)</f>
        <v>0</v>
      </c>
      <c r="AA387" s="0" t="n">
        <f>IF(COUNTA(B387:L387)=0,0,IF(OR(AND(ISNUMBER(F387),F387&lt;0),AND(U387=1,OR(SUM(IF(ISNUMBER(G387),IF(G387=0,1,0),0),IF(ISNUMBER(H387),IF(H387=0,1,0),0),IF(ISNUMBER(I387),IF(I387=0,1,0),0),IF(ISNUMBER(J387),IF(J387=0,1,0),0))&gt;0,COUNTIFS(G387:J387,"&lt;0")&gt;0)),AND(P387="DIMENSIONES",U387=1,OR(AND(S387="m",COUNT(H387:J387)&lt;&gt;1),AND(S387="m²",COUNT(H387:J387)&lt;&gt;2,Y387=0),AND(S387="m³",COUNT(H387:J387)&lt;&gt;3),AND(S387="ud",COUNT(H387:J387)&gt;0))),AND(P387="DIRECTA",OR(S387="m",S387="m²",S387="m³"))),1,0))</f>
        <v>0</v>
      </c>
      <c r="AB387" s="0">
        <f>IF(LEN(TRIM(E387&amp;""))&gt;0,E387,IF(R387&gt;0,INDEX($E$13:$E$512,R387),""))</f>
      </c>
      <c r="AC387" s="0">
        <f>UPPER(SUBSTITUTE(SUBSTITUTE(SUBSTITUTE(SUBSTITUTE(SUBSTITUTE(TRIM(AB387),"²","2"),"³","3"),"^",""),".","")," ",""))</f>
      </c>
    </row>
    <row r="388" ht="35" customHeight="1">
      <c r="B388" s="35"/>
      <c r="C388" s="35"/>
      <c r="D388" s="37"/>
      <c r="E388" s="35"/>
      <c r="F388" s="38"/>
      <c r="G388" s="38"/>
      <c r="H388" s="38"/>
      <c r="I388" s="38"/>
      <c r="J388" s="38"/>
      <c r="K388" s="35"/>
      <c r="L388" s="35"/>
      <c r="M388" s="39">
        <f>IF(U388&lt;&gt;1,"",IF(P388="DIRECTA",G388,IF(ISNUMBER(G388),G388,1)*IF(ISNUMBER(H388),H388,1)*IF(ISNUMBER(I388),I388,1)*IF(ISNUMBER(J388),J388,1)))</f>
      </c>
      <c r="N388" s="30">
        <f>IF(COUNTA(B388:L388)=0,"",IF(X388=0,IF(P388="CABECERA","VERDE · Fila descriptiva; la suma usa las líneas del ID","VERDE · Datos numéricos interpretables"),IF(X388=2,"ROJO · ","ÁMBAR · ")&amp;IF(NOT(IF(ISNUMBER($E$6),AND($E$6&gt;=0,$E$6&lt;=6,$E$6=INT($E$6)),FALSE)),"Indicamos entre 0 y 6 decimales en E6. ","")&amp;IF(O388=0,"Falta un ID numérico. ","")&amp;IF(R388=0,"Faltan capítulo, código, unidad o total numérico del ID. ","")&amp;IF(T388&gt;0,"Los datos o el total del ID se contradicen. ","")&amp;IF(AND(P388&lt;&gt;"DIMENSIONES",P388&lt;&gt;"DIRECTA",P388&lt;&gt;"SIN LÍNEAS",P388&lt;&gt;"CABECERA"),"Tipo de fila no reconocido. ","")&amp;IF(AND(OR(P388="SIN LÍNEAS",P388="CABECERA"),COUNTA(G388:J388)&gt;0),"La fila dice que no mide, pero contiene medidas. ","")&amp;IF(AND(OR(P388="DIRECTA",P388="DIMENSIONES"),U388=0),"Línea incompleta o con medidas no numéricas. ","")&amp;IF(P388="SIN LÍNEAS","No constan medidas de esta fila. ","")&amp;IF(Y388&gt;0,"Parece m³: tres dimensiones bajo m². ","")&amp;IF(AND(AB388&lt;&gt;"",SUMPRODUCT(--('LÉEME'!$B$65:$B$86=AC388))&lt;&gt;1),"Revisamos el significado de la unidad. ","")&amp;IF(Z388&gt;0,"Más precisión que los decimales indicados: cotejamos el original. ","")&amp;IF(AA388&gt;0,"Revisamos dimensiones, cantidad directa, ceros o deducción. ","")))</f>
      </c>
      <c r="O388" s="0" t="n">
        <f>IF(ISNUMBER(K388),IF(AND(K388&gt;0,K388=INT(K388),K388&lt;=999999),K388,0),0)</f>
        <v>0</v>
      </c>
      <c r="P388" s="0">
        <f>IF(COUNTA(B388:L388)=0,"",IF(L388="",IF(COUNTA(G388:J388)&gt;0,"DIMENSIONES","SIN LÍNEAS"),UPPER(TRIM(L388))))</f>
      </c>
      <c r="Q388" s="0">
        <f>IF(AND(O388&gt;0,LEN(TRIM(B388&amp;""))&gt;0,LEN(TRIM(C388&amp;""))&gt;0,LEN(TRIM(E388&amp;""))&gt;0,ISNUMBER(F388)),O388,"")</f>
      </c>
      <c r="R388" s="0" t="n">
        <f>IF(O388=0,0,IF(COUNTIFS($Q$13:$Q$512,O388)&gt;0,MATCH(O388,$Q$13:$Q$512,0),0))</f>
        <v>0</v>
      </c>
      <c r="S388" s="0">
        <f>IF(AB388="","",IF(SUMPRODUCT(--('LÉEME'!$B$65:$B$86=AC388))=1,INDEX('LÉEME'!$C$65:$C$86,MATCH(AC388,'LÉEME'!$B$65:$B$86,0)),UPPER(TRIM(AB388))))</f>
      </c>
      <c r="T388" s="0" t="n">
        <f>IF(R388=0,0,IF(OR(AND(LEN(TRIM(B388&amp;""))&gt;0,UPPER(TRIM(B388&amp;""))&lt;&gt;UPPER(TRIM(INDEX($B$13:$B$512,R388)&amp;""))),AND(LEN(TRIM(C388&amp;""))&gt;0,UPPER(TRIM(C388&amp;""))&lt;&gt;UPPER(TRIM(INDEX($C$13:$C$512,R388)&amp;""))),AND(LEN(TRIM(E388&amp;""))&gt;0,S388&lt;&gt;INDEX($S$13:$S$512,R388)),AND(F388&lt;&gt;"",NOT(ISNUMBER(F388)))),1,IF(ISNUMBER(F388),IF(ABS(F388-INDEX($F$13:$F$512,R388))&gt;0.00000001,1,0),0)))</f>
        <v>0</v>
      </c>
      <c r="U388" s="0" t="n">
        <f>IF(P388="DIRECTA",IF(AND(ISNUMBER(G388),COUNTA(H388:J388)=0),1,0),IF(P388="DIMENSIONES",IF(AND(COUNT(G388:J388)&gt;0,COUNTA(G388:J388)=COUNT(G388:J388)),1,0),0))</f>
        <v>0</v>
      </c>
      <c r="V388" s="0" t="n">
        <f>IF(O388=0,0,IF(COUNTIFS($O$13:O388,O388)=1,1,0))</f>
        <v>0</v>
      </c>
      <c r="W388" s="0">
        <f>IF(V388=1,COUNTIFS($V$13:V388,1),"")</f>
      </c>
      <c r="X388" s="0">
        <f>IF(COUNTA(B388:L388)=0,"",IF(OR(NOT(IF(ISNUMBER($E$6),AND($E$6&gt;=0,$E$6&lt;=6,$E$6=INT($E$6)),FALSE)),O388=0,R388=0,T388&gt;0,AND(P388&lt;&gt;"DIMENSIONES",P388&lt;&gt;"DIRECTA",P388&lt;&gt;"SIN LÍNEAS",P388&lt;&gt;"CABECERA"),AND(OR(P388="DIRECTA",P388="DIMENSIONES"),U388=0),AND(OR(P388="SIN LÍNEAS",P388="CABECERA"),COUNTA(G388:J388)&gt;0)),2,IF(OR(P388="SIN LÍNEAS",Y388&gt;0,Z388&gt;0,AA388&gt;0,SUMPRODUCT(--('LÉEME'!$B$65:$B$86=AC388))&lt;&gt;1),1,0)))</f>
      </c>
      <c r="Y388" s="0" t="n">
        <f>IF(AND(P388="DIMENSIONES",S388="m²",COUNT(H388:J388)=3),1,0)</f>
        <v>0</v>
      </c>
      <c r="Z388" s="0" t="n">
        <f>IF(IF(ISNUMBER($E$6),AND($E$6&gt;=0,$E$6&lt;=6,$E$6=INT($E$6)),FALSE),IF(SUM(IF(ISNUMBER(F388),IF(ABS(F388-ROUND(F388,$E$6))&gt;0.00000001,1,0),0),IF(ISNUMBER(G388),IF(ABS(G388-ROUND(G388,$E$6))&gt;0.00000001,1,0),0),IF(ISNUMBER(H388),IF(ABS(H388-ROUND(H388,$E$6))&gt;0.00000001,1,0),0),IF(ISNUMBER(I388),IF(ABS(I388-ROUND(I388,$E$6))&gt;0.00000001,1,0),0),IF(ISNUMBER(J388),IF(ABS(J388-ROUND(J388,$E$6))&gt;0.00000001,1,0),0),IF(ISNUMBER(M388),IF(ABS(M388-ROUND(M388,$E$6))&gt;0.00000001,1,0),0))&gt;0,1,0),0)</f>
        <v>0</v>
      </c>
      <c r="AA388" s="0" t="n">
        <f>IF(COUNTA(B388:L388)=0,0,IF(OR(AND(ISNUMBER(F388),F388&lt;0),AND(U388=1,OR(SUM(IF(ISNUMBER(G388),IF(G388=0,1,0),0),IF(ISNUMBER(H388),IF(H388=0,1,0),0),IF(ISNUMBER(I388),IF(I388=0,1,0),0),IF(ISNUMBER(J388),IF(J388=0,1,0),0))&gt;0,COUNTIFS(G388:J388,"&lt;0")&gt;0)),AND(P388="DIMENSIONES",U388=1,OR(AND(S388="m",COUNT(H388:J388)&lt;&gt;1),AND(S388="m²",COUNT(H388:J388)&lt;&gt;2,Y388=0),AND(S388="m³",COUNT(H388:J388)&lt;&gt;3),AND(S388="ud",COUNT(H388:J388)&gt;0))),AND(P388="DIRECTA",OR(S388="m",S388="m²",S388="m³"))),1,0))</f>
        <v>0</v>
      </c>
      <c r="AB388" s="0">
        <f>IF(LEN(TRIM(E388&amp;""))&gt;0,E388,IF(R388&gt;0,INDEX($E$13:$E$512,R388),""))</f>
      </c>
      <c r="AC388" s="0">
        <f>UPPER(SUBSTITUTE(SUBSTITUTE(SUBSTITUTE(SUBSTITUTE(SUBSTITUTE(TRIM(AB388),"²","2"),"³","3"),"^",""),".","")," ",""))</f>
      </c>
    </row>
    <row r="389" ht="35" customHeight="1">
      <c r="B389" s="35"/>
      <c r="C389" s="35"/>
      <c r="D389" s="37"/>
      <c r="E389" s="35"/>
      <c r="F389" s="38"/>
      <c r="G389" s="38"/>
      <c r="H389" s="38"/>
      <c r="I389" s="38"/>
      <c r="J389" s="38"/>
      <c r="K389" s="35"/>
      <c r="L389" s="35"/>
      <c r="M389" s="39">
        <f>IF(U389&lt;&gt;1,"",IF(P389="DIRECTA",G389,IF(ISNUMBER(G389),G389,1)*IF(ISNUMBER(H389),H389,1)*IF(ISNUMBER(I389),I389,1)*IF(ISNUMBER(J389),J389,1)))</f>
      </c>
      <c r="N389" s="30">
        <f>IF(COUNTA(B389:L389)=0,"",IF(X389=0,IF(P389="CABECERA","VERDE · Fila descriptiva; la suma usa las líneas del ID","VERDE · Datos numéricos interpretables"),IF(X389=2,"ROJO · ","ÁMBAR · ")&amp;IF(NOT(IF(ISNUMBER($E$6),AND($E$6&gt;=0,$E$6&lt;=6,$E$6=INT($E$6)),FALSE)),"Indicamos entre 0 y 6 decimales en E6. ","")&amp;IF(O389=0,"Falta un ID numérico. ","")&amp;IF(R389=0,"Faltan capítulo, código, unidad o total numérico del ID. ","")&amp;IF(T389&gt;0,"Los datos o el total del ID se contradicen. ","")&amp;IF(AND(P389&lt;&gt;"DIMENSIONES",P389&lt;&gt;"DIRECTA",P389&lt;&gt;"SIN LÍNEAS",P389&lt;&gt;"CABECERA"),"Tipo de fila no reconocido. ","")&amp;IF(AND(OR(P389="SIN LÍNEAS",P389="CABECERA"),COUNTA(G389:J389)&gt;0),"La fila dice que no mide, pero contiene medidas. ","")&amp;IF(AND(OR(P389="DIRECTA",P389="DIMENSIONES"),U389=0),"Línea incompleta o con medidas no numéricas. ","")&amp;IF(P389="SIN LÍNEAS","No constan medidas de esta fila. ","")&amp;IF(Y389&gt;0,"Parece m³: tres dimensiones bajo m². ","")&amp;IF(AND(AB389&lt;&gt;"",SUMPRODUCT(--('LÉEME'!$B$65:$B$86=AC389))&lt;&gt;1),"Revisamos el significado de la unidad. ","")&amp;IF(Z389&gt;0,"Más precisión que los decimales indicados: cotejamos el original. ","")&amp;IF(AA389&gt;0,"Revisamos dimensiones, cantidad directa, ceros o deducción. ","")))</f>
      </c>
      <c r="O389" s="0" t="n">
        <f>IF(ISNUMBER(K389),IF(AND(K389&gt;0,K389=INT(K389),K389&lt;=999999),K389,0),0)</f>
        <v>0</v>
      </c>
      <c r="P389" s="0">
        <f>IF(COUNTA(B389:L389)=0,"",IF(L389="",IF(COUNTA(G389:J389)&gt;0,"DIMENSIONES","SIN LÍNEAS"),UPPER(TRIM(L389))))</f>
      </c>
      <c r="Q389" s="0">
        <f>IF(AND(O389&gt;0,LEN(TRIM(B389&amp;""))&gt;0,LEN(TRIM(C389&amp;""))&gt;0,LEN(TRIM(E389&amp;""))&gt;0,ISNUMBER(F389)),O389,"")</f>
      </c>
      <c r="R389" s="0" t="n">
        <f>IF(O389=0,0,IF(COUNTIFS($Q$13:$Q$512,O389)&gt;0,MATCH(O389,$Q$13:$Q$512,0),0))</f>
        <v>0</v>
      </c>
      <c r="S389" s="0">
        <f>IF(AB389="","",IF(SUMPRODUCT(--('LÉEME'!$B$65:$B$86=AC389))=1,INDEX('LÉEME'!$C$65:$C$86,MATCH(AC389,'LÉEME'!$B$65:$B$86,0)),UPPER(TRIM(AB389))))</f>
      </c>
      <c r="T389" s="0" t="n">
        <f>IF(R389=0,0,IF(OR(AND(LEN(TRIM(B389&amp;""))&gt;0,UPPER(TRIM(B389&amp;""))&lt;&gt;UPPER(TRIM(INDEX($B$13:$B$512,R389)&amp;""))),AND(LEN(TRIM(C389&amp;""))&gt;0,UPPER(TRIM(C389&amp;""))&lt;&gt;UPPER(TRIM(INDEX($C$13:$C$512,R389)&amp;""))),AND(LEN(TRIM(E389&amp;""))&gt;0,S389&lt;&gt;INDEX($S$13:$S$512,R389)),AND(F389&lt;&gt;"",NOT(ISNUMBER(F389)))),1,IF(ISNUMBER(F389),IF(ABS(F389-INDEX($F$13:$F$512,R389))&gt;0.00000001,1,0),0)))</f>
        <v>0</v>
      </c>
      <c r="U389" s="0" t="n">
        <f>IF(P389="DIRECTA",IF(AND(ISNUMBER(G389),COUNTA(H389:J389)=0),1,0),IF(P389="DIMENSIONES",IF(AND(COUNT(G389:J389)&gt;0,COUNTA(G389:J389)=COUNT(G389:J389)),1,0),0))</f>
        <v>0</v>
      </c>
      <c r="V389" s="0" t="n">
        <f>IF(O389=0,0,IF(COUNTIFS($O$13:O389,O389)=1,1,0))</f>
        <v>0</v>
      </c>
      <c r="W389" s="0">
        <f>IF(V389=1,COUNTIFS($V$13:V389,1),"")</f>
      </c>
      <c r="X389" s="0">
        <f>IF(COUNTA(B389:L389)=0,"",IF(OR(NOT(IF(ISNUMBER($E$6),AND($E$6&gt;=0,$E$6&lt;=6,$E$6=INT($E$6)),FALSE)),O389=0,R389=0,T389&gt;0,AND(P389&lt;&gt;"DIMENSIONES",P389&lt;&gt;"DIRECTA",P389&lt;&gt;"SIN LÍNEAS",P389&lt;&gt;"CABECERA"),AND(OR(P389="DIRECTA",P389="DIMENSIONES"),U389=0),AND(OR(P389="SIN LÍNEAS",P389="CABECERA"),COUNTA(G389:J389)&gt;0)),2,IF(OR(P389="SIN LÍNEAS",Y389&gt;0,Z389&gt;0,AA389&gt;0,SUMPRODUCT(--('LÉEME'!$B$65:$B$86=AC389))&lt;&gt;1),1,0)))</f>
      </c>
      <c r="Y389" s="0" t="n">
        <f>IF(AND(P389="DIMENSIONES",S389="m²",COUNT(H389:J389)=3),1,0)</f>
        <v>0</v>
      </c>
      <c r="Z389" s="0" t="n">
        <f>IF(IF(ISNUMBER($E$6),AND($E$6&gt;=0,$E$6&lt;=6,$E$6=INT($E$6)),FALSE),IF(SUM(IF(ISNUMBER(F389),IF(ABS(F389-ROUND(F389,$E$6))&gt;0.00000001,1,0),0),IF(ISNUMBER(G389),IF(ABS(G389-ROUND(G389,$E$6))&gt;0.00000001,1,0),0),IF(ISNUMBER(H389),IF(ABS(H389-ROUND(H389,$E$6))&gt;0.00000001,1,0),0),IF(ISNUMBER(I389),IF(ABS(I389-ROUND(I389,$E$6))&gt;0.00000001,1,0),0),IF(ISNUMBER(J389),IF(ABS(J389-ROUND(J389,$E$6))&gt;0.00000001,1,0),0),IF(ISNUMBER(M389),IF(ABS(M389-ROUND(M389,$E$6))&gt;0.00000001,1,0),0))&gt;0,1,0),0)</f>
        <v>0</v>
      </c>
      <c r="AA389" s="0" t="n">
        <f>IF(COUNTA(B389:L389)=0,0,IF(OR(AND(ISNUMBER(F389),F389&lt;0),AND(U389=1,OR(SUM(IF(ISNUMBER(G389),IF(G389=0,1,0),0),IF(ISNUMBER(H389),IF(H389=0,1,0),0),IF(ISNUMBER(I389),IF(I389=0,1,0),0),IF(ISNUMBER(J389),IF(J389=0,1,0),0))&gt;0,COUNTIFS(G389:J389,"&lt;0")&gt;0)),AND(P389="DIMENSIONES",U389=1,OR(AND(S389="m",COUNT(H389:J389)&lt;&gt;1),AND(S389="m²",COUNT(H389:J389)&lt;&gt;2,Y389=0),AND(S389="m³",COUNT(H389:J389)&lt;&gt;3),AND(S389="ud",COUNT(H389:J389)&gt;0))),AND(P389="DIRECTA",OR(S389="m",S389="m²",S389="m³"))),1,0))</f>
        <v>0</v>
      </c>
      <c r="AB389" s="0">
        <f>IF(LEN(TRIM(E389&amp;""))&gt;0,E389,IF(R389&gt;0,INDEX($E$13:$E$512,R389),""))</f>
      </c>
      <c r="AC389" s="0">
        <f>UPPER(SUBSTITUTE(SUBSTITUTE(SUBSTITUTE(SUBSTITUTE(SUBSTITUTE(TRIM(AB389),"²","2"),"³","3"),"^",""),".","")," ",""))</f>
      </c>
    </row>
    <row r="390" ht="35" customHeight="1">
      <c r="B390" s="35"/>
      <c r="C390" s="35"/>
      <c r="D390" s="37"/>
      <c r="E390" s="35"/>
      <c r="F390" s="38"/>
      <c r="G390" s="38"/>
      <c r="H390" s="38"/>
      <c r="I390" s="38"/>
      <c r="J390" s="38"/>
      <c r="K390" s="35"/>
      <c r="L390" s="35"/>
      <c r="M390" s="39">
        <f>IF(U390&lt;&gt;1,"",IF(P390="DIRECTA",G390,IF(ISNUMBER(G390),G390,1)*IF(ISNUMBER(H390),H390,1)*IF(ISNUMBER(I390),I390,1)*IF(ISNUMBER(J390),J390,1)))</f>
      </c>
      <c r="N390" s="30">
        <f>IF(COUNTA(B390:L390)=0,"",IF(X390=0,IF(P390="CABECERA","VERDE · Fila descriptiva; la suma usa las líneas del ID","VERDE · Datos numéricos interpretables"),IF(X390=2,"ROJO · ","ÁMBAR · ")&amp;IF(NOT(IF(ISNUMBER($E$6),AND($E$6&gt;=0,$E$6&lt;=6,$E$6=INT($E$6)),FALSE)),"Indicamos entre 0 y 6 decimales en E6. ","")&amp;IF(O390=0,"Falta un ID numérico. ","")&amp;IF(R390=0,"Faltan capítulo, código, unidad o total numérico del ID. ","")&amp;IF(T390&gt;0,"Los datos o el total del ID se contradicen. ","")&amp;IF(AND(P390&lt;&gt;"DIMENSIONES",P390&lt;&gt;"DIRECTA",P390&lt;&gt;"SIN LÍNEAS",P390&lt;&gt;"CABECERA"),"Tipo de fila no reconocido. ","")&amp;IF(AND(OR(P390="SIN LÍNEAS",P390="CABECERA"),COUNTA(G390:J390)&gt;0),"La fila dice que no mide, pero contiene medidas. ","")&amp;IF(AND(OR(P390="DIRECTA",P390="DIMENSIONES"),U390=0),"Línea incompleta o con medidas no numéricas. ","")&amp;IF(P390="SIN LÍNEAS","No constan medidas de esta fila. ","")&amp;IF(Y390&gt;0,"Parece m³: tres dimensiones bajo m². ","")&amp;IF(AND(AB390&lt;&gt;"",SUMPRODUCT(--('LÉEME'!$B$65:$B$86=AC390))&lt;&gt;1),"Revisamos el significado de la unidad. ","")&amp;IF(Z390&gt;0,"Más precisión que los decimales indicados: cotejamos el original. ","")&amp;IF(AA390&gt;0,"Revisamos dimensiones, cantidad directa, ceros o deducción. ","")))</f>
      </c>
      <c r="O390" s="0" t="n">
        <f>IF(ISNUMBER(K390),IF(AND(K390&gt;0,K390=INT(K390),K390&lt;=999999),K390,0),0)</f>
        <v>0</v>
      </c>
      <c r="P390" s="0">
        <f>IF(COUNTA(B390:L390)=0,"",IF(L390="",IF(COUNTA(G390:J390)&gt;0,"DIMENSIONES","SIN LÍNEAS"),UPPER(TRIM(L390))))</f>
      </c>
      <c r="Q390" s="0">
        <f>IF(AND(O390&gt;0,LEN(TRIM(B390&amp;""))&gt;0,LEN(TRIM(C390&amp;""))&gt;0,LEN(TRIM(E390&amp;""))&gt;0,ISNUMBER(F390)),O390,"")</f>
      </c>
      <c r="R390" s="0" t="n">
        <f>IF(O390=0,0,IF(COUNTIFS($Q$13:$Q$512,O390)&gt;0,MATCH(O390,$Q$13:$Q$512,0),0))</f>
        <v>0</v>
      </c>
      <c r="S390" s="0">
        <f>IF(AB390="","",IF(SUMPRODUCT(--('LÉEME'!$B$65:$B$86=AC390))=1,INDEX('LÉEME'!$C$65:$C$86,MATCH(AC390,'LÉEME'!$B$65:$B$86,0)),UPPER(TRIM(AB390))))</f>
      </c>
      <c r="T390" s="0" t="n">
        <f>IF(R390=0,0,IF(OR(AND(LEN(TRIM(B390&amp;""))&gt;0,UPPER(TRIM(B390&amp;""))&lt;&gt;UPPER(TRIM(INDEX($B$13:$B$512,R390)&amp;""))),AND(LEN(TRIM(C390&amp;""))&gt;0,UPPER(TRIM(C390&amp;""))&lt;&gt;UPPER(TRIM(INDEX($C$13:$C$512,R390)&amp;""))),AND(LEN(TRIM(E390&amp;""))&gt;0,S390&lt;&gt;INDEX($S$13:$S$512,R390)),AND(F390&lt;&gt;"",NOT(ISNUMBER(F390)))),1,IF(ISNUMBER(F390),IF(ABS(F390-INDEX($F$13:$F$512,R390))&gt;0.00000001,1,0),0)))</f>
        <v>0</v>
      </c>
      <c r="U390" s="0" t="n">
        <f>IF(P390="DIRECTA",IF(AND(ISNUMBER(G390),COUNTA(H390:J390)=0),1,0),IF(P390="DIMENSIONES",IF(AND(COUNT(G390:J390)&gt;0,COUNTA(G390:J390)=COUNT(G390:J390)),1,0),0))</f>
        <v>0</v>
      </c>
      <c r="V390" s="0" t="n">
        <f>IF(O390=0,0,IF(COUNTIFS($O$13:O390,O390)=1,1,0))</f>
        <v>0</v>
      </c>
      <c r="W390" s="0">
        <f>IF(V390=1,COUNTIFS($V$13:V390,1),"")</f>
      </c>
      <c r="X390" s="0">
        <f>IF(COUNTA(B390:L390)=0,"",IF(OR(NOT(IF(ISNUMBER($E$6),AND($E$6&gt;=0,$E$6&lt;=6,$E$6=INT($E$6)),FALSE)),O390=0,R390=0,T390&gt;0,AND(P390&lt;&gt;"DIMENSIONES",P390&lt;&gt;"DIRECTA",P390&lt;&gt;"SIN LÍNEAS",P390&lt;&gt;"CABECERA"),AND(OR(P390="DIRECTA",P390="DIMENSIONES"),U390=0),AND(OR(P390="SIN LÍNEAS",P390="CABECERA"),COUNTA(G390:J390)&gt;0)),2,IF(OR(P390="SIN LÍNEAS",Y390&gt;0,Z390&gt;0,AA390&gt;0,SUMPRODUCT(--('LÉEME'!$B$65:$B$86=AC390))&lt;&gt;1),1,0)))</f>
      </c>
      <c r="Y390" s="0" t="n">
        <f>IF(AND(P390="DIMENSIONES",S390="m²",COUNT(H390:J390)=3),1,0)</f>
        <v>0</v>
      </c>
      <c r="Z390" s="0" t="n">
        <f>IF(IF(ISNUMBER($E$6),AND($E$6&gt;=0,$E$6&lt;=6,$E$6=INT($E$6)),FALSE),IF(SUM(IF(ISNUMBER(F390),IF(ABS(F390-ROUND(F390,$E$6))&gt;0.00000001,1,0),0),IF(ISNUMBER(G390),IF(ABS(G390-ROUND(G390,$E$6))&gt;0.00000001,1,0),0),IF(ISNUMBER(H390),IF(ABS(H390-ROUND(H390,$E$6))&gt;0.00000001,1,0),0),IF(ISNUMBER(I390),IF(ABS(I390-ROUND(I390,$E$6))&gt;0.00000001,1,0),0),IF(ISNUMBER(J390),IF(ABS(J390-ROUND(J390,$E$6))&gt;0.00000001,1,0),0),IF(ISNUMBER(M390),IF(ABS(M390-ROUND(M390,$E$6))&gt;0.00000001,1,0),0))&gt;0,1,0),0)</f>
        <v>0</v>
      </c>
      <c r="AA390" s="0" t="n">
        <f>IF(COUNTA(B390:L390)=0,0,IF(OR(AND(ISNUMBER(F390),F390&lt;0),AND(U390=1,OR(SUM(IF(ISNUMBER(G390),IF(G390=0,1,0),0),IF(ISNUMBER(H390),IF(H390=0,1,0),0),IF(ISNUMBER(I390),IF(I390=0,1,0),0),IF(ISNUMBER(J390),IF(J390=0,1,0),0))&gt;0,COUNTIFS(G390:J390,"&lt;0")&gt;0)),AND(P390="DIMENSIONES",U390=1,OR(AND(S390="m",COUNT(H390:J390)&lt;&gt;1),AND(S390="m²",COUNT(H390:J390)&lt;&gt;2,Y390=0),AND(S390="m³",COUNT(H390:J390)&lt;&gt;3),AND(S390="ud",COUNT(H390:J390)&gt;0))),AND(P390="DIRECTA",OR(S390="m",S390="m²",S390="m³"))),1,0))</f>
        <v>0</v>
      </c>
      <c r="AB390" s="0">
        <f>IF(LEN(TRIM(E390&amp;""))&gt;0,E390,IF(R390&gt;0,INDEX($E$13:$E$512,R390),""))</f>
      </c>
      <c r="AC390" s="0">
        <f>UPPER(SUBSTITUTE(SUBSTITUTE(SUBSTITUTE(SUBSTITUTE(SUBSTITUTE(TRIM(AB390),"²","2"),"³","3"),"^",""),".","")," ",""))</f>
      </c>
    </row>
    <row r="391" ht="35" customHeight="1">
      <c r="B391" s="35"/>
      <c r="C391" s="35"/>
      <c r="D391" s="37"/>
      <c r="E391" s="35"/>
      <c r="F391" s="38"/>
      <c r="G391" s="38"/>
      <c r="H391" s="38"/>
      <c r="I391" s="38"/>
      <c r="J391" s="38"/>
      <c r="K391" s="35"/>
      <c r="L391" s="35"/>
      <c r="M391" s="39">
        <f>IF(U391&lt;&gt;1,"",IF(P391="DIRECTA",G391,IF(ISNUMBER(G391),G391,1)*IF(ISNUMBER(H391),H391,1)*IF(ISNUMBER(I391),I391,1)*IF(ISNUMBER(J391),J391,1)))</f>
      </c>
      <c r="N391" s="30">
        <f>IF(COUNTA(B391:L391)=0,"",IF(X391=0,IF(P391="CABECERA","VERDE · Fila descriptiva; la suma usa las líneas del ID","VERDE · Datos numéricos interpretables"),IF(X391=2,"ROJO · ","ÁMBAR · ")&amp;IF(NOT(IF(ISNUMBER($E$6),AND($E$6&gt;=0,$E$6&lt;=6,$E$6=INT($E$6)),FALSE)),"Indicamos entre 0 y 6 decimales en E6. ","")&amp;IF(O391=0,"Falta un ID numérico. ","")&amp;IF(R391=0,"Faltan capítulo, código, unidad o total numérico del ID. ","")&amp;IF(T391&gt;0,"Los datos o el total del ID se contradicen. ","")&amp;IF(AND(P391&lt;&gt;"DIMENSIONES",P391&lt;&gt;"DIRECTA",P391&lt;&gt;"SIN LÍNEAS",P391&lt;&gt;"CABECERA"),"Tipo de fila no reconocido. ","")&amp;IF(AND(OR(P391="SIN LÍNEAS",P391="CABECERA"),COUNTA(G391:J391)&gt;0),"La fila dice que no mide, pero contiene medidas. ","")&amp;IF(AND(OR(P391="DIRECTA",P391="DIMENSIONES"),U391=0),"Línea incompleta o con medidas no numéricas. ","")&amp;IF(P391="SIN LÍNEAS","No constan medidas de esta fila. ","")&amp;IF(Y391&gt;0,"Parece m³: tres dimensiones bajo m². ","")&amp;IF(AND(AB391&lt;&gt;"",SUMPRODUCT(--('LÉEME'!$B$65:$B$86=AC391))&lt;&gt;1),"Revisamos el significado de la unidad. ","")&amp;IF(Z391&gt;0,"Más precisión que los decimales indicados: cotejamos el original. ","")&amp;IF(AA391&gt;0,"Revisamos dimensiones, cantidad directa, ceros o deducción. ","")))</f>
      </c>
      <c r="O391" s="0" t="n">
        <f>IF(ISNUMBER(K391),IF(AND(K391&gt;0,K391=INT(K391),K391&lt;=999999),K391,0),0)</f>
        <v>0</v>
      </c>
      <c r="P391" s="0">
        <f>IF(COUNTA(B391:L391)=0,"",IF(L391="",IF(COUNTA(G391:J391)&gt;0,"DIMENSIONES","SIN LÍNEAS"),UPPER(TRIM(L391))))</f>
      </c>
      <c r="Q391" s="0">
        <f>IF(AND(O391&gt;0,LEN(TRIM(B391&amp;""))&gt;0,LEN(TRIM(C391&amp;""))&gt;0,LEN(TRIM(E391&amp;""))&gt;0,ISNUMBER(F391)),O391,"")</f>
      </c>
      <c r="R391" s="0" t="n">
        <f>IF(O391=0,0,IF(COUNTIFS($Q$13:$Q$512,O391)&gt;0,MATCH(O391,$Q$13:$Q$512,0),0))</f>
        <v>0</v>
      </c>
      <c r="S391" s="0">
        <f>IF(AB391="","",IF(SUMPRODUCT(--('LÉEME'!$B$65:$B$86=AC391))=1,INDEX('LÉEME'!$C$65:$C$86,MATCH(AC391,'LÉEME'!$B$65:$B$86,0)),UPPER(TRIM(AB391))))</f>
      </c>
      <c r="T391" s="0" t="n">
        <f>IF(R391=0,0,IF(OR(AND(LEN(TRIM(B391&amp;""))&gt;0,UPPER(TRIM(B391&amp;""))&lt;&gt;UPPER(TRIM(INDEX($B$13:$B$512,R391)&amp;""))),AND(LEN(TRIM(C391&amp;""))&gt;0,UPPER(TRIM(C391&amp;""))&lt;&gt;UPPER(TRIM(INDEX($C$13:$C$512,R391)&amp;""))),AND(LEN(TRIM(E391&amp;""))&gt;0,S391&lt;&gt;INDEX($S$13:$S$512,R391)),AND(F391&lt;&gt;"",NOT(ISNUMBER(F391)))),1,IF(ISNUMBER(F391),IF(ABS(F391-INDEX($F$13:$F$512,R391))&gt;0.00000001,1,0),0)))</f>
        <v>0</v>
      </c>
      <c r="U391" s="0" t="n">
        <f>IF(P391="DIRECTA",IF(AND(ISNUMBER(G391),COUNTA(H391:J391)=0),1,0),IF(P391="DIMENSIONES",IF(AND(COUNT(G391:J391)&gt;0,COUNTA(G391:J391)=COUNT(G391:J391)),1,0),0))</f>
        <v>0</v>
      </c>
      <c r="V391" s="0" t="n">
        <f>IF(O391=0,0,IF(COUNTIFS($O$13:O391,O391)=1,1,0))</f>
        <v>0</v>
      </c>
      <c r="W391" s="0">
        <f>IF(V391=1,COUNTIFS($V$13:V391,1),"")</f>
      </c>
      <c r="X391" s="0">
        <f>IF(COUNTA(B391:L391)=0,"",IF(OR(NOT(IF(ISNUMBER($E$6),AND($E$6&gt;=0,$E$6&lt;=6,$E$6=INT($E$6)),FALSE)),O391=0,R391=0,T391&gt;0,AND(P391&lt;&gt;"DIMENSIONES",P391&lt;&gt;"DIRECTA",P391&lt;&gt;"SIN LÍNEAS",P391&lt;&gt;"CABECERA"),AND(OR(P391="DIRECTA",P391="DIMENSIONES"),U391=0),AND(OR(P391="SIN LÍNEAS",P391="CABECERA"),COUNTA(G391:J391)&gt;0)),2,IF(OR(P391="SIN LÍNEAS",Y391&gt;0,Z391&gt;0,AA391&gt;0,SUMPRODUCT(--('LÉEME'!$B$65:$B$86=AC391))&lt;&gt;1),1,0)))</f>
      </c>
      <c r="Y391" s="0" t="n">
        <f>IF(AND(P391="DIMENSIONES",S391="m²",COUNT(H391:J391)=3),1,0)</f>
        <v>0</v>
      </c>
      <c r="Z391" s="0" t="n">
        <f>IF(IF(ISNUMBER($E$6),AND($E$6&gt;=0,$E$6&lt;=6,$E$6=INT($E$6)),FALSE),IF(SUM(IF(ISNUMBER(F391),IF(ABS(F391-ROUND(F391,$E$6))&gt;0.00000001,1,0),0),IF(ISNUMBER(G391),IF(ABS(G391-ROUND(G391,$E$6))&gt;0.00000001,1,0),0),IF(ISNUMBER(H391),IF(ABS(H391-ROUND(H391,$E$6))&gt;0.00000001,1,0),0),IF(ISNUMBER(I391),IF(ABS(I391-ROUND(I391,$E$6))&gt;0.00000001,1,0),0),IF(ISNUMBER(J391),IF(ABS(J391-ROUND(J391,$E$6))&gt;0.00000001,1,0),0),IF(ISNUMBER(M391),IF(ABS(M391-ROUND(M391,$E$6))&gt;0.00000001,1,0),0))&gt;0,1,0),0)</f>
        <v>0</v>
      </c>
      <c r="AA391" s="0" t="n">
        <f>IF(COUNTA(B391:L391)=0,0,IF(OR(AND(ISNUMBER(F391),F391&lt;0),AND(U391=1,OR(SUM(IF(ISNUMBER(G391),IF(G391=0,1,0),0),IF(ISNUMBER(H391),IF(H391=0,1,0),0),IF(ISNUMBER(I391),IF(I391=0,1,0),0),IF(ISNUMBER(J391),IF(J391=0,1,0),0))&gt;0,COUNTIFS(G391:J391,"&lt;0")&gt;0)),AND(P391="DIMENSIONES",U391=1,OR(AND(S391="m",COUNT(H391:J391)&lt;&gt;1),AND(S391="m²",COUNT(H391:J391)&lt;&gt;2,Y391=0),AND(S391="m³",COUNT(H391:J391)&lt;&gt;3),AND(S391="ud",COUNT(H391:J391)&gt;0))),AND(P391="DIRECTA",OR(S391="m",S391="m²",S391="m³"))),1,0))</f>
        <v>0</v>
      </c>
      <c r="AB391" s="0">
        <f>IF(LEN(TRIM(E391&amp;""))&gt;0,E391,IF(R391&gt;0,INDEX($E$13:$E$512,R391),""))</f>
      </c>
      <c r="AC391" s="0">
        <f>UPPER(SUBSTITUTE(SUBSTITUTE(SUBSTITUTE(SUBSTITUTE(SUBSTITUTE(TRIM(AB391),"²","2"),"³","3"),"^",""),".","")," ",""))</f>
      </c>
    </row>
    <row r="392" ht="35" customHeight="1">
      <c r="B392" s="35"/>
      <c r="C392" s="35"/>
      <c r="D392" s="37"/>
      <c r="E392" s="35"/>
      <c r="F392" s="38"/>
      <c r="G392" s="38"/>
      <c r="H392" s="38"/>
      <c r="I392" s="38"/>
      <c r="J392" s="38"/>
      <c r="K392" s="35"/>
      <c r="L392" s="35"/>
      <c r="M392" s="39">
        <f>IF(U392&lt;&gt;1,"",IF(P392="DIRECTA",G392,IF(ISNUMBER(G392),G392,1)*IF(ISNUMBER(H392),H392,1)*IF(ISNUMBER(I392),I392,1)*IF(ISNUMBER(J392),J392,1)))</f>
      </c>
      <c r="N392" s="30">
        <f>IF(COUNTA(B392:L392)=0,"",IF(X392=0,IF(P392="CABECERA","VERDE · Fila descriptiva; la suma usa las líneas del ID","VERDE · Datos numéricos interpretables"),IF(X392=2,"ROJO · ","ÁMBAR · ")&amp;IF(NOT(IF(ISNUMBER($E$6),AND($E$6&gt;=0,$E$6&lt;=6,$E$6=INT($E$6)),FALSE)),"Indicamos entre 0 y 6 decimales en E6. ","")&amp;IF(O392=0,"Falta un ID numérico. ","")&amp;IF(R392=0,"Faltan capítulo, código, unidad o total numérico del ID. ","")&amp;IF(T392&gt;0,"Los datos o el total del ID se contradicen. ","")&amp;IF(AND(P392&lt;&gt;"DIMENSIONES",P392&lt;&gt;"DIRECTA",P392&lt;&gt;"SIN LÍNEAS",P392&lt;&gt;"CABECERA"),"Tipo de fila no reconocido. ","")&amp;IF(AND(OR(P392="SIN LÍNEAS",P392="CABECERA"),COUNTA(G392:J392)&gt;0),"La fila dice que no mide, pero contiene medidas. ","")&amp;IF(AND(OR(P392="DIRECTA",P392="DIMENSIONES"),U392=0),"Línea incompleta o con medidas no numéricas. ","")&amp;IF(P392="SIN LÍNEAS","No constan medidas de esta fila. ","")&amp;IF(Y392&gt;0,"Parece m³: tres dimensiones bajo m². ","")&amp;IF(AND(AB392&lt;&gt;"",SUMPRODUCT(--('LÉEME'!$B$65:$B$86=AC392))&lt;&gt;1),"Revisamos el significado de la unidad. ","")&amp;IF(Z392&gt;0,"Más precisión que los decimales indicados: cotejamos el original. ","")&amp;IF(AA392&gt;0,"Revisamos dimensiones, cantidad directa, ceros o deducción. ","")))</f>
      </c>
      <c r="O392" s="0" t="n">
        <f>IF(ISNUMBER(K392),IF(AND(K392&gt;0,K392=INT(K392),K392&lt;=999999),K392,0),0)</f>
        <v>0</v>
      </c>
      <c r="P392" s="0">
        <f>IF(COUNTA(B392:L392)=0,"",IF(L392="",IF(COUNTA(G392:J392)&gt;0,"DIMENSIONES","SIN LÍNEAS"),UPPER(TRIM(L392))))</f>
      </c>
      <c r="Q392" s="0">
        <f>IF(AND(O392&gt;0,LEN(TRIM(B392&amp;""))&gt;0,LEN(TRIM(C392&amp;""))&gt;0,LEN(TRIM(E392&amp;""))&gt;0,ISNUMBER(F392)),O392,"")</f>
      </c>
      <c r="R392" s="0" t="n">
        <f>IF(O392=0,0,IF(COUNTIFS($Q$13:$Q$512,O392)&gt;0,MATCH(O392,$Q$13:$Q$512,0),0))</f>
        <v>0</v>
      </c>
      <c r="S392" s="0">
        <f>IF(AB392="","",IF(SUMPRODUCT(--('LÉEME'!$B$65:$B$86=AC392))=1,INDEX('LÉEME'!$C$65:$C$86,MATCH(AC392,'LÉEME'!$B$65:$B$86,0)),UPPER(TRIM(AB392))))</f>
      </c>
      <c r="T392" s="0" t="n">
        <f>IF(R392=0,0,IF(OR(AND(LEN(TRIM(B392&amp;""))&gt;0,UPPER(TRIM(B392&amp;""))&lt;&gt;UPPER(TRIM(INDEX($B$13:$B$512,R392)&amp;""))),AND(LEN(TRIM(C392&amp;""))&gt;0,UPPER(TRIM(C392&amp;""))&lt;&gt;UPPER(TRIM(INDEX($C$13:$C$512,R392)&amp;""))),AND(LEN(TRIM(E392&amp;""))&gt;0,S392&lt;&gt;INDEX($S$13:$S$512,R392)),AND(F392&lt;&gt;"",NOT(ISNUMBER(F392)))),1,IF(ISNUMBER(F392),IF(ABS(F392-INDEX($F$13:$F$512,R392))&gt;0.00000001,1,0),0)))</f>
        <v>0</v>
      </c>
      <c r="U392" s="0" t="n">
        <f>IF(P392="DIRECTA",IF(AND(ISNUMBER(G392),COUNTA(H392:J392)=0),1,0),IF(P392="DIMENSIONES",IF(AND(COUNT(G392:J392)&gt;0,COUNTA(G392:J392)=COUNT(G392:J392)),1,0),0))</f>
        <v>0</v>
      </c>
      <c r="V392" s="0" t="n">
        <f>IF(O392=0,0,IF(COUNTIFS($O$13:O392,O392)=1,1,0))</f>
        <v>0</v>
      </c>
      <c r="W392" s="0">
        <f>IF(V392=1,COUNTIFS($V$13:V392,1),"")</f>
      </c>
      <c r="X392" s="0">
        <f>IF(COUNTA(B392:L392)=0,"",IF(OR(NOT(IF(ISNUMBER($E$6),AND($E$6&gt;=0,$E$6&lt;=6,$E$6=INT($E$6)),FALSE)),O392=0,R392=0,T392&gt;0,AND(P392&lt;&gt;"DIMENSIONES",P392&lt;&gt;"DIRECTA",P392&lt;&gt;"SIN LÍNEAS",P392&lt;&gt;"CABECERA"),AND(OR(P392="DIRECTA",P392="DIMENSIONES"),U392=0),AND(OR(P392="SIN LÍNEAS",P392="CABECERA"),COUNTA(G392:J392)&gt;0)),2,IF(OR(P392="SIN LÍNEAS",Y392&gt;0,Z392&gt;0,AA392&gt;0,SUMPRODUCT(--('LÉEME'!$B$65:$B$86=AC392))&lt;&gt;1),1,0)))</f>
      </c>
      <c r="Y392" s="0" t="n">
        <f>IF(AND(P392="DIMENSIONES",S392="m²",COUNT(H392:J392)=3),1,0)</f>
        <v>0</v>
      </c>
      <c r="Z392" s="0" t="n">
        <f>IF(IF(ISNUMBER($E$6),AND($E$6&gt;=0,$E$6&lt;=6,$E$6=INT($E$6)),FALSE),IF(SUM(IF(ISNUMBER(F392),IF(ABS(F392-ROUND(F392,$E$6))&gt;0.00000001,1,0),0),IF(ISNUMBER(G392),IF(ABS(G392-ROUND(G392,$E$6))&gt;0.00000001,1,0),0),IF(ISNUMBER(H392),IF(ABS(H392-ROUND(H392,$E$6))&gt;0.00000001,1,0),0),IF(ISNUMBER(I392),IF(ABS(I392-ROUND(I392,$E$6))&gt;0.00000001,1,0),0),IF(ISNUMBER(J392),IF(ABS(J392-ROUND(J392,$E$6))&gt;0.00000001,1,0),0),IF(ISNUMBER(M392),IF(ABS(M392-ROUND(M392,$E$6))&gt;0.00000001,1,0),0))&gt;0,1,0),0)</f>
        <v>0</v>
      </c>
      <c r="AA392" s="0" t="n">
        <f>IF(COUNTA(B392:L392)=0,0,IF(OR(AND(ISNUMBER(F392),F392&lt;0),AND(U392=1,OR(SUM(IF(ISNUMBER(G392),IF(G392=0,1,0),0),IF(ISNUMBER(H392),IF(H392=0,1,0),0),IF(ISNUMBER(I392),IF(I392=0,1,0),0),IF(ISNUMBER(J392),IF(J392=0,1,0),0))&gt;0,COUNTIFS(G392:J392,"&lt;0")&gt;0)),AND(P392="DIMENSIONES",U392=1,OR(AND(S392="m",COUNT(H392:J392)&lt;&gt;1),AND(S392="m²",COUNT(H392:J392)&lt;&gt;2,Y392=0),AND(S392="m³",COUNT(H392:J392)&lt;&gt;3),AND(S392="ud",COUNT(H392:J392)&gt;0))),AND(P392="DIRECTA",OR(S392="m",S392="m²",S392="m³"))),1,0))</f>
        <v>0</v>
      </c>
      <c r="AB392" s="0">
        <f>IF(LEN(TRIM(E392&amp;""))&gt;0,E392,IF(R392&gt;0,INDEX($E$13:$E$512,R392),""))</f>
      </c>
      <c r="AC392" s="0">
        <f>UPPER(SUBSTITUTE(SUBSTITUTE(SUBSTITUTE(SUBSTITUTE(SUBSTITUTE(TRIM(AB392),"²","2"),"³","3"),"^",""),".","")," ",""))</f>
      </c>
    </row>
    <row r="393" ht="35" customHeight="1">
      <c r="B393" s="35"/>
      <c r="C393" s="35"/>
      <c r="D393" s="37"/>
      <c r="E393" s="35"/>
      <c r="F393" s="38"/>
      <c r="G393" s="38"/>
      <c r="H393" s="38"/>
      <c r="I393" s="38"/>
      <c r="J393" s="38"/>
      <c r="K393" s="35"/>
      <c r="L393" s="35"/>
      <c r="M393" s="39">
        <f>IF(U393&lt;&gt;1,"",IF(P393="DIRECTA",G393,IF(ISNUMBER(G393),G393,1)*IF(ISNUMBER(H393),H393,1)*IF(ISNUMBER(I393),I393,1)*IF(ISNUMBER(J393),J393,1)))</f>
      </c>
      <c r="N393" s="30">
        <f>IF(COUNTA(B393:L393)=0,"",IF(X393=0,IF(P393="CABECERA","VERDE · Fila descriptiva; la suma usa las líneas del ID","VERDE · Datos numéricos interpretables"),IF(X393=2,"ROJO · ","ÁMBAR · ")&amp;IF(NOT(IF(ISNUMBER($E$6),AND($E$6&gt;=0,$E$6&lt;=6,$E$6=INT($E$6)),FALSE)),"Indicamos entre 0 y 6 decimales en E6. ","")&amp;IF(O393=0,"Falta un ID numérico. ","")&amp;IF(R393=0,"Faltan capítulo, código, unidad o total numérico del ID. ","")&amp;IF(T393&gt;0,"Los datos o el total del ID se contradicen. ","")&amp;IF(AND(P393&lt;&gt;"DIMENSIONES",P393&lt;&gt;"DIRECTA",P393&lt;&gt;"SIN LÍNEAS",P393&lt;&gt;"CABECERA"),"Tipo de fila no reconocido. ","")&amp;IF(AND(OR(P393="SIN LÍNEAS",P393="CABECERA"),COUNTA(G393:J393)&gt;0),"La fila dice que no mide, pero contiene medidas. ","")&amp;IF(AND(OR(P393="DIRECTA",P393="DIMENSIONES"),U393=0),"Línea incompleta o con medidas no numéricas. ","")&amp;IF(P393="SIN LÍNEAS","No constan medidas de esta fila. ","")&amp;IF(Y393&gt;0,"Parece m³: tres dimensiones bajo m². ","")&amp;IF(AND(AB393&lt;&gt;"",SUMPRODUCT(--('LÉEME'!$B$65:$B$86=AC393))&lt;&gt;1),"Revisamos el significado de la unidad. ","")&amp;IF(Z393&gt;0,"Más precisión que los decimales indicados: cotejamos el original. ","")&amp;IF(AA393&gt;0,"Revisamos dimensiones, cantidad directa, ceros o deducción. ","")))</f>
      </c>
      <c r="O393" s="0" t="n">
        <f>IF(ISNUMBER(K393),IF(AND(K393&gt;0,K393=INT(K393),K393&lt;=999999),K393,0),0)</f>
        <v>0</v>
      </c>
      <c r="P393" s="0">
        <f>IF(COUNTA(B393:L393)=0,"",IF(L393="",IF(COUNTA(G393:J393)&gt;0,"DIMENSIONES","SIN LÍNEAS"),UPPER(TRIM(L393))))</f>
      </c>
      <c r="Q393" s="0">
        <f>IF(AND(O393&gt;0,LEN(TRIM(B393&amp;""))&gt;0,LEN(TRIM(C393&amp;""))&gt;0,LEN(TRIM(E393&amp;""))&gt;0,ISNUMBER(F393)),O393,"")</f>
      </c>
      <c r="R393" s="0" t="n">
        <f>IF(O393=0,0,IF(COUNTIFS($Q$13:$Q$512,O393)&gt;0,MATCH(O393,$Q$13:$Q$512,0),0))</f>
        <v>0</v>
      </c>
      <c r="S393" s="0">
        <f>IF(AB393="","",IF(SUMPRODUCT(--('LÉEME'!$B$65:$B$86=AC393))=1,INDEX('LÉEME'!$C$65:$C$86,MATCH(AC393,'LÉEME'!$B$65:$B$86,0)),UPPER(TRIM(AB393))))</f>
      </c>
      <c r="T393" s="0" t="n">
        <f>IF(R393=0,0,IF(OR(AND(LEN(TRIM(B393&amp;""))&gt;0,UPPER(TRIM(B393&amp;""))&lt;&gt;UPPER(TRIM(INDEX($B$13:$B$512,R393)&amp;""))),AND(LEN(TRIM(C393&amp;""))&gt;0,UPPER(TRIM(C393&amp;""))&lt;&gt;UPPER(TRIM(INDEX($C$13:$C$512,R393)&amp;""))),AND(LEN(TRIM(E393&amp;""))&gt;0,S393&lt;&gt;INDEX($S$13:$S$512,R393)),AND(F393&lt;&gt;"",NOT(ISNUMBER(F393)))),1,IF(ISNUMBER(F393),IF(ABS(F393-INDEX($F$13:$F$512,R393))&gt;0.00000001,1,0),0)))</f>
        <v>0</v>
      </c>
      <c r="U393" s="0" t="n">
        <f>IF(P393="DIRECTA",IF(AND(ISNUMBER(G393),COUNTA(H393:J393)=0),1,0),IF(P393="DIMENSIONES",IF(AND(COUNT(G393:J393)&gt;0,COUNTA(G393:J393)=COUNT(G393:J393)),1,0),0))</f>
        <v>0</v>
      </c>
      <c r="V393" s="0" t="n">
        <f>IF(O393=0,0,IF(COUNTIFS($O$13:O393,O393)=1,1,0))</f>
        <v>0</v>
      </c>
      <c r="W393" s="0">
        <f>IF(V393=1,COUNTIFS($V$13:V393,1),"")</f>
      </c>
      <c r="X393" s="0">
        <f>IF(COUNTA(B393:L393)=0,"",IF(OR(NOT(IF(ISNUMBER($E$6),AND($E$6&gt;=0,$E$6&lt;=6,$E$6=INT($E$6)),FALSE)),O393=0,R393=0,T393&gt;0,AND(P393&lt;&gt;"DIMENSIONES",P393&lt;&gt;"DIRECTA",P393&lt;&gt;"SIN LÍNEAS",P393&lt;&gt;"CABECERA"),AND(OR(P393="DIRECTA",P393="DIMENSIONES"),U393=0),AND(OR(P393="SIN LÍNEAS",P393="CABECERA"),COUNTA(G393:J393)&gt;0)),2,IF(OR(P393="SIN LÍNEAS",Y393&gt;0,Z393&gt;0,AA393&gt;0,SUMPRODUCT(--('LÉEME'!$B$65:$B$86=AC393))&lt;&gt;1),1,0)))</f>
      </c>
      <c r="Y393" s="0" t="n">
        <f>IF(AND(P393="DIMENSIONES",S393="m²",COUNT(H393:J393)=3),1,0)</f>
        <v>0</v>
      </c>
      <c r="Z393" s="0" t="n">
        <f>IF(IF(ISNUMBER($E$6),AND($E$6&gt;=0,$E$6&lt;=6,$E$6=INT($E$6)),FALSE),IF(SUM(IF(ISNUMBER(F393),IF(ABS(F393-ROUND(F393,$E$6))&gt;0.00000001,1,0),0),IF(ISNUMBER(G393),IF(ABS(G393-ROUND(G393,$E$6))&gt;0.00000001,1,0),0),IF(ISNUMBER(H393),IF(ABS(H393-ROUND(H393,$E$6))&gt;0.00000001,1,0),0),IF(ISNUMBER(I393),IF(ABS(I393-ROUND(I393,$E$6))&gt;0.00000001,1,0),0),IF(ISNUMBER(J393),IF(ABS(J393-ROUND(J393,$E$6))&gt;0.00000001,1,0),0),IF(ISNUMBER(M393),IF(ABS(M393-ROUND(M393,$E$6))&gt;0.00000001,1,0),0))&gt;0,1,0),0)</f>
        <v>0</v>
      </c>
      <c r="AA393" s="0" t="n">
        <f>IF(COUNTA(B393:L393)=0,0,IF(OR(AND(ISNUMBER(F393),F393&lt;0),AND(U393=1,OR(SUM(IF(ISNUMBER(G393),IF(G393=0,1,0),0),IF(ISNUMBER(H393),IF(H393=0,1,0),0),IF(ISNUMBER(I393),IF(I393=0,1,0),0),IF(ISNUMBER(J393),IF(J393=0,1,0),0))&gt;0,COUNTIFS(G393:J393,"&lt;0")&gt;0)),AND(P393="DIMENSIONES",U393=1,OR(AND(S393="m",COUNT(H393:J393)&lt;&gt;1),AND(S393="m²",COUNT(H393:J393)&lt;&gt;2,Y393=0),AND(S393="m³",COUNT(H393:J393)&lt;&gt;3),AND(S393="ud",COUNT(H393:J393)&gt;0))),AND(P393="DIRECTA",OR(S393="m",S393="m²",S393="m³"))),1,0))</f>
        <v>0</v>
      </c>
      <c r="AB393" s="0">
        <f>IF(LEN(TRIM(E393&amp;""))&gt;0,E393,IF(R393&gt;0,INDEX($E$13:$E$512,R393),""))</f>
      </c>
      <c r="AC393" s="0">
        <f>UPPER(SUBSTITUTE(SUBSTITUTE(SUBSTITUTE(SUBSTITUTE(SUBSTITUTE(TRIM(AB393),"²","2"),"³","3"),"^",""),".","")," ",""))</f>
      </c>
    </row>
    <row r="394" ht="35" customHeight="1">
      <c r="B394" s="35"/>
      <c r="C394" s="35"/>
      <c r="D394" s="37"/>
      <c r="E394" s="35"/>
      <c r="F394" s="38"/>
      <c r="G394" s="38"/>
      <c r="H394" s="38"/>
      <c r="I394" s="38"/>
      <c r="J394" s="38"/>
      <c r="K394" s="35"/>
      <c r="L394" s="35"/>
      <c r="M394" s="39">
        <f>IF(U394&lt;&gt;1,"",IF(P394="DIRECTA",G394,IF(ISNUMBER(G394),G394,1)*IF(ISNUMBER(H394),H394,1)*IF(ISNUMBER(I394),I394,1)*IF(ISNUMBER(J394),J394,1)))</f>
      </c>
      <c r="N394" s="30">
        <f>IF(COUNTA(B394:L394)=0,"",IF(X394=0,IF(P394="CABECERA","VERDE · Fila descriptiva; la suma usa las líneas del ID","VERDE · Datos numéricos interpretables"),IF(X394=2,"ROJO · ","ÁMBAR · ")&amp;IF(NOT(IF(ISNUMBER($E$6),AND($E$6&gt;=0,$E$6&lt;=6,$E$6=INT($E$6)),FALSE)),"Indicamos entre 0 y 6 decimales en E6. ","")&amp;IF(O394=0,"Falta un ID numérico. ","")&amp;IF(R394=0,"Faltan capítulo, código, unidad o total numérico del ID. ","")&amp;IF(T394&gt;0,"Los datos o el total del ID se contradicen. ","")&amp;IF(AND(P394&lt;&gt;"DIMENSIONES",P394&lt;&gt;"DIRECTA",P394&lt;&gt;"SIN LÍNEAS",P394&lt;&gt;"CABECERA"),"Tipo de fila no reconocido. ","")&amp;IF(AND(OR(P394="SIN LÍNEAS",P394="CABECERA"),COUNTA(G394:J394)&gt;0),"La fila dice que no mide, pero contiene medidas. ","")&amp;IF(AND(OR(P394="DIRECTA",P394="DIMENSIONES"),U394=0),"Línea incompleta o con medidas no numéricas. ","")&amp;IF(P394="SIN LÍNEAS","No constan medidas de esta fila. ","")&amp;IF(Y394&gt;0,"Parece m³: tres dimensiones bajo m². ","")&amp;IF(AND(AB394&lt;&gt;"",SUMPRODUCT(--('LÉEME'!$B$65:$B$86=AC394))&lt;&gt;1),"Revisamos el significado de la unidad. ","")&amp;IF(Z394&gt;0,"Más precisión que los decimales indicados: cotejamos el original. ","")&amp;IF(AA394&gt;0,"Revisamos dimensiones, cantidad directa, ceros o deducción. ","")))</f>
      </c>
      <c r="O394" s="0" t="n">
        <f>IF(ISNUMBER(K394),IF(AND(K394&gt;0,K394=INT(K394),K394&lt;=999999),K394,0),0)</f>
        <v>0</v>
      </c>
      <c r="P394" s="0">
        <f>IF(COUNTA(B394:L394)=0,"",IF(L394="",IF(COUNTA(G394:J394)&gt;0,"DIMENSIONES","SIN LÍNEAS"),UPPER(TRIM(L394))))</f>
      </c>
      <c r="Q394" s="0">
        <f>IF(AND(O394&gt;0,LEN(TRIM(B394&amp;""))&gt;0,LEN(TRIM(C394&amp;""))&gt;0,LEN(TRIM(E394&amp;""))&gt;0,ISNUMBER(F394)),O394,"")</f>
      </c>
      <c r="R394" s="0" t="n">
        <f>IF(O394=0,0,IF(COUNTIFS($Q$13:$Q$512,O394)&gt;0,MATCH(O394,$Q$13:$Q$512,0),0))</f>
        <v>0</v>
      </c>
      <c r="S394" s="0">
        <f>IF(AB394="","",IF(SUMPRODUCT(--('LÉEME'!$B$65:$B$86=AC394))=1,INDEX('LÉEME'!$C$65:$C$86,MATCH(AC394,'LÉEME'!$B$65:$B$86,0)),UPPER(TRIM(AB394))))</f>
      </c>
      <c r="T394" s="0" t="n">
        <f>IF(R394=0,0,IF(OR(AND(LEN(TRIM(B394&amp;""))&gt;0,UPPER(TRIM(B394&amp;""))&lt;&gt;UPPER(TRIM(INDEX($B$13:$B$512,R394)&amp;""))),AND(LEN(TRIM(C394&amp;""))&gt;0,UPPER(TRIM(C394&amp;""))&lt;&gt;UPPER(TRIM(INDEX($C$13:$C$512,R394)&amp;""))),AND(LEN(TRIM(E394&amp;""))&gt;0,S394&lt;&gt;INDEX($S$13:$S$512,R394)),AND(F394&lt;&gt;"",NOT(ISNUMBER(F394)))),1,IF(ISNUMBER(F394),IF(ABS(F394-INDEX($F$13:$F$512,R394))&gt;0.00000001,1,0),0)))</f>
        <v>0</v>
      </c>
      <c r="U394" s="0" t="n">
        <f>IF(P394="DIRECTA",IF(AND(ISNUMBER(G394),COUNTA(H394:J394)=0),1,0),IF(P394="DIMENSIONES",IF(AND(COUNT(G394:J394)&gt;0,COUNTA(G394:J394)=COUNT(G394:J394)),1,0),0))</f>
        <v>0</v>
      </c>
      <c r="V394" s="0" t="n">
        <f>IF(O394=0,0,IF(COUNTIFS($O$13:O394,O394)=1,1,0))</f>
        <v>0</v>
      </c>
      <c r="W394" s="0">
        <f>IF(V394=1,COUNTIFS($V$13:V394,1),"")</f>
      </c>
      <c r="X394" s="0">
        <f>IF(COUNTA(B394:L394)=0,"",IF(OR(NOT(IF(ISNUMBER($E$6),AND($E$6&gt;=0,$E$6&lt;=6,$E$6=INT($E$6)),FALSE)),O394=0,R394=0,T394&gt;0,AND(P394&lt;&gt;"DIMENSIONES",P394&lt;&gt;"DIRECTA",P394&lt;&gt;"SIN LÍNEAS",P394&lt;&gt;"CABECERA"),AND(OR(P394="DIRECTA",P394="DIMENSIONES"),U394=0),AND(OR(P394="SIN LÍNEAS",P394="CABECERA"),COUNTA(G394:J394)&gt;0)),2,IF(OR(P394="SIN LÍNEAS",Y394&gt;0,Z394&gt;0,AA394&gt;0,SUMPRODUCT(--('LÉEME'!$B$65:$B$86=AC394))&lt;&gt;1),1,0)))</f>
      </c>
      <c r="Y394" s="0" t="n">
        <f>IF(AND(P394="DIMENSIONES",S394="m²",COUNT(H394:J394)=3),1,0)</f>
        <v>0</v>
      </c>
      <c r="Z394" s="0" t="n">
        <f>IF(IF(ISNUMBER($E$6),AND($E$6&gt;=0,$E$6&lt;=6,$E$6=INT($E$6)),FALSE),IF(SUM(IF(ISNUMBER(F394),IF(ABS(F394-ROUND(F394,$E$6))&gt;0.00000001,1,0),0),IF(ISNUMBER(G394),IF(ABS(G394-ROUND(G394,$E$6))&gt;0.00000001,1,0),0),IF(ISNUMBER(H394),IF(ABS(H394-ROUND(H394,$E$6))&gt;0.00000001,1,0),0),IF(ISNUMBER(I394),IF(ABS(I394-ROUND(I394,$E$6))&gt;0.00000001,1,0),0),IF(ISNUMBER(J394),IF(ABS(J394-ROUND(J394,$E$6))&gt;0.00000001,1,0),0),IF(ISNUMBER(M394),IF(ABS(M394-ROUND(M394,$E$6))&gt;0.00000001,1,0),0))&gt;0,1,0),0)</f>
        <v>0</v>
      </c>
      <c r="AA394" s="0" t="n">
        <f>IF(COUNTA(B394:L394)=0,0,IF(OR(AND(ISNUMBER(F394),F394&lt;0),AND(U394=1,OR(SUM(IF(ISNUMBER(G394),IF(G394=0,1,0),0),IF(ISNUMBER(H394),IF(H394=0,1,0),0),IF(ISNUMBER(I394),IF(I394=0,1,0),0),IF(ISNUMBER(J394),IF(J394=0,1,0),0))&gt;0,COUNTIFS(G394:J394,"&lt;0")&gt;0)),AND(P394="DIMENSIONES",U394=1,OR(AND(S394="m",COUNT(H394:J394)&lt;&gt;1),AND(S394="m²",COUNT(H394:J394)&lt;&gt;2,Y394=0),AND(S394="m³",COUNT(H394:J394)&lt;&gt;3),AND(S394="ud",COUNT(H394:J394)&gt;0))),AND(P394="DIRECTA",OR(S394="m",S394="m²",S394="m³"))),1,0))</f>
        <v>0</v>
      </c>
      <c r="AB394" s="0">
        <f>IF(LEN(TRIM(E394&amp;""))&gt;0,E394,IF(R394&gt;0,INDEX($E$13:$E$512,R394),""))</f>
      </c>
      <c r="AC394" s="0">
        <f>UPPER(SUBSTITUTE(SUBSTITUTE(SUBSTITUTE(SUBSTITUTE(SUBSTITUTE(TRIM(AB394),"²","2"),"³","3"),"^",""),".","")," ",""))</f>
      </c>
    </row>
    <row r="395" ht="35" customHeight="1">
      <c r="B395" s="35"/>
      <c r="C395" s="35"/>
      <c r="D395" s="37"/>
      <c r="E395" s="35"/>
      <c r="F395" s="38"/>
      <c r="G395" s="38"/>
      <c r="H395" s="38"/>
      <c r="I395" s="38"/>
      <c r="J395" s="38"/>
      <c r="K395" s="35"/>
      <c r="L395" s="35"/>
      <c r="M395" s="39">
        <f>IF(U395&lt;&gt;1,"",IF(P395="DIRECTA",G395,IF(ISNUMBER(G395),G395,1)*IF(ISNUMBER(H395),H395,1)*IF(ISNUMBER(I395),I395,1)*IF(ISNUMBER(J395),J395,1)))</f>
      </c>
      <c r="N395" s="30">
        <f>IF(COUNTA(B395:L395)=0,"",IF(X395=0,IF(P395="CABECERA","VERDE · Fila descriptiva; la suma usa las líneas del ID","VERDE · Datos numéricos interpretables"),IF(X395=2,"ROJO · ","ÁMBAR · ")&amp;IF(NOT(IF(ISNUMBER($E$6),AND($E$6&gt;=0,$E$6&lt;=6,$E$6=INT($E$6)),FALSE)),"Indicamos entre 0 y 6 decimales en E6. ","")&amp;IF(O395=0,"Falta un ID numérico. ","")&amp;IF(R395=0,"Faltan capítulo, código, unidad o total numérico del ID. ","")&amp;IF(T395&gt;0,"Los datos o el total del ID se contradicen. ","")&amp;IF(AND(P395&lt;&gt;"DIMENSIONES",P395&lt;&gt;"DIRECTA",P395&lt;&gt;"SIN LÍNEAS",P395&lt;&gt;"CABECERA"),"Tipo de fila no reconocido. ","")&amp;IF(AND(OR(P395="SIN LÍNEAS",P395="CABECERA"),COUNTA(G395:J395)&gt;0),"La fila dice que no mide, pero contiene medidas. ","")&amp;IF(AND(OR(P395="DIRECTA",P395="DIMENSIONES"),U395=0),"Línea incompleta o con medidas no numéricas. ","")&amp;IF(P395="SIN LÍNEAS","No constan medidas de esta fila. ","")&amp;IF(Y395&gt;0,"Parece m³: tres dimensiones bajo m². ","")&amp;IF(AND(AB395&lt;&gt;"",SUMPRODUCT(--('LÉEME'!$B$65:$B$86=AC395))&lt;&gt;1),"Revisamos el significado de la unidad. ","")&amp;IF(Z395&gt;0,"Más precisión que los decimales indicados: cotejamos el original. ","")&amp;IF(AA395&gt;0,"Revisamos dimensiones, cantidad directa, ceros o deducción. ","")))</f>
      </c>
      <c r="O395" s="0" t="n">
        <f>IF(ISNUMBER(K395),IF(AND(K395&gt;0,K395=INT(K395),K395&lt;=999999),K395,0),0)</f>
        <v>0</v>
      </c>
      <c r="P395" s="0">
        <f>IF(COUNTA(B395:L395)=0,"",IF(L395="",IF(COUNTA(G395:J395)&gt;0,"DIMENSIONES","SIN LÍNEAS"),UPPER(TRIM(L395))))</f>
      </c>
      <c r="Q395" s="0">
        <f>IF(AND(O395&gt;0,LEN(TRIM(B395&amp;""))&gt;0,LEN(TRIM(C395&amp;""))&gt;0,LEN(TRIM(E395&amp;""))&gt;0,ISNUMBER(F395)),O395,"")</f>
      </c>
      <c r="R395" s="0" t="n">
        <f>IF(O395=0,0,IF(COUNTIFS($Q$13:$Q$512,O395)&gt;0,MATCH(O395,$Q$13:$Q$512,0),0))</f>
        <v>0</v>
      </c>
      <c r="S395" s="0">
        <f>IF(AB395="","",IF(SUMPRODUCT(--('LÉEME'!$B$65:$B$86=AC395))=1,INDEX('LÉEME'!$C$65:$C$86,MATCH(AC395,'LÉEME'!$B$65:$B$86,0)),UPPER(TRIM(AB395))))</f>
      </c>
      <c r="T395" s="0" t="n">
        <f>IF(R395=0,0,IF(OR(AND(LEN(TRIM(B395&amp;""))&gt;0,UPPER(TRIM(B395&amp;""))&lt;&gt;UPPER(TRIM(INDEX($B$13:$B$512,R395)&amp;""))),AND(LEN(TRIM(C395&amp;""))&gt;0,UPPER(TRIM(C395&amp;""))&lt;&gt;UPPER(TRIM(INDEX($C$13:$C$512,R395)&amp;""))),AND(LEN(TRIM(E395&amp;""))&gt;0,S395&lt;&gt;INDEX($S$13:$S$512,R395)),AND(F395&lt;&gt;"",NOT(ISNUMBER(F395)))),1,IF(ISNUMBER(F395),IF(ABS(F395-INDEX($F$13:$F$512,R395))&gt;0.00000001,1,0),0)))</f>
        <v>0</v>
      </c>
      <c r="U395" s="0" t="n">
        <f>IF(P395="DIRECTA",IF(AND(ISNUMBER(G395),COUNTA(H395:J395)=0),1,0),IF(P395="DIMENSIONES",IF(AND(COUNT(G395:J395)&gt;0,COUNTA(G395:J395)=COUNT(G395:J395)),1,0),0))</f>
        <v>0</v>
      </c>
      <c r="V395" s="0" t="n">
        <f>IF(O395=0,0,IF(COUNTIFS($O$13:O395,O395)=1,1,0))</f>
        <v>0</v>
      </c>
      <c r="W395" s="0">
        <f>IF(V395=1,COUNTIFS($V$13:V395,1),"")</f>
      </c>
      <c r="X395" s="0">
        <f>IF(COUNTA(B395:L395)=0,"",IF(OR(NOT(IF(ISNUMBER($E$6),AND($E$6&gt;=0,$E$6&lt;=6,$E$6=INT($E$6)),FALSE)),O395=0,R395=0,T395&gt;0,AND(P395&lt;&gt;"DIMENSIONES",P395&lt;&gt;"DIRECTA",P395&lt;&gt;"SIN LÍNEAS",P395&lt;&gt;"CABECERA"),AND(OR(P395="DIRECTA",P395="DIMENSIONES"),U395=0),AND(OR(P395="SIN LÍNEAS",P395="CABECERA"),COUNTA(G395:J395)&gt;0)),2,IF(OR(P395="SIN LÍNEAS",Y395&gt;0,Z395&gt;0,AA395&gt;0,SUMPRODUCT(--('LÉEME'!$B$65:$B$86=AC395))&lt;&gt;1),1,0)))</f>
      </c>
      <c r="Y395" s="0" t="n">
        <f>IF(AND(P395="DIMENSIONES",S395="m²",COUNT(H395:J395)=3),1,0)</f>
        <v>0</v>
      </c>
      <c r="Z395" s="0" t="n">
        <f>IF(IF(ISNUMBER($E$6),AND($E$6&gt;=0,$E$6&lt;=6,$E$6=INT($E$6)),FALSE),IF(SUM(IF(ISNUMBER(F395),IF(ABS(F395-ROUND(F395,$E$6))&gt;0.00000001,1,0),0),IF(ISNUMBER(G395),IF(ABS(G395-ROUND(G395,$E$6))&gt;0.00000001,1,0),0),IF(ISNUMBER(H395),IF(ABS(H395-ROUND(H395,$E$6))&gt;0.00000001,1,0),0),IF(ISNUMBER(I395),IF(ABS(I395-ROUND(I395,$E$6))&gt;0.00000001,1,0),0),IF(ISNUMBER(J395),IF(ABS(J395-ROUND(J395,$E$6))&gt;0.00000001,1,0),0),IF(ISNUMBER(M395),IF(ABS(M395-ROUND(M395,$E$6))&gt;0.00000001,1,0),0))&gt;0,1,0),0)</f>
        <v>0</v>
      </c>
      <c r="AA395" s="0" t="n">
        <f>IF(COUNTA(B395:L395)=0,0,IF(OR(AND(ISNUMBER(F395),F395&lt;0),AND(U395=1,OR(SUM(IF(ISNUMBER(G395),IF(G395=0,1,0),0),IF(ISNUMBER(H395),IF(H395=0,1,0),0),IF(ISNUMBER(I395),IF(I395=0,1,0),0),IF(ISNUMBER(J395),IF(J395=0,1,0),0))&gt;0,COUNTIFS(G395:J395,"&lt;0")&gt;0)),AND(P395="DIMENSIONES",U395=1,OR(AND(S395="m",COUNT(H395:J395)&lt;&gt;1),AND(S395="m²",COUNT(H395:J395)&lt;&gt;2,Y395=0),AND(S395="m³",COUNT(H395:J395)&lt;&gt;3),AND(S395="ud",COUNT(H395:J395)&gt;0))),AND(P395="DIRECTA",OR(S395="m",S395="m²",S395="m³"))),1,0))</f>
        <v>0</v>
      </c>
      <c r="AB395" s="0">
        <f>IF(LEN(TRIM(E395&amp;""))&gt;0,E395,IF(R395&gt;0,INDEX($E$13:$E$512,R395),""))</f>
      </c>
      <c r="AC395" s="0">
        <f>UPPER(SUBSTITUTE(SUBSTITUTE(SUBSTITUTE(SUBSTITUTE(SUBSTITUTE(TRIM(AB395),"²","2"),"³","3"),"^",""),".","")," ",""))</f>
      </c>
    </row>
    <row r="396" ht="35" customHeight="1">
      <c r="B396" s="35"/>
      <c r="C396" s="35"/>
      <c r="D396" s="37"/>
      <c r="E396" s="35"/>
      <c r="F396" s="38"/>
      <c r="G396" s="38"/>
      <c r="H396" s="38"/>
      <c r="I396" s="38"/>
      <c r="J396" s="38"/>
      <c r="K396" s="35"/>
      <c r="L396" s="35"/>
      <c r="M396" s="39">
        <f>IF(U396&lt;&gt;1,"",IF(P396="DIRECTA",G396,IF(ISNUMBER(G396),G396,1)*IF(ISNUMBER(H396),H396,1)*IF(ISNUMBER(I396),I396,1)*IF(ISNUMBER(J396),J396,1)))</f>
      </c>
      <c r="N396" s="30">
        <f>IF(COUNTA(B396:L396)=0,"",IF(X396=0,IF(P396="CABECERA","VERDE · Fila descriptiva; la suma usa las líneas del ID","VERDE · Datos numéricos interpretables"),IF(X396=2,"ROJO · ","ÁMBAR · ")&amp;IF(NOT(IF(ISNUMBER($E$6),AND($E$6&gt;=0,$E$6&lt;=6,$E$6=INT($E$6)),FALSE)),"Indicamos entre 0 y 6 decimales en E6. ","")&amp;IF(O396=0,"Falta un ID numérico. ","")&amp;IF(R396=0,"Faltan capítulo, código, unidad o total numérico del ID. ","")&amp;IF(T396&gt;0,"Los datos o el total del ID se contradicen. ","")&amp;IF(AND(P396&lt;&gt;"DIMENSIONES",P396&lt;&gt;"DIRECTA",P396&lt;&gt;"SIN LÍNEAS",P396&lt;&gt;"CABECERA"),"Tipo de fila no reconocido. ","")&amp;IF(AND(OR(P396="SIN LÍNEAS",P396="CABECERA"),COUNTA(G396:J396)&gt;0),"La fila dice que no mide, pero contiene medidas. ","")&amp;IF(AND(OR(P396="DIRECTA",P396="DIMENSIONES"),U396=0),"Línea incompleta o con medidas no numéricas. ","")&amp;IF(P396="SIN LÍNEAS","No constan medidas de esta fila. ","")&amp;IF(Y396&gt;0,"Parece m³: tres dimensiones bajo m². ","")&amp;IF(AND(AB396&lt;&gt;"",SUMPRODUCT(--('LÉEME'!$B$65:$B$86=AC396))&lt;&gt;1),"Revisamos el significado de la unidad. ","")&amp;IF(Z396&gt;0,"Más precisión que los decimales indicados: cotejamos el original. ","")&amp;IF(AA396&gt;0,"Revisamos dimensiones, cantidad directa, ceros o deducción. ","")))</f>
      </c>
      <c r="O396" s="0" t="n">
        <f>IF(ISNUMBER(K396),IF(AND(K396&gt;0,K396=INT(K396),K396&lt;=999999),K396,0),0)</f>
        <v>0</v>
      </c>
      <c r="P396" s="0">
        <f>IF(COUNTA(B396:L396)=0,"",IF(L396="",IF(COUNTA(G396:J396)&gt;0,"DIMENSIONES","SIN LÍNEAS"),UPPER(TRIM(L396))))</f>
      </c>
      <c r="Q396" s="0">
        <f>IF(AND(O396&gt;0,LEN(TRIM(B396&amp;""))&gt;0,LEN(TRIM(C396&amp;""))&gt;0,LEN(TRIM(E396&amp;""))&gt;0,ISNUMBER(F396)),O396,"")</f>
      </c>
      <c r="R396" s="0" t="n">
        <f>IF(O396=0,0,IF(COUNTIFS($Q$13:$Q$512,O396)&gt;0,MATCH(O396,$Q$13:$Q$512,0),0))</f>
        <v>0</v>
      </c>
      <c r="S396" s="0">
        <f>IF(AB396="","",IF(SUMPRODUCT(--('LÉEME'!$B$65:$B$86=AC396))=1,INDEX('LÉEME'!$C$65:$C$86,MATCH(AC396,'LÉEME'!$B$65:$B$86,0)),UPPER(TRIM(AB396))))</f>
      </c>
      <c r="T396" s="0" t="n">
        <f>IF(R396=0,0,IF(OR(AND(LEN(TRIM(B396&amp;""))&gt;0,UPPER(TRIM(B396&amp;""))&lt;&gt;UPPER(TRIM(INDEX($B$13:$B$512,R396)&amp;""))),AND(LEN(TRIM(C396&amp;""))&gt;0,UPPER(TRIM(C396&amp;""))&lt;&gt;UPPER(TRIM(INDEX($C$13:$C$512,R396)&amp;""))),AND(LEN(TRIM(E396&amp;""))&gt;0,S396&lt;&gt;INDEX($S$13:$S$512,R396)),AND(F396&lt;&gt;"",NOT(ISNUMBER(F396)))),1,IF(ISNUMBER(F396),IF(ABS(F396-INDEX($F$13:$F$512,R396))&gt;0.00000001,1,0),0)))</f>
        <v>0</v>
      </c>
      <c r="U396" s="0" t="n">
        <f>IF(P396="DIRECTA",IF(AND(ISNUMBER(G396),COUNTA(H396:J396)=0),1,0),IF(P396="DIMENSIONES",IF(AND(COUNT(G396:J396)&gt;0,COUNTA(G396:J396)=COUNT(G396:J396)),1,0),0))</f>
        <v>0</v>
      </c>
      <c r="V396" s="0" t="n">
        <f>IF(O396=0,0,IF(COUNTIFS($O$13:O396,O396)=1,1,0))</f>
        <v>0</v>
      </c>
      <c r="W396" s="0">
        <f>IF(V396=1,COUNTIFS($V$13:V396,1),"")</f>
      </c>
      <c r="X396" s="0">
        <f>IF(COUNTA(B396:L396)=0,"",IF(OR(NOT(IF(ISNUMBER($E$6),AND($E$6&gt;=0,$E$6&lt;=6,$E$6=INT($E$6)),FALSE)),O396=0,R396=0,T396&gt;0,AND(P396&lt;&gt;"DIMENSIONES",P396&lt;&gt;"DIRECTA",P396&lt;&gt;"SIN LÍNEAS",P396&lt;&gt;"CABECERA"),AND(OR(P396="DIRECTA",P396="DIMENSIONES"),U396=0),AND(OR(P396="SIN LÍNEAS",P396="CABECERA"),COUNTA(G396:J396)&gt;0)),2,IF(OR(P396="SIN LÍNEAS",Y396&gt;0,Z396&gt;0,AA396&gt;0,SUMPRODUCT(--('LÉEME'!$B$65:$B$86=AC396))&lt;&gt;1),1,0)))</f>
      </c>
      <c r="Y396" s="0" t="n">
        <f>IF(AND(P396="DIMENSIONES",S396="m²",COUNT(H396:J396)=3),1,0)</f>
        <v>0</v>
      </c>
      <c r="Z396" s="0" t="n">
        <f>IF(IF(ISNUMBER($E$6),AND($E$6&gt;=0,$E$6&lt;=6,$E$6=INT($E$6)),FALSE),IF(SUM(IF(ISNUMBER(F396),IF(ABS(F396-ROUND(F396,$E$6))&gt;0.00000001,1,0),0),IF(ISNUMBER(G396),IF(ABS(G396-ROUND(G396,$E$6))&gt;0.00000001,1,0),0),IF(ISNUMBER(H396),IF(ABS(H396-ROUND(H396,$E$6))&gt;0.00000001,1,0),0),IF(ISNUMBER(I396),IF(ABS(I396-ROUND(I396,$E$6))&gt;0.00000001,1,0),0),IF(ISNUMBER(J396),IF(ABS(J396-ROUND(J396,$E$6))&gt;0.00000001,1,0),0),IF(ISNUMBER(M396),IF(ABS(M396-ROUND(M396,$E$6))&gt;0.00000001,1,0),0))&gt;0,1,0),0)</f>
        <v>0</v>
      </c>
      <c r="AA396" s="0" t="n">
        <f>IF(COUNTA(B396:L396)=0,0,IF(OR(AND(ISNUMBER(F396),F396&lt;0),AND(U396=1,OR(SUM(IF(ISNUMBER(G396),IF(G396=0,1,0),0),IF(ISNUMBER(H396),IF(H396=0,1,0),0),IF(ISNUMBER(I396),IF(I396=0,1,0),0),IF(ISNUMBER(J396),IF(J396=0,1,0),0))&gt;0,COUNTIFS(G396:J396,"&lt;0")&gt;0)),AND(P396="DIMENSIONES",U396=1,OR(AND(S396="m",COUNT(H396:J396)&lt;&gt;1),AND(S396="m²",COUNT(H396:J396)&lt;&gt;2,Y396=0),AND(S396="m³",COUNT(H396:J396)&lt;&gt;3),AND(S396="ud",COUNT(H396:J396)&gt;0))),AND(P396="DIRECTA",OR(S396="m",S396="m²",S396="m³"))),1,0))</f>
        <v>0</v>
      </c>
      <c r="AB396" s="0">
        <f>IF(LEN(TRIM(E396&amp;""))&gt;0,E396,IF(R396&gt;0,INDEX($E$13:$E$512,R396),""))</f>
      </c>
      <c r="AC396" s="0">
        <f>UPPER(SUBSTITUTE(SUBSTITUTE(SUBSTITUTE(SUBSTITUTE(SUBSTITUTE(TRIM(AB396),"²","2"),"³","3"),"^",""),".","")," ",""))</f>
      </c>
    </row>
    <row r="397" ht="35" customHeight="1">
      <c r="B397" s="35"/>
      <c r="C397" s="35"/>
      <c r="D397" s="37"/>
      <c r="E397" s="35"/>
      <c r="F397" s="38"/>
      <c r="G397" s="38"/>
      <c r="H397" s="38"/>
      <c r="I397" s="38"/>
      <c r="J397" s="38"/>
      <c r="K397" s="35"/>
      <c r="L397" s="35"/>
      <c r="M397" s="39">
        <f>IF(U397&lt;&gt;1,"",IF(P397="DIRECTA",G397,IF(ISNUMBER(G397),G397,1)*IF(ISNUMBER(H397),H397,1)*IF(ISNUMBER(I397),I397,1)*IF(ISNUMBER(J397),J397,1)))</f>
      </c>
      <c r="N397" s="30">
        <f>IF(COUNTA(B397:L397)=0,"",IF(X397=0,IF(P397="CABECERA","VERDE · Fila descriptiva; la suma usa las líneas del ID","VERDE · Datos numéricos interpretables"),IF(X397=2,"ROJO · ","ÁMBAR · ")&amp;IF(NOT(IF(ISNUMBER($E$6),AND($E$6&gt;=0,$E$6&lt;=6,$E$6=INT($E$6)),FALSE)),"Indicamos entre 0 y 6 decimales en E6. ","")&amp;IF(O397=0,"Falta un ID numérico. ","")&amp;IF(R397=0,"Faltan capítulo, código, unidad o total numérico del ID. ","")&amp;IF(T397&gt;0,"Los datos o el total del ID se contradicen. ","")&amp;IF(AND(P397&lt;&gt;"DIMENSIONES",P397&lt;&gt;"DIRECTA",P397&lt;&gt;"SIN LÍNEAS",P397&lt;&gt;"CABECERA"),"Tipo de fila no reconocido. ","")&amp;IF(AND(OR(P397="SIN LÍNEAS",P397="CABECERA"),COUNTA(G397:J397)&gt;0),"La fila dice que no mide, pero contiene medidas. ","")&amp;IF(AND(OR(P397="DIRECTA",P397="DIMENSIONES"),U397=0),"Línea incompleta o con medidas no numéricas. ","")&amp;IF(P397="SIN LÍNEAS","No constan medidas de esta fila. ","")&amp;IF(Y397&gt;0,"Parece m³: tres dimensiones bajo m². ","")&amp;IF(AND(AB397&lt;&gt;"",SUMPRODUCT(--('LÉEME'!$B$65:$B$86=AC397))&lt;&gt;1),"Revisamos el significado de la unidad. ","")&amp;IF(Z397&gt;0,"Más precisión que los decimales indicados: cotejamos el original. ","")&amp;IF(AA397&gt;0,"Revisamos dimensiones, cantidad directa, ceros o deducción. ","")))</f>
      </c>
      <c r="O397" s="0" t="n">
        <f>IF(ISNUMBER(K397),IF(AND(K397&gt;0,K397=INT(K397),K397&lt;=999999),K397,0),0)</f>
        <v>0</v>
      </c>
      <c r="P397" s="0">
        <f>IF(COUNTA(B397:L397)=0,"",IF(L397="",IF(COUNTA(G397:J397)&gt;0,"DIMENSIONES","SIN LÍNEAS"),UPPER(TRIM(L397))))</f>
      </c>
      <c r="Q397" s="0">
        <f>IF(AND(O397&gt;0,LEN(TRIM(B397&amp;""))&gt;0,LEN(TRIM(C397&amp;""))&gt;0,LEN(TRIM(E397&amp;""))&gt;0,ISNUMBER(F397)),O397,"")</f>
      </c>
      <c r="R397" s="0" t="n">
        <f>IF(O397=0,0,IF(COUNTIFS($Q$13:$Q$512,O397)&gt;0,MATCH(O397,$Q$13:$Q$512,0),0))</f>
        <v>0</v>
      </c>
      <c r="S397" s="0">
        <f>IF(AB397="","",IF(SUMPRODUCT(--('LÉEME'!$B$65:$B$86=AC397))=1,INDEX('LÉEME'!$C$65:$C$86,MATCH(AC397,'LÉEME'!$B$65:$B$86,0)),UPPER(TRIM(AB397))))</f>
      </c>
      <c r="T397" s="0" t="n">
        <f>IF(R397=0,0,IF(OR(AND(LEN(TRIM(B397&amp;""))&gt;0,UPPER(TRIM(B397&amp;""))&lt;&gt;UPPER(TRIM(INDEX($B$13:$B$512,R397)&amp;""))),AND(LEN(TRIM(C397&amp;""))&gt;0,UPPER(TRIM(C397&amp;""))&lt;&gt;UPPER(TRIM(INDEX($C$13:$C$512,R397)&amp;""))),AND(LEN(TRIM(E397&amp;""))&gt;0,S397&lt;&gt;INDEX($S$13:$S$512,R397)),AND(F397&lt;&gt;"",NOT(ISNUMBER(F397)))),1,IF(ISNUMBER(F397),IF(ABS(F397-INDEX($F$13:$F$512,R397))&gt;0.00000001,1,0),0)))</f>
        <v>0</v>
      </c>
      <c r="U397" s="0" t="n">
        <f>IF(P397="DIRECTA",IF(AND(ISNUMBER(G397),COUNTA(H397:J397)=0),1,0),IF(P397="DIMENSIONES",IF(AND(COUNT(G397:J397)&gt;0,COUNTA(G397:J397)=COUNT(G397:J397)),1,0),0))</f>
        <v>0</v>
      </c>
      <c r="V397" s="0" t="n">
        <f>IF(O397=0,0,IF(COUNTIFS($O$13:O397,O397)=1,1,0))</f>
        <v>0</v>
      </c>
      <c r="W397" s="0">
        <f>IF(V397=1,COUNTIFS($V$13:V397,1),"")</f>
      </c>
      <c r="X397" s="0">
        <f>IF(COUNTA(B397:L397)=0,"",IF(OR(NOT(IF(ISNUMBER($E$6),AND($E$6&gt;=0,$E$6&lt;=6,$E$6=INT($E$6)),FALSE)),O397=0,R397=0,T397&gt;0,AND(P397&lt;&gt;"DIMENSIONES",P397&lt;&gt;"DIRECTA",P397&lt;&gt;"SIN LÍNEAS",P397&lt;&gt;"CABECERA"),AND(OR(P397="DIRECTA",P397="DIMENSIONES"),U397=0),AND(OR(P397="SIN LÍNEAS",P397="CABECERA"),COUNTA(G397:J397)&gt;0)),2,IF(OR(P397="SIN LÍNEAS",Y397&gt;0,Z397&gt;0,AA397&gt;0,SUMPRODUCT(--('LÉEME'!$B$65:$B$86=AC397))&lt;&gt;1),1,0)))</f>
      </c>
      <c r="Y397" s="0" t="n">
        <f>IF(AND(P397="DIMENSIONES",S397="m²",COUNT(H397:J397)=3),1,0)</f>
        <v>0</v>
      </c>
      <c r="Z397" s="0" t="n">
        <f>IF(IF(ISNUMBER($E$6),AND($E$6&gt;=0,$E$6&lt;=6,$E$6=INT($E$6)),FALSE),IF(SUM(IF(ISNUMBER(F397),IF(ABS(F397-ROUND(F397,$E$6))&gt;0.00000001,1,0),0),IF(ISNUMBER(G397),IF(ABS(G397-ROUND(G397,$E$6))&gt;0.00000001,1,0),0),IF(ISNUMBER(H397),IF(ABS(H397-ROUND(H397,$E$6))&gt;0.00000001,1,0),0),IF(ISNUMBER(I397),IF(ABS(I397-ROUND(I397,$E$6))&gt;0.00000001,1,0),0),IF(ISNUMBER(J397),IF(ABS(J397-ROUND(J397,$E$6))&gt;0.00000001,1,0),0),IF(ISNUMBER(M397),IF(ABS(M397-ROUND(M397,$E$6))&gt;0.00000001,1,0),0))&gt;0,1,0),0)</f>
        <v>0</v>
      </c>
      <c r="AA397" s="0" t="n">
        <f>IF(COUNTA(B397:L397)=0,0,IF(OR(AND(ISNUMBER(F397),F397&lt;0),AND(U397=1,OR(SUM(IF(ISNUMBER(G397),IF(G397=0,1,0),0),IF(ISNUMBER(H397),IF(H397=0,1,0),0),IF(ISNUMBER(I397),IF(I397=0,1,0),0),IF(ISNUMBER(J397),IF(J397=0,1,0),0))&gt;0,COUNTIFS(G397:J397,"&lt;0")&gt;0)),AND(P397="DIMENSIONES",U397=1,OR(AND(S397="m",COUNT(H397:J397)&lt;&gt;1),AND(S397="m²",COUNT(H397:J397)&lt;&gt;2,Y397=0),AND(S397="m³",COUNT(H397:J397)&lt;&gt;3),AND(S397="ud",COUNT(H397:J397)&gt;0))),AND(P397="DIRECTA",OR(S397="m",S397="m²",S397="m³"))),1,0))</f>
        <v>0</v>
      </c>
      <c r="AB397" s="0">
        <f>IF(LEN(TRIM(E397&amp;""))&gt;0,E397,IF(R397&gt;0,INDEX($E$13:$E$512,R397),""))</f>
      </c>
      <c r="AC397" s="0">
        <f>UPPER(SUBSTITUTE(SUBSTITUTE(SUBSTITUTE(SUBSTITUTE(SUBSTITUTE(TRIM(AB397),"²","2"),"³","3"),"^",""),".","")," ",""))</f>
      </c>
    </row>
    <row r="398" ht="35" customHeight="1">
      <c r="B398" s="35"/>
      <c r="C398" s="35"/>
      <c r="D398" s="37"/>
      <c r="E398" s="35"/>
      <c r="F398" s="38"/>
      <c r="G398" s="38"/>
      <c r="H398" s="38"/>
      <c r="I398" s="38"/>
      <c r="J398" s="38"/>
      <c r="K398" s="35"/>
      <c r="L398" s="35"/>
      <c r="M398" s="39">
        <f>IF(U398&lt;&gt;1,"",IF(P398="DIRECTA",G398,IF(ISNUMBER(G398),G398,1)*IF(ISNUMBER(H398),H398,1)*IF(ISNUMBER(I398),I398,1)*IF(ISNUMBER(J398),J398,1)))</f>
      </c>
      <c r="N398" s="30">
        <f>IF(COUNTA(B398:L398)=0,"",IF(X398=0,IF(P398="CABECERA","VERDE · Fila descriptiva; la suma usa las líneas del ID","VERDE · Datos numéricos interpretables"),IF(X398=2,"ROJO · ","ÁMBAR · ")&amp;IF(NOT(IF(ISNUMBER($E$6),AND($E$6&gt;=0,$E$6&lt;=6,$E$6=INT($E$6)),FALSE)),"Indicamos entre 0 y 6 decimales en E6. ","")&amp;IF(O398=0,"Falta un ID numérico. ","")&amp;IF(R398=0,"Faltan capítulo, código, unidad o total numérico del ID. ","")&amp;IF(T398&gt;0,"Los datos o el total del ID se contradicen. ","")&amp;IF(AND(P398&lt;&gt;"DIMENSIONES",P398&lt;&gt;"DIRECTA",P398&lt;&gt;"SIN LÍNEAS",P398&lt;&gt;"CABECERA"),"Tipo de fila no reconocido. ","")&amp;IF(AND(OR(P398="SIN LÍNEAS",P398="CABECERA"),COUNTA(G398:J398)&gt;0),"La fila dice que no mide, pero contiene medidas. ","")&amp;IF(AND(OR(P398="DIRECTA",P398="DIMENSIONES"),U398=0),"Línea incompleta o con medidas no numéricas. ","")&amp;IF(P398="SIN LÍNEAS","No constan medidas de esta fila. ","")&amp;IF(Y398&gt;0,"Parece m³: tres dimensiones bajo m². ","")&amp;IF(AND(AB398&lt;&gt;"",SUMPRODUCT(--('LÉEME'!$B$65:$B$86=AC398))&lt;&gt;1),"Revisamos el significado de la unidad. ","")&amp;IF(Z398&gt;0,"Más precisión que los decimales indicados: cotejamos el original. ","")&amp;IF(AA398&gt;0,"Revisamos dimensiones, cantidad directa, ceros o deducción. ","")))</f>
      </c>
      <c r="O398" s="0" t="n">
        <f>IF(ISNUMBER(K398),IF(AND(K398&gt;0,K398=INT(K398),K398&lt;=999999),K398,0),0)</f>
        <v>0</v>
      </c>
      <c r="P398" s="0">
        <f>IF(COUNTA(B398:L398)=0,"",IF(L398="",IF(COUNTA(G398:J398)&gt;0,"DIMENSIONES","SIN LÍNEAS"),UPPER(TRIM(L398))))</f>
      </c>
      <c r="Q398" s="0">
        <f>IF(AND(O398&gt;0,LEN(TRIM(B398&amp;""))&gt;0,LEN(TRIM(C398&amp;""))&gt;0,LEN(TRIM(E398&amp;""))&gt;0,ISNUMBER(F398)),O398,"")</f>
      </c>
      <c r="R398" s="0" t="n">
        <f>IF(O398=0,0,IF(COUNTIFS($Q$13:$Q$512,O398)&gt;0,MATCH(O398,$Q$13:$Q$512,0),0))</f>
        <v>0</v>
      </c>
      <c r="S398" s="0">
        <f>IF(AB398="","",IF(SUMPRODUCT(--('LÉEME'!$B$65:$B$86=AC398))=1,INDEX('LÉEME'!$C$65:$C$86,MATCH(AC398,'LÉEME'!$B$65:$B$86,0)),UPPER(TRIM(AB398))))</f>
      </c>
      <c r="T398" s="0" t="n">
        <f>IF(R398=0,0,IF(OR(AND(LEN(TRIM(B398&amp;""))&gt;0,UPPER(TRIM(B398&amp;""))&lt;&gt;UPPER(TRIM(INDEX($B$13:$B$512,R398)&amp;""))),AND(LEN(TRIM(C398&amp;""))&gt;0,UPPER(TRIM(C398&amp;""))&lt;&gt;UPPER(TRIM(INDEX($C$13:$C$512,R398)&amp;""))),AND(LEN(TRIM(E398&amp;""))&gt;0,S398&lt;&gt;INDEX($S$13:$S$512,R398)),AND(F398&lt;&gt;"",NOT(ISNUMBER(F398)))),1,IF(ISNUMBER(F398),IF(ABS(F398-INDEX($F$13:$F$512,R398))&gt;0.00000001,1,0),0)))</f>
        <v>0</v>
      </c>
      <c r="U398" s="0" t="n">
        <f>IF(P398="DIRECTA",IF(AND(ISNUMBER(G398),COUNTA(H398:J398)=0),1,0),IF(P398="DIMENSIONES",IF(AND(COUNT(G398:J398)&gt;0,COUNTA(G398:J398)=COUNT(G398:J398)),1,0),0))</f>
        <v>0</v>
      </c>
      <c r="V398" s="0" t="n">
        <f>IF(O398=0,0,IF(COUNTIFS($O$13:O398,O398)=1,1,0))</f>
        <v>0</v>
      </c>
      <c r="W398" s="0">
        <f>IF(V398=1,COUNTIFS($V$13:V398,1),"")</f>
      </c>
      <c r="X398" s="0">
        <f>IF(COUNTA(B398:L398)=0,"",IF(OR(NOT(IF(ISNUMBER($E$6),AND($E$6&gt;=0,$E$6&lt;=6,$E$6=INT($E$6)),FALSE)),O398=0,R398=0,T398&gt;0,AND(P398&lt;&gt;"DIMENSIONES",P398&lt;&gt;"DIRECTA",P398&lt;&gt;"SIN LÍNEAS",P398&lt;&gt;"CABECERA"),AND(OR(P398="DIRECTA",P398="DIMENSIONES"),U398=0),AND(OR(P398="SIN LÍNEAS",P398="CABECERA"),COUNTA(G398:J398)&gt;0)),2,IF(OR(P398="SIN LÍNEAS",Y398&gt;0,Z398&gt;0,AA398&gt;0,SUMPRODUCT(--('LÉEME'!$B$65:$B$86=AC398))&lt;&gt;1),1,0)))</f>
      </c>
      <c r="Y398" s="0" t="n">
        <f>IF(AND(P398="DIMENSIONES",S398="m²",COUNT(H398:J398)=3),1,0)</f>
        <v>0</v>
      </c>
      <c r="Z398" s="0" t="n">
        <f>IF(IF(ISNUMBER($E$6),AND($E$6&gt;=0,$E$6&lt;=6,$E$6=INT($E$6)),FALSE),IF(SUM(IF(ISNUMBER(F398),IF(ABS(F398-ROUND(F398,$E$6))&gt;0.00000001,1,0),0),IF(ISNUMBER(G398),IF(ABS(G398-ROUND(G398,$E$6))&gt;0.00000001,1,0),0),IF(ISNUMBER(H398),IF(ABS(H398-ROUND(H398,$E$6))&gt;0.00000001,1,0),0),IF(ISNUMBER(I398),IF(ABS(I398-ROUND(I398,$E$6))&gt;0.00000001,1,0),0),IF(ISNUMBER(J398),IF(ABS(J398-ROUND(J398,$E$6))&gt;0.00000001,1,0),0),IF(ISNUMBER(M398),IF(ABS(M398-ROUND(M398,$E$6))&gt;0.00000001,1,0),0))&gt;0,1,0),0)</f>
        <v>0</v>
      </c>
      <c r="AA398" s="0" t="n">
        <f>IF(COUNTA(B398:L398)=0,0,IF(OR(AND(ISNUMBER(F398),F398&lt;0),AND(U398=1,OR(SUM(IF(ISNUMBER(G398),IF(G398=0,1,0),0),IF(ISNUMBER(H398),IF(H398=0,1,0),0),IF(ISNUMBER(I398),IF(I398=0,1,0),0),IF(ISNUMBER(J398),IF(J398=0,1,0),0))&gt;0,COUNTIFS(G398:J398,"&lt;0")&gt;0)),AND(P398="DIMENSIONES",U398=1,OR(AND(S398="m",COUNT(H398:J398)&lt;&gt;1),AND(S398="m²",COUNT(H398:J398)&lt;&gt;2,Y398=0),AND(S398="m³",COUNT(H398:J398)&lt;&gt;3),AND(S398="ud",COUNT(H398:J398)&gt;0))),AND(P398="DIRECTA",OR(S398="m",S398="m²",S398="m³"))),1,0))</f>
        <v>0</v>
      </c>
      <c r="AB398" s="0">
        <f>IF(LEN(TRIM(E398&amp;""))&gt;0,E398,IF(R398&gt;0,INDEX($E$13:$E$512,R398),""))</f>
      </c>
      <c r="AC398" s="0">
        <f>UPPER(SUBSTITUTE(SUBSTITUTE(SUBSTITUTE(SUBSTITUTE(SUBSTITUTE(TRIM(AB398),"²","2"),"³","3"),"^",""),".","")," ",""))</f>
      </c>
    </row>
    <row r="399" ht="35" customHeight="1">
      <c r="B399" s="35"/>
      <c r="C399" s="35"/>
      <c r="D399" s="37"/>
      <c r="E399" s="35"/>
      <c r="F399" s="38"/>
      <c r="G399" s="38"/>
      <c r="H399" s="38"/>
      <c r="I399" s="38"/>
      <c r="J399" s="38"/>
      <c r="K399" s="35"/>
      <c r="L399" s="35"/>
      <c r="M399" s="39">
        <f>IF(U399&lt;&gt;1,"",IF(P399="DIRECTA",G399,IF(ISNUMBER(G399),G399,1)*IF(ISNUMBER(H399),H399,1)*IF(ISNUMBER(I399),I399,1)*IF(ISNUMBER(J399),J399,1)))</f>
      </c>
      <c r="N399" s="30">
        <f>IF(COUNTA(B399:L399)=0,"",IF(X399=0,IF(P399="CABECERA","VERDE · Fila descriptiva; la suma usa las líneas del ID","VERDE · Datos numéricos interpretables"),IF(X399=2,"ROJO · ","ÁMBAR · ")&amp;IF(NOT(IF(ISNUMBER($E$6),AND($E$6&gt;=0,$E$6&lt;=6,$E$6=INT($E$6)),FALSE)),"Indicamos entre 0 y 6 decimales en E6. ","")&amp;IF(O399=0,"Falta un ID numérico. ","")&amp;IF(R399=0,"Faltan capítulo, código, unidad o total numérico del ID. ","")&amp;IF(T399&gt;0,"Los datos o el total del ID se contradicen. ","")&amp;IF(AND(P399&lt;&gt;"DIMENSIONES",P399&lt;&gt;"DIRECTA",P399&lt;&gt;"SIN LÍNEAS",P399&lt;&gt;"CABECERA"),"Tipo de fila no reconocido. ","")&amp;IF(AND(OR(P399="SIN LÍNEAS",P399="CABECERA"),COUNTA(G399:J399)&gt;0),"La fila dice que no mide, pero contiene medidas. ","")&amp;IF(AND(OR(P399="DIRECTA",P399="DIMENSIONES"),U399=0),"Línea incompleta o con medidas no numéricas. ","")&amp;IF(P399="SIN LÍNEAS","No constan medidas de esta fila. ","")&amp;IF(Y399&gt;0,"Parece m³: tres dimensiones bajo m². ","")&amp;IF(AND(AB399&lt;&gt;"",SUMPRODUCT(--('LÉEME'!$B$65:$B$86=AC399))&lt;&gt;1),"Revisamos el significado de la unidad. ","")&amp;IF(Z399&gt;0,"Más precisión que los decimales indicados: cotejamos el original. ","")&amp;IF(AA399&gt;0,"Revisamos dimensiones, cantidad directa, ceros o deducción. ","")))</f>
      </c>
      <c r="O399" s="0" t="n">
        <f>IF(ISNUMBER(K399),IF(AND(K399&gt;0,K399=INT(K399),K399&lt;=999999),K399,0),0)</f>
        <v>0</v>
      </c>
      <c r="P399" s="0">
        <f>IF(COUNTA(B399:L399)=0,"",IF(L399="",IF(COUNTA(G399:J399)&gt;0,"DIMENSIONES","SIN LÍNEAS"),UPPER(TRIM(L399))))</f>
      </c>
      <c r="Q399" s="0">
        <f>IF(AND(O399&gt;0,LEN(TRIM(B399&amp;""))&gt;0,LEN(TRIM(C399&amp;""))&gt;0,LEN(TRIM(E399&amp;""))&gt;0,ISNUMBER(F399)),O399,"")</f>
      </c>
      <c r="R399" s="0" t="n">
        <f>IF(O399=0,0,IF(COUNTIFS($Q$13:$Q$512,O399)&gt;0,MATCH(O399,$Q$13:$Q$512,0),0))</f>
        <v>0</v>
      </c>
      <c r="S399" s="0">
        <f>IF(AB399="","",IF(SUMPRODUCT(--('LÉEME'!$B$65:$B$86=AC399))=1,INDEX('LÉEME'!$C$65:$C$86,MATCH(AC399,'LÉEME'!$B$65:$B$86,0)),UPPER(TRIM(AB399))))</f>
      </c>
      <c r="T399" s="0" t="n">
        <f>IF(R399=0,0,IF(OR(AND(LEN(TRIM(B399&amp;""))&gt;0,UPPER(TRIM(B399&amp;""))&lt;&gt;UPPER(TRIM(INDEX($B$13:$B$512,R399)&amp;""))),AND(LEN(TRIM(C399&amp;""))&gt;0,UPPER(TRIM(C399&amp;""))&lt;&gt;UPPER(TRIM(INDEX($C$13:$C$512,R399)&amp;""))),AND(LEN(TRIM(E399&amp;""))&gt;0,S399&lt;&gt;INDEX($S$13:$S$512,R399)),AND(F399&lt;&gt;"",NOT(ISNUMBER(F399)))),1,IF(ISNUMBER(F399),IF(ABS(F399-INDEX($F$13:$F$512,R399))&gt;0.00000001,1,0),0)))</f>
        <v>0</v>
      </c>
      <c r="U399" s="0" t="n">
        <f>IF(P399="DIRECTA",IF(AND(ISNUMBER(G399),COUNTA(H399:J399)=0),1,0),IF(P399="DIMENSIONES",IF(AND(COUNT(G399:J399)&gt;0,COUNTA(G399:J399)=COUNT(G399:J399)),1,0),0))</f>
        <v>0</v>
      </c>
      <c r="V399" s="0" t="n">
        <f>IF(O399=0,0,IF(COUNTIFS($O$13:O399,O399)=1,1,0))</f>
        <v>0</v>
      </c>
      <c r="W399" s="0">
        <f>IF(V399=1,COUNTIFS($V$13:V399,1),"")</f>
      </c>
      <c r="X399" s="0">
        <f>IF(COUNTA(B399:L399)=0,"",IF(OR(NOT(IF(ISNUMBER($E$6),AND($E$6&gt;=0,$E$6&lt;=6,$E$6=INT($E$6)),FALSE)),O399=0,R399=0,T399&gt;0,AND(P399&lt;&gt;"DIMENSIONES",P399&lt;&gt;"DIRECTA",P399&lt;&gt;"SIN LÍNEAS",P399&lt;&gt;"CABECERA"),AND(OR(P399="DIRECTA",P399="DIMENSIONES"),U399=0),AND(OR(P399="SIN LÍNEAS",P399="CABECERA"),COUNTA(G399:J399)&gt;0)),2,IF(OR(P399="SIN LÍNEAS",Y399&gt;0,Z399&gt;0,AA399&gt;0,SUMPRODUCT(--('LÉEME'!$B$65:$B$86=AC399))&lt;&gt;1),1,0)))</f>
      </c>
      <c r="Y399" s="0" t="n">
        <f>IF(AND(P399="DIMENSIONES",S399="m²",COUNT(H399:J399)=3),1,0)</f>
        <v>0</v>
      </c>
      <c r="Z399" s="0" t="n">
        <f>IF(IF(ISNUMBER($E$6),AND($E$6&gt;=0,$E$6&lt;=6,$E$6=INT($E$6)),FALSE),IF(SUM(IF(ISNUMBER(F399),IF(ABS(F399-ROUND(F399,$E$6))&gt;0.00000001,1,0),0),IF(ISNUMBER(G399),IF(ABS(G399-ROUND(G399,$E$6))&gt;0.00000001,1,0),0),IF(ISNUMBER(H399),IF(ABS(H399-ROUND(H399,$E$6))&gt;0.00000001,1,0),0),IF(ISNUMBER(I399),IF(ABS(I399-ROUND(I399,$E$6))&gt;0.00000001,1,0),0),IF(ISNUMBER(J399),IF(ABS(J399-ROUND(J399,$E$6))&gt;0.00000001,1,0),0),IF(ISNUMBER(M399),IF(ABS(M399-ROUND(M399,$E$6))&gt;0.00000001,1,0),0))&gt;0,1,0),0)</f>
        <v>0</v>
      </c>
      <c r="AA399" s="0" t="n">
        <f>IF(COUNTA(B399:L399)=0,0,IF(OR(AND(ISNUMBER(F399),F399&lt;0),AND(U399=1,OR(SUM(IF(ISNUMBER(G399),IF(G399=0,1,0),0),IF(ISNUMBER(H399),IF(H399=0,1,0),0),IF(ISNUMBER(I399),IF(I399=0,1,0),0),IF(ISNUMBER(J399),IF(J399=0,1,0),0))&gt;0,COUNTIFS(G399:J399,"&lt;0")&gt;0)),AND(P399="DIMENSIONES",U399=1,OR(AND(S399="m",COUNT(H399:J399)&lt;&gt;1),AND(S399="m²",COUNT(H399:J399)&lt;&gt;2,Y399=0),AND(S399="m³",COUNT(H399:J399)&lt;&gt;3),AND(S399="ud",COUNT(H399:J399)&gt;0))),AND(P399="DIRECTA",OR(S399="m",S399="m²",S399="m³"))),1,0))</f>
        <v>0</v>
      </c>
      <c r="AB399" s="0">
        <f>IF(LEN(TRIM(E399&amp;""))&gt;0,E399,IF(R399&gt;0,INDEX($E$13:$E$512,R399),""))</f>
      </c>
      <c r="AC399" s="0">
        <f>UPPER(SUBSTITUTE(SUBSTITUTE(SUBSTITUTE(SUBSTITUTE(SUBSTITUTE(TRIM(AB399),"²","2"),"³","3"),"^",""),".","")," ",""))</f>
      </c>
    </row>
    <row r="400" ht="35" customHeight="1">
      <c r="B400" s="35"/>
      <c r="C400" s="35"/>
      <c r="D400" s="37"/>
      <c r="E400" s="35"/>
      <c r="F400" s="38"/>
      <c r="G400" s="38"/>
      <c r="H400" s="38"/>
      <c r="I400" s="38"/>
      <c r="J400" s="38"/>
      <c r="K400" s="35"/>
      <c r="L400" s="35"/>
      <c r="M400" s="39">
        <f>IF(U400&lt;&gt;1,"",IF(P400="DIRECTA",G400,IF(ISNUMBER(G400),G400,1)*IF(ISNUMBER(H400),H400,1)*IF(ISNUMBER(I400),I400,1)*IF(ISNUMBER(J400),J400,1)))</f>
      </c>
      <c r="N400" s="30">
        <f>IF(COUNTA(B400:L400)=0,"",IF(X400=0,IF(P400="CABECERA","VERDE · Fila descriptiva; la suma usa las líneas del ID","VERDE · Datos numéricos interpretables"),IF(X400=2,"ROJO · ","ÁMBAR · ")&amp;IF(NOT(IF(ISNUMBER($E$6),AND($E$6&gt;=0,$E$6&lt;=6,$E$6=INT($E$6)),FALSE)),"Indicamos entre 0 y 6 decimales en E6. ","")&amp;IF(O400=0,"Falta un ID numérico. ","")&amp;IF(R400=0,"Faltan capítulo, código, unidad o total numérico del ID. ","")&amp;IF(T400&gt;0,"Los datos o el total del ID se contradicen. ","")&amp;IF(AND(P400&lt;&gt;"DIMENSIONES",P400&lt;&gt;"DIRECTA",P400&lt;&gt;"SIN LÍNEAS",P400&lt;&gt;"CABECERA"),"Tipo de fila no reconocido. ","")&amp;IF(AND(OR(P400="SIN LÍNEAS",P400="CABECERA"),COUNTA(G400:J400)&gt;0),"La fila dice que no mide, pero contiene medidas. ","")&amp;IF(AND(OR(P400="DIRECTA",P400="DIMENSIONES"),U400=0),"Línea incompleta o con medidas no numéricas. ","")&amp;IF(P400="SIN LÍNEAS","No constan medidas de esta fila. ","")&amp;IF(Y400&gt;0,"Parece m³: tres dimensiones bajo m². ","")&amp;IF(AND(AB400&lt;&gt;"",SUMPRODUCT(--('LÉEME'!$B$65:$B$86=AC400))&lt;&gt;1),"Revisamos el significado de la unidad. ","")&amp;IF(Z400&gt;0,"Más precisión que los decimales indicados: cotejamos el original. ","")&amp;IF(AA400&gt;0,"Revisamos dimensiones, cantidad directa, ceros o deducción. ","")))</f>
      </c>
      <c r="O400" s="0" t="n">
        <f>IF(ISNUMBER(K400),IF(AND(K400&gt;0,K400=INT(K400),K400&lt;=999999),K400,0),0)</f>
        <v>0</v>
      </c>
      <c r="P400" s="0">
        <f>IF(COUNTA(B400:L400)=0,"",IF(L400="",IF(COUNTA(G400:J400)&gt;0,"DIMENSIONES","SIN LÍNEAS"),UPPER(TRIM(L400))))</f>
      </c>
      <c r="Q400" s="0">
        <f>IF(AND(O400&gt;0,LEN(TRIM(B400&amp;""))&gt;0,LEN(TRIM(C400&amp;""))&gt;0,LEN(TRIM(E400&amp;""))&gt;0,ISNUMBER(F400)),O400,"")</f>
      </c>
      <c r="R400" s="0" t="n">
        <f>IF(O400=0,0,IF(COUNTIFS($Q$13:$Q$512,O400)&gt;0,MATCH(O400,$Q$13:$Q$512,0),0))</f>
        <v>0</v>
      </c>
      <c r="S400" s="0">
        <f>IF(AB400="","",IF(SUMPRODUCT(--('LÉEME'!$B$65:$B$86=AC400))=1,INDEX('LÉEME'!$C$65:$C$86,MATCH(AC400,'LÉEME'!$B$65:$B$86,0)),UPPER(TRIM(AB400))))</f>
      </c>
      <c r="T400" s="0" t="n">
        <f>IF(R400=0,0,IF(OR(AND(LEN(TRIM(B400&amp;""))&gt;0,UPPER(TRIM(B400&amp;""))&lt;&gt;UPPER(TRIM(INDEX($B$13:$B$512,R400)&amp;""))),AND(LEN(TRIM(C400&amp;""))&gt;0,UPPER(TRIM(C400&amp;""))&lt;&gt;UPPER(TRIM(INDEX($C$13:$C$512,R400)&amp;""))),AND(LEN(TRIM(E400&amp;""))&gt;0,S400&lt;&gt;INDEX($S$13:$S$512,R400)),AND(F400&lt;&gt;"",NOT(ISNUMBER(F400)))),1,IF(ISNUMBER(F400),IF(ABS(F400-INDEX($F$13:$F$512,R400))&gt;0.00000001,1,0),0)))</f>
        <v>0</v>
      </c>
      <c r="U400" s="0" t="n">
        <f>IF(P400="DIRECTA",IF(AND(ISNUMBER(G400),COUNTA(H400:J400)=0),1,0),IF(P400="DIMENSIONES",IF(AND(COUNT(G400:J400)&gt;0,COUNTA(G400:J400)=COUNT(G400:J400)),1,0),0))</f>
        <v>0</v>
      </c>
      <c r="V400" s="0" t="n">
        <f>IF(O400=0,0,IF(COUNTIFS($O$13:O400,O400)=1,1,0))</f>
        <v>0</v>
      </c>
      <c r="W400" s="0">
        <f>IF(V400=1,COUNTIFS($V$13:V400,1),"")</f>
      </c>
      <c r="X400" s="0">
        <f>IF(COUNTA(B400:L400)=0,"",IF(OR(NOT(IF(ISNUMBER($E$6),AND($E$6&gt;=0,$E$6&lt;=6,$E$6=INT($E$6)),FALSE)),O400=0,R400=0,T400&gt;0,AND(P400&lt;&gt;"DIMENSIONES",P400&lt;&gt;"DIRECTA",P400&lt;&gt;"SIN LÍNEAS",P400&lt;&gt;"CABECERA"),AND(OR(P400="DIRECTA",P400="DIMENSIONES"),U400=0),AND(OR(P400="SIN LÍNEAS",P400="CABECERA"),COUNTA(G400:J400)&gt;0)),2,IF(OR(P400="SIN LÍNEAS",Y400&gt;0,Z400&gt;0,AA400&gt;0,SUMPRODUCT(--('LÉEME'!$B$65:$B$86=AC400))&lt;&gt;1),1,0)))</f>
      </c>
      <c r="Y400" s="0" t="n">
        <f>IF(AND(P400="DIMENSIONES",S400="m²",COUNT(H400:J400)=3),1,0)</f>
        <v>0</v>
      </c>
      <c r="Z400" s="0" t="n">
        <f>IF(IF(ISNUMBER($E$6),AND($E$6&gt;=0,$E$6&lt;=6,$E$6=INT($E$6)),FALSE),IF(SUM(IF(ISNUMBER(F400),IF(ABS(F400-ROUND(F400,$E$6))&gt;0.00000001,1,0),0),IF(ISNUMBER(G400),IF(ABS(G400-ROUND(G400,$E$6))&gt;0.00000001,1,0),0),IF(ISNUMBER(H400),IF(ABS(H400-ROUND(H400,$E$6))&gt;0.00000001,1,0),0),IF(ISNUMBER(I400),IF(ABS(I400-ROUND(I400,$E$6))&gt;0.00000001,1,0),0),IF(ISNUMBER(J400),IF(ABS(J400-ROUND(J400,$E$6))&gt;0.00000001,1,0),0),IF(ISNUMBER(M400),IF(ABS(M400-ROUND(M400,$E$6))&gt;0.00000001,1,0),0))&gt;0,1,0),0)</f>
        <v>0</v>
      </c>
      <c r="AA400" s="0" t="n">
        <f>IF(COUNTA(B400:L400)=0,0,IF(OR(AND(ISNUMBER(F400),F400&lt;0),AND(U400=1,OR(SUM(IF(ISNUMBER(G400),IF(G400=0,1,0),0),IF(ISNUMBER(H400),IF(H400=0,1,0),0),IF(ISNUMBER(I400),IF(I400=0,1,0),0),IF(ISNUMBER(J400),IF(J400=0,1,0),0))&gt;0,COUNTIFS(G400:J400,"&lt;0")&gt;0)),AND(P400="DIMENSIONES",U400=1,OR(AND(S400="m",COUNT(H400:J400)&lt;&gt;1),AND(S400="m²",COUNT(H400:J400)&lt;&gt;2,Y400=0),AND(S400="m³",COUNT(H400:J400)&lt;&gt;3),AND(S400="ud",COUNT(H400:J400)&gt;0))),AND(P400="DIRECTA",OR(S400="m",S400="m²",S400="m³"))),1,0))</f>
        <v>0</v>
      </c>
      <c r="AB400" s="0">
        <f>IF(LEN(TRIM(E400&amp;""))&gt;0,E400,IF(R400&gt;0,INDEX($E$13:$E$512,R400),""))</f>
      </c>
      <c r="AC400" s="0">
        <f>UPPER(SUBSTITUTE(SUBSTITUTE(SUBSTITUTE(SUBSTITUTE(SUBSTITUTE(TRIM(AB400),"²","2"),"³","3"),"^",""),".","")," ",""))</f>
      </c>
    </row>
    <row r="401" ht="35" customHeight="1">
      <c r="B401" s="35"/>
      <c r="C401" s="35"/>
      <c r="D401" s="37"/>
      <c r="E401" s="35"/>
      <c r="F401" s="38"/>
      <c r="G401" s="38"/>
      <c r="H401" s="38"/>
      <c r="I401" s="38"/>
      <c r="J401" s="38"/>
      <c r="K401" s="35"/>
      <c r="L401" s="35"/>
      <c r="M401" s="39">
        <f>IF(U401&lt;&gt;1,"",IF(P401="DIRECTA",G401,IF(ISNUMBER(G401),G401,1)*IF(ISNUMBER(H401),H401,1)*IF(ISNUMBER(I401),I401,1)*IF(ISNUMBER(J401),J401,1)))</f>
      </c>
      <c r="N401" s="30">
        <f>IF(COUNTA(B401:L401)=0,"",IF(X401=0,IF(P401="CABECERA","VERDE · Fila descriptiva; la suma usa las líneas del ID","VERDE · Datos numéricos interpretables"),IF(X401=2,"ROJO · ","ÁMBAR · ")&amp;IF(NOT(IF(ISNUMBER($E$6),AND($E$6&gt;=0,$E$6&lt;=6,$E$6=INT($E$6)),FALSE)),"Indicamos entre 0 y 6 decimales en E6. ","")&amp;IF(O401=0,"Falta un ID numérico. ","")&amp;IF(R401=0,"Faltan capítulo, código, unidad o total numérico del ID. ","")&amp;IF(T401&gt;0,"Los datos o el total del ID se contradicen. ","")&amp;IF(AND(P401&lt;&gt;"DIMENSIONES",P401&lt;&gt;"DIRECTA",P401&lt;&gt;"SIN LÍNEAS",P401&lt;&gt;"CABECERA"),"Tipo de fila no reconocido. ","")&amp;IF(AND(OR(P401="SIN LÍNEAS",P401="CABECERA"),COUNTA(G401:J401)&gt;0),"La fila dice que no mide, pero contiene medidas. ","")&amp;IF(AND(OR(P401="DIRECTA",P401="DIMENSIONES"),U401=0),"Línea incompleta o con medidas no numéricas. ","")&amp;IF(P401="SIN LÍNEAS","No constan medidas de esta fila. ","")&amp;IF(Y401&gt;0,"Parece m³: tres dimensiones bajo m². ","")&amp;IF(AND(AB401&lt;&gt;"",SUMPRODUCT(--('LÉEME'!$B$65:$B$86=AC401))&lt;&gt;1),"Revisamos el significado de la unidad. ","")&amp;IF(Z401&gt;0,"Más precisión que los decimales indicados: cotejamos el original. ","")&amp;IF(AA401&gt;0,"Revisamos dimensiones, cantidad directa, ceros o deducción. ","")))</f>
      </c>
      <c r="O401" s="0" t="n">
        <f>IF(ISNUMBER(K401),IF(AND(K401&gt;0,K401=INT(K401),K401&lt;=999999),K401,0),0)</f>
        <v>0</v>
      </c>
      <c r="P401" s="0">
        <f>IF(COUNTA(B401:L401)=0,"",IF(L401="",IF(COUNTA(G401:J401)&gt;0,"DIMENSIONES","SIN LÍNEAS"),UPPER(TRIM(L401))))</f>
      </c>
      <c r="Q401" s="0">
        <f>IF(AND(O401&gt;0,LEN(TRIM(B401&amp;""))&gt;0,LEN(TRIM(C401&amp;""))&gt;0,LEN(TRIM(E401&amp;""))&gt;0,ISNUMBER(F401)),O401,"")</f>
      </c>
      <c r="R401" s="0" t="n">
        <f>IF(O401=0,0,IF(COUNTIFS($Q$13:$Q$512,O401)&gt;0,MATCH(O401,$Q$13:$Q$512,0),0))</f>
        <v>0</v>
      </c>
      <c r="S401" s="0">
        <f>IF(AB401="","",IF(SUMPRODUCT(--('LÉEME'!$B$65:$B$86=AC401))=1,INDEX('LÉEME'!$C$65:$C$86,MATCH(AC401,'LÉEME'!$B$65:$B$86,0)),UPPER(TRIM(AB401))))</f>
      </c>
      <c r="T401" s="0" t="n">
        <f>IF(R401=0,0,IF(OR(AND(LEN(TRIM(B401&amp;""))&gt;0,UPPER(TRIM(B401&amp;""))&lt;&gt;UPPER(TRIM(INDEX($B$13:$B$512,R401)&amp;""))),AND(LEN(TRIM(C401&amp;""))&gt;0,UPPER(TRIM(C401&amp;""))&lt;&gt;UPPER(TRIM(INDEX($C$13:$C$512,R401)&amp;""))),AND(LEN(TRIM(E401&amp;""))&gt;0,S401&lt;&gt;INDEX($S$13:$S$512,R401)),AND(F401&lt;&gt;"",NOT(ISNUMBER(F401)))),1,IF(ISNUMBER(F401),IF(ABS(F401-INDEX($F$13:$F$512,R401))&gt;0.00000001,1,0),0)))</f>
        <v>0</v>
      </c>
      <c r="U401" s="0" t="n">
        <f>IF(P401="DIRECTA",IF(AND(ISNUMBER(G401),COUNTA(H401:J401)=0),1,0),IF(P401="DIMENSIONES",IF(AND(COUNT(G401:J401)&gt;0,COUNTA(G401:J401)=COUNT(G401:J401)),1,0),0))</f>
        <v>0</v>
      </c>
      <c r="V401" s="0" t="n">
        <f>IF(O401=0,0,IF(COUNTIFS($O$13:O401,O401)=1,1,0))</f>
        <v>0</v>
      </c>
      <c r="W401" s="0">
        <f>IF(V401=1,COUNTIFS($V$13:V401,1),"")</f>
      </c>
      <c r="X401" s="0">
        <f>IF(COUNTA(B401:L401)=0,"",IF(OR(NOT(IF(ISNUMBER($E$6),AND($E$6&gt;=0,$E$6&lt;=6,$E$6=INT($E$6)),FALSE)),O401=0,R401=0,T401&gt;0,AND(P401&lt;&gt;"DIMENSIONES",P401&lt;&gt;"DIRECTA",P401&lt;&gt;"SIN LÍNEAS",P401&lt;&gt;"CABECERA"),AND(OR(P401="DIRECTA",P401="DIMENSIONES"),U401=0),AND(OR(P401="SIN LÍNEAS",P401="CABECERA"),COUNTA(G401:J401)&gt;0)),2,IF(OR(P401="SIN LÍNEAS",Y401&gt;0,Z401&gt;0,AA401&gt;0,SUMPRODUCT(--('LÉEME'!$B$65:$B$86=AC401))&lt;&gt;1),1,0)))</f>
      </c>
      <c r="Y401" s="0" t="n">
        <f>IF(AND(P401="DIMENSIONES",S401="m²",COUNT(H401:J401)=3),1,0)</f>
        <v>0</v>
      </c>
      <c r="Z401" s="0" t="n">
        <f>IF(IF(ISNUMBER($E$6),AND($E$6&gt;=0,$E$6&lt;=6,$E$6=INT($E$6)),FALSE),IF(SUM(IF(ISNUMBER(F401),IF(ABS(F401-ROUND(F401,$E$6))&gt;0.00000001,1,0),0),IF(ISNUMBER(G401),IF(ABS(G401-ROUND(G401,$E$6))&gt;0.00000001,1,0),0),IF(ISNUMBER(H401),IF(ABS(H401-ROUND(H401,$E$6))&gt;0.00000001,1,0),0),IF(ISNUMBER(I401),IF(ABS(I401-ROUND(I401,$E$6))&gt;0.00000001,1,0),0),IF(ISNUMBER(J401),IF(ABS(J401-ROUND(J401,$E$6))&gt;0.00000001,1,0),0),IF(ISNUMBER(M401),IF(ABS(M401-ROUND(M401,$E$6))&gt;0.00000001,1,0),0))&gt;0,1,0),0)</f>
        <v>0</v>
      </c>
      <c r="AA401" s="0" t="n">
        <f>IF(COUNTA(B401:L401)=0,0,IF(OR(AND(ISNUMBER(F401),F401&lt;0),AND(U401=1,OR(SUM(IF(ISNUMBER(G401),IF(G401=0,1,0),0),IF(ISNUMBER(H401),IF(H401=0,1,0),0),IF(ISNUMBER(I401),IF(I401=0,1,0),0),IF(ISNUMBER(J401),IF(J401=0,1,0),0))&gt;0,COUNTIFS(G401:J401,"&lt;0")&gt;0)),AND(P401="DIMENSIONES",U401=1,OR(AND(S401="m",COUNT(H401:J401)&lt;&gt;1),AND(S401="m²",COUNT(H401:J401)&lt;&gt;2,Y401=0),AND(S401="m³",COUNT(H401:J401)&lt;&gt;3),AND(S401="ud",COUNT(H401:J401)&gt;0))),AND(P401="DIRECTA",OR(S401="m",S401="m²",S401="m³"))),1,0))</f>
        <v>0</v>
      </c>
      <c r="AB401" s="0">
        <f>IF(LEN(TRIM(E401&amp;""))&gt;0,E401,IF(R401&gt;0,INDEX($E$13:$E$512,R401),""))</f>
      </c>
      <c r="AC401" s="0">
        <f>UPPER(SUBSTITUTE(SUBSTITUTE(SUBSTITUTE(SUBSTITUTE(SUBSTITUTE(TRIM(AB401),"²","2"),"³","3"),"^",""),".","")," ",""))</f>
      </c>
    </row>
    <row r="402" ht="35" customHeight="1">
      <c r="B402" s="35"/>
      <c r="C402" s="35"/>
      <c r="D402" s="37"/>
      <c r="E402" s="35"/>
      <c r="F402" s="38"/>
      <c r="G402" s="38"/>
      <c r="H402" s="38"/>
      <c r="I402" s="38"/>
      <c r="J402" s="38"/>
      <c r="K402" s="35"/>
      <c r="L402" s="35"/>
      <c r="M402" s="39">
        <f>IF(U402&lt;&gt;1,"",IF(P402="DIRECTA",G402,IF(ISNUMBER(G402),G402,1)*IF(ISNUMBER(H402),H402,1)*IF(ISNUMBER(I402),I402,1)*IF(ISNUMBER(J402),J402,1)))</f>
      </c>
      <c r="N402" s="30">
        <f>IF(COUNTA(B402:L402)=0,"",IF(X402=0,IF(P402="CABECERA","VERDE · Fila descriptiva; la suma usa las líneas del ID","VERDE · Datos numéricos interpretables"),IF(X402=2,"ROJO · ","ÁMBAR · ")&amp;IF(NOT(IF(ISNUMBER($E$6),AND($E$6&gt;=0,$E$6&lt;=6,$E$6=INT($E$6)),FALSE)),"Indicamos entre 0 y 6 decimales en E6. ","")&amp;IF(O402=0,"Falta un ID numérico. ","")&amp;IF(R402=0,"Faltan capítulo, código, unidad o total numérico del ID. ","")&amp;IF(T402&gt;0,"Los datos o el total del ID se contradicen. ","")&amp;IF(AND(P402&lt;&gt;"DIMENSIONES",P402&lt;&gt;"DIRECTA",P402&lt;&gt;"SIN LÍNEAS",P402&lt;&gt;"CABECERA"),"Tipo de fila no reconocido. ","")&amp;IF(AND(OR(P402="SIN LÍNEAS",P402="CABECERA"),COUNTA(G402:J402)&gt;0),"La fila dice que no mide, pero contiene medidas. ","")&amp;IF(AND(OR(P402="DIRECTA",P402="DIMENSIONES"),U402=0),"Línea incompleta o con medidas no numéricas. ","")&amp;IF(P402="SIN LÍNEAS","No constan medidas de esta fila. ","")&amp;IF(Y402&gt;0,"Parece m³: tres dimensiones bajo m². ","")&amp;IF(AND(AB402&lt;&gt;"",SUMPRODUCT(--('LÉEME'!$B$65:$B$86=AC402))&lt;&gt;1),"Revisamos el significado de la unidad. ","")&amp;IF(Z402&gt;0,"Más precisión que los decimales indicados: cotejamos el original. ","")&amp;IF(AA402&gt;0,"Revisamos dimensiones, cantidad directa, ceros o deducción. ","")))</f>
      </c>
      <c r="O402" s="0" t="n">
        <f>IF(ISNUMBER(K402),IF(AND(K402&gt;0,K402=INT(K402),K402&lt;=999999),K402,0),0)</f>
        <v>0</v>
      </c>
      <c r="P402" s="0">
        <f>IF(COUNTA(B402:L402)=0,"",IF(L402="",IF(COUNTA(G402:J402)&gt;0,"DIMENSIONES","SIN LÍNEAS"),UPPER(TRIM(L402))))</f>
      </c>
      <c r="Q402" s="0">
        <f>IF(AND(O402&gt;0,LEN(TRIM(B402&amp;""))&gt;0,LEN(TRIM(C402&amp;""))&gt;0,LEN(TRIM(E402&amp;""))&gt;0,ISNUMBER(F402)),O402,"")</f>
      </c>
      <c r="R402" s="0" t="n">
        <f>IF(O402=0,0,IF(COUNTIFS($Q$13:$Q$512,O402)&gt;0,MATCH(O402,$Q$13:$Q$512,0),0))</f>
        <v>0</v>
      </c>
      <c r="S402" s="0">
        <f>IF(AB402="","",IF(SUMPRODUCT(--('LÉEME'!$B$65:$B$86=AC402))=1,INDEX('LÉEME'!$C$65:$C$86,MATCH(AC402,'LÉEME'!$B$65:$B$86,0)),UPPER(TRIM(AB402))))</f>
      </c>
      <c r="T402" s="0" t="n">
        <f>IF(R402=0,0,IF(OR(AND(LEN(TRIM(B402&amp;""))&gt;0,UPPER(TRIM(B402&amp;""))&lt;&gt;UPPER(TRIM(INDEX($B$13:$B$512,R402)&amp;""))),AND(LEN(TRIM(C402&amp;""))&gt;0,UPPER(TRIM(C402&amp;""))&lt;&gt;UPPER(TRIM(INDEX($C$13:$C$512,R402)&amp;""))),AND(LEN(TRIM(E402&amp;""))&gt;0,S402&lt;&gt;INDEX($S$13:$S$512,R402)),AND(F402&lt;&gt;"",NOT(ISNUMBER(F402)))),1,IF(ISNUMBER(F402),IF(ABS(F402-INDEX($F$13:$F$512,R402))&gt;0.00000001,1,0),0)))</f>
        <v>0</v>
      </c>
      <c r="U402" s="0" t="n">
        <f>IF(P402="DIRECTA",IF(AND(ISNUMBER(G402),COUNTA(H402:J402)=0),1,0),IF(P402="DIMENSIONES",IF(AND(COUNT(G402:J402)&gt;0,COUNTA(G402:J402)=COUNT(G402:J402)),1,0),0))</f>
        <v>0</v>
      </c>
      <c r="V402" s="0" t="n">
        <f>IF(O402=0,0,IF(COUNTIFS($O$13:O402,O402)=1,1,0))</f>
        <v>0</v>
      </c>
      <c r="W402" s="0">
        <f>IF(V402=1,COUNTIFS($V$13:V402,1),"")</f>
      </c>
      <c r="X402" s="0">
        <f>IF(COUNTA(B402:L402)=0,"",IF(OR(NOT(IF(ISNUMBER($E$6),AND($E$6&gt;=0,$E$6&lt;=6,$E$6=INT($E$6)),FALSE)),O402=0,R402=0,T402&gt;0,AND(P402&lt;&gt;"DIMENSIONES",P402&lt;&gt;"DIRECTA",P402&lt;&gt;"SIN LÍNEAS",P402&lt;&gt;"CABECERA"),AND(OR(P402="DIRECTA",P402="DIMENSIONES"),U402=0),AND(OR(P402="SIN LÍNEAS",P402="CABECERA"),COUNTA(G402:J402)&gt;0)),2,IF(OR(P402="SIN LÍNEAS",Y402&gt;0,Z402&gt;0,AA402&gt;0,SUMPRODUCT(--('LÉEME'!$B$65:$B$86=AC402))&lt;&gt;1),1,0)))</f>
      </c>
      <c r="Y402" s="0" t="n">
        <f>IF(AND(P402="DIMENSIONES",S402="m²",COUNT(H402:J402)=3),1,0)</f>
        <v>0</v>
      </c>
      <c r="Z402" s="0" t="n">
        <f>IF(IF(ISNUMBER($E$6),AND($E$6&gt;=0,$E$6&lt;=6,$E$6=INT($E$6)),FALSE),IF(SUM(IF(ISNUMBER(F402),IF(ABS(F402-ROUND(F402,$E$6))&gt;0.00000001,1,0),0),IF(ISNUMBER(G402),IF(ABS(G402-ROUND(G402,$E$6))&gt;0.00000001,1,0),0),IF(ISNUMBER(H402),IF(ABS(H402-ROUND(H402,$E$6))&gt;0.00000001,1,0),0),IF(ISNUMBER(I402),IF(ABS(I402-ROUND(I402,$E$6))&gt;0.00000001,1,0),0),IF(ISNUMBER(J402),IF(ABS(J402-ROUND(J402,$E$6))&gt;0.00000001,1,0),0),IF(ISNUMBER(M402),IF(ABS(M402-ROUND(M402,$E$6))&gt;0.00000001,1,0),0))&gt;0,1,0),0)</f>
        <v>0</v>
      </c>
      <c r="AA402" s="0" t="n">
        <f>IF(COUNTA(B402:L402)=0,0,IF(OR(AND(ISNUMBER(F402),F402&lt;0),AND(U402=1,OR(SUM(IF(ISNUMBER(G402),IF(G402=0,1,0),0),IF(ISNUMBER(H402),IF(H402=0,1,0),0),IF(ISNUMBER(I402),IF(I402=0,1,0),0),IF(ISNUMBER(J402),IF(J402=0,1,0),0))&gt;0,COUNTIFS(G402:J402,"&lt;0")&gt;0)),AND(P402="DIMENSIONES",U402=1,OR(AND(S402="m",COUNT(H402:J402)&lt;&gt;1),AND(S402="m²",COUNT(H402:J402)&lt;&gt;2,Y402=0),AND(S402="m³",COUNT(H402:J402)&lt;&gt;3),AND(S402="ud",COUNT(H402:J402)&gt;0))),AND(P402="DIRECTA",OR(S402="m",S402="m²",S402="m³"))),1,0))</f>
        <v>0</v>
      </c>
      <c r="AB402" s="0">
        <f>IF(LEN(TRIM(E402&amp;""))&gt;0,E402,IF(R402&gt;0,INDEX($E$13:$E$512,R402),""))</f>
      </c>
      <c r="AC402" s="0">
        <f>UPPER(SUBSTITUTE(SUBSTITUTE(SUBSTITUTE(SUBSTITUTE(SUBSTITUTE(TRIM(AB402),"²","2"),"³","3"),"^",""),".","")," ",""))</f>
      </c>
    </row>
    <row r="403" ht="35" customHeight="1">
      <c r="B403" s="35"/>
      <c r="C403" s="35"/>
      <c r="D403" s="37"/>
      <c r="E403" s="35"/>
      <c r="F403" s="38"/>
      <c r="G403" s="38"/>
      <c r="H403" s="38"/>
      <c r="I403" s="38"/>
      <c r="J403" s="38"/>
      <c r="K403" s="35"/>
      <c r="L403" s="35"/>
      <c r="M403" s="39">
        <f>IF(U403&lt;&gt;1,"",IF(P403="DIRECTA",G403,IF(ISNUMBER(G403),G403,1)*IF(ISNUMBER(H403),H403,1)*IF(ISNUMBER(I403),I403,1)*IF(ISNUMBER(J403),J403,1)))</f>
      </c>
      <c r="N403" s="30">
        <f>IF(COUNTA(B403:L403)=0,"",IF(X403=0,IF(P403="CABECERA","VERDE · Fila descriptiva; la suma usa las líneas del ID","VERDE · Datos numéricos interpretables"),IF(X403=2,"ROJO · ","ÁMBAR · ")&amp;IF(NOT(IF(ISNUMBER($E$6),AND($E$6&gt;=0,$E$6&lt;=6,$E$6=INT($E$6)),FALSE)),"Indicamos entre 0 y 6 decimales en E6. ","")&amp;IF(O403=0,"Falta un ID numérico. ","")&amp;IF(R403=0,"Faltan capítulo, código, unidad o total numérico del ID. ","")&amp;IF(T403&gt;0,"Los datos o el total del ID se contradicen. ","")&amp;IF(AND(P403&lt;&gt;"DIMENSIONES",P403&lt;&gt;"DIRECTA",P403&lt;&gt;"SIN LÍNEAS",P403&lt;&gt;"CABECERA"),"Tipo de fila no reconocido. ","")&amp;IF(AND(OR(P403="SIN LÍNEAS",P403="CABECERA"),COUNTA(G403:J403)&gt;0),"La fila dice que no mide, pero contiene medidas. ","")&amp;IF(AND(OR(P403="DIRECTA",P403="DIMENSIONES"),U403=0),"Línea incompleta o con medidas no numéricas. ","")&amp;IF(P403="SIN LÍNEAS","No constan medidas de esta fila. ","")&amp;IF(Y403&gt;0,"Parece m³: tres dimensiones bajo m². ","")&amp;IF(AND(AB403&lt;&gt;"",SUMPRODUCT(--('LÉEME'!$B$65:$B$86=AC403))&lt;&gt;1),"Revisamos el significado de la unidad. ","")&amp;IF(Z403&gt;0,"Más precisión que los decimales indicados: cotejamos el original. ","")&amp;IF(AA403&gt;0,"Revisamos dimensiones, cantidad directa, ceros o deducción. ","")))</f>
      </c>
      <c r="O403" s="0" t="n">
        <f>IF(ISNUMBER(K403),IF(AND(K403&gt;0,K403=INT(K403),K403&lt;=999999),K403,0),0)</f>
        <v>0</v>
      </c>
      <c r="P403" s="0">
        <f>IF(COUNTA(B403:L403)=0,"",IF(L403="",IF(COUNTA(G403:J403)&gt;0,"DIMENSIONES","SIN LÍNEAS"),UPPER(TRIM(L403))))</f>
      </c>
      <c r="Q403" s="0">
        <f>IF(AND(O403&gt;0,LEN(TRIM(B403&amp;""))&gt;0,LEN(TRIM(C403&amp;""))&gt;0,LEN(TRIM(E403&amp;""))&gt;0,ISNUMBER(F403)),O403,"")</f>
      </c>
      <c r="R403" s="0" t="n">
        <f>IF(O403=0,0,IF(COUNTIFS($Q$13:$Q$512,O403)&gt;0,MATCH(O403,$Q$13:$Q$512,0),0))</f>
        <v>0</v>
      </c>
      <c r="S403" s="0">
        <f>IF(AB403="","",IF(SUMPRODUCT(--('LÉEME'!$B$65:$B$86=AC403))=1,INDEX('LÉEME'!$C$65:$C$86,MATCH(AC403,'LÉEME'!$B$65:$B$86,0)),UPPER(TRIM(AB403))))</f>
      </c>
      <c r="T403" s="0" t="n">
        <f>IF(R403=0,0,IF(OR(AND(LEN(TRIM(B403&amp;""))&gt;0,UPPER(TRIM(B403&amp;""))&lt;&gt;UPPER(TRIM(INDEX($B$13:$B$512,R403)&amp;""))),AND(LEN(TRIM(C403&amp;""))&gt;0,UPPER(TRIM(C403&amp;""))&lt;&gt;UPPER(TRIM(INDEX($C$13:$C$512,R403)&amp;""))),AND(LEN(TRIM(E403&amp;""))&gt;0,S403&lt;&gt;INDEX($S$13:$S$512,R403)),AND(F403&lt;&gt;"",NOT(ISNUMBER(F403)))),1,IF(ISNUMBER(F403),IF(ABS(F403-INDEX($F$13:$F$512,R403))&gt;0.00000001,1,0),0)))</f>
        <v>0</v>
      </c>
      <c r="U403" s="0" t="n">
        <f>IF(P403="DIRECTA",IF(AND(ISNUMBER(G403),COUNTA(H403:J403)=0),1,0),IF(P403="DIMENSIONES",IF(AND(COUNT(G403:J403)&gt;0,COUNTA(G403:J403)=COUNT(G403:J403)),1,0),0))</f>
        <v>0</v>
      </c>
      <c r="V403" s="0" t="n">
        <f>IF(O403=0,0,IF(COUNTIFS($O$13:O403,O403)=1,1,0))</f>
        <v>0</v>
      </c>
      <c r="W403" s="0">
        <f>IF(V403=1,COUNTIFS($V$13:V403,1),"")</f>
      </c>
      <c r="X403" s="0">
        <f>IF(COUNTA(B403:L403)=0,"",IF(OR(NOT(IF(ISNUMBER($E$6),AND($E$6&gt;=0,$E$6&lt;=6,$E$6=INT($E$6)),FALSE)),O403=0,R403=0,T403&gt;0,AND(P403&lt;&gt;"DIMENSIONES",P403&lt;&gt;"DIRECTA",P403&lt;&gt;"SIN LÍNEAS",P403&lt;&gt;"CABECERA"),AND(OR(P403="DIRECTA",P403="DIMENSIONES"),U403=0),AND(OR(P403="SIN LÍNEAS",P403="CABECERA"),COUNTA(G403:J403)&gt;0)),2,IF(OR(P403="SIN LÍNEAS",Y403&gt;0,Z403&gt;0,AA403&gt;0,SUMPRODUCT(--('LÉEME'!$B$65:$B$86=AC403))&lt;&gt;1),1,0)))</f>
      </c>
      <c r="Y403" s="0" t="n">
        <f>IF(AND(P403="DIMENSIONES",S403="m²",COUNT(H403:J403)=3),1,0)</f>
        <v>0</v>
      </c>
      <c r="Z403" s="0" t="n">
        <f>IF(IF(ISNUMBER($E$6),AND($E$6&gt;=0,$E$6&lt;=6,$E$6=INT($E$6)),FALSE),IF(SUM(IF(ISNUMBER(F403),IF(ABS(F403-ROUND(F403,$E$6))&gt;0.00000001,1,0),0),IF(ISNUMBER(G403),IF(ABS(G403-ROUND(G403,$E$6))&gt;0.00000001,1,0),0),IF(ISNUMBER(H403),IF(ABS(H403-ROUND(H403,$E$6))&gt;0.00000001,1,0),0),IF(ISNUMBER(I403),IF(ABS(I403-ROUND(I403,$E$6))&gt;0.00000001,1,0),0),IF(ISNUMBER(J403),IF(ABS(J403-ROUND(J403,$E$6))&gt;0.00000001,1,0),0),IF(ISNUMBER(M403),IF(ABS(M403-ROUND(M403,$E$6))&gt;0.00000001,1,0),0))&gt;0,1,0),0)</f>
        <v>0</v>
      </c>
      <c r="AA403" s="0" t="n">
        <f>IF(COUNTA(B403:L403)=0,0,IF(OR(AND(ISNUMBER(F403),F403&lt;0),AND(U403=1,OR(SUM(IF(ISNUMBER(G403),IF(G403=0,1,0),0),IF(ISNUMBER(H403),IF(H403=0,1,0),0),IF(ISNUMBER(I403),IF(I403=0,1,0),0),IF(ISNUMBER(J403),IF(J403=0,1,0),0))&gt;0,COUNTIFS(G403:J403,"&lt;0")&gt;0)),AND(P403="DIMENSIONES",U403=1,OR(AND(S403="m",COUNT(H403:J403)&lt;&gt;1),AND(S403="m²",COUNT(H403:J403)&lt;&gt;2,Y403=0),AND(S403="m³",COUNT(H403:J403)&lt;&gt;3),AND(S403="ud",COUNT(H403:J403)&gt;0))),AND(P403="DIRECTA",OR(S403="m",S403="m²",S403="m³"))),1,0))</f>
        <v>0</v>
      </c>
      <c r="AB403" s="0">
        <f>IF(LEN(TRIM(E403&amp;""))&gt;0,E403,IF(R403&gt;0,INDEX($E$13:$E$512,R403),""))</f>
      </c>
      <c r="AC403" s="0">
        <f>UPPER(SUBSTITUTE(SUBSTITUTE(SUBSTITUTE(SUBSTITUTE(SUBSTITUTE(TRIM(AB403),"²","2"),"³","3"),"^",""),".","")," ",""))</f>
      </c>
    </row>
    <row r="404" ht="35" customHeight="1">
      <c r="B404" s="35"/>
      <c r="C404" s="35"/>
      <c r="D404" s="37"/>
      <c r="E404" s="35"/>
      <c r="F404" s="38"/>
      <c r="G404" s="38"/>
      <c r="H404" s="38"/>
      <c r="I404" s="38"/>
      <c r="J404" s="38"/>
      <c r="K404" s="35"/>
      <c r="L404" s="35"/>
      <c r="M404" s="39">
        <f>IF(U404&lt;&gt;1,"",IF(P404="DIRECTA",G404,IF(ISNUMBER(G404),G404,1)*IF(ISNUMBER(H404),H404,1)*IF(ISNUMBER(I404),I404,1)*IF(ISNUMBER(J404),J404,1)))</f>
      </c>
      <c r="N404" s="30">
        <f>IF(COUNTA(B404:L404)=0,"",IF(X404=0,IF(P404="CABECERA","VERDE · Fila descriptiva; la suma usa las líneas del ID","VERDE · Datos numéricos interpretables"),IF(X404=2,"ROJO · ","ÁMBAR · ")&amp;IF(NOT(IF(ISNUMBER($E$6),AND($E$6&gt;=0,$E$6&lt;=6,$E$6=INT($E$6)),FALSE)),"Indicamos entre 0 y 6 decimales en E6. ","")&amp;IF(O404=0,"Falta un ID numérico. ","")&amp;IF(R404=0,"Faltan capítulo, código, unidad o total numérico del ID. ","")&amp;IF(T404&gt;0,"Los datos o el total del ID se contradicen. ","")&amp;IF(AND(P404&lt;&gt;"DIMENSIONES",P404&lt;&gt;"DIRECTA",P404&lt;&gt;"SIN LÍNEAS",P404&lt;&gt;"CABECERA"),"Tipo de fila no reconocido. ","")&amp;IF(AND(OR(P404="SIN LÍNEAS",P404="CABECERA"),COUNTA(G404:J404)&gt;0),"La fila dice que no mide, pero contiene medidas. ","")&amp;IF(AND(OR(P404="DIRECTA",P404="DIMENSIONES"),U404=0),"Línea incompleta o con medidas no numéricas. ","")&amp;IF(P404="SIN LÍNEAS","No constan medidas de esta fila. ","")&amp;IF(Y404&gt;0,"Parece m³: tres dimensiones bajo m². ","")&amp;IF(AND(AB404&lt;&gt;"",SUMPRODUCT(--('LÉEME'!$B$65:$B$86=AC404))&lt;&gt;1),"Revisamos el significado de la unidad. ","")&amp;IF(Z404&gt;0,"Más precisión que los decimales indicados: cotejamos el original. ","")&amp;IF(AA404&gt;0,"Revisamos dimensiones, cantidad directa, ceros o deducción. ","")))</f>
      </c>
      <c r="O404" s="0" t="n">
        <f>IF(ISNUMBER(K404),IF(AND(K404&gt;0,K404=INT(K404),K404&lt;=999999),K404,0),0)</f>
        <v>0</v>
      </c>
      <c r="P404" s="0">
        <f>IF(COUNTA(B404:L404)=0,"",IF(L404="",IF(COUNTA(G404:J404)&gt;0,"DIMENSIONES","SIN LÍNEAS"),UPPER(TRIM(L404))))</f>
      </c>
      <c r="Q404" s="0">
        <f>IF(AND(O404&gt;0,LEN(TRIM(B404&amp;""))&gt;0,LEN(TRIM(C404&amp;""))&gt;0,LEN(TRIM(E404&amp;""))&gt;0,ISNUMBER(F404)),O404,"")</f>
      </c>
      <c r="R404" s="0" t="n">
        <f>IF(O404=0,0,IF(COUNTIFS($Q$13:$Q$512,O404)&gt;0,MATCH(O404,$Q$13:$Q$512,0),0))</f>
        <v>0</v>
      </c>
      <c r="S404" s="0">
        <f>IF(AB404="","",IF(SUMPRODUCT(--('LÉEME'!$B$65:$B$86=AC404))=1,INDEX('LÉEME'!$C$65:$C$86,MATCH(AC404,'LÉEME'!$B$65:$B$86,0)),UPPER(TRIM(AB404))))</f>
      </c>
      <c r="T404" s="0" t="n">
        <f>IF(R404=0,0,IF(OR(AND(LEN(TRIM(B404&amp;""))&gt;0,UPPER(TRIM(B404&amp;""))&lt;&gt;UPPER(TRIM(INDEX($B$13:$B$512,R404)&amp;""))),AND(LEN(TRIM(C404&amp;""))&gt;0,UPPER(TRIM(C404&amp;""))&lt;&gt;UPPER(TRIM(INDEX($C$13:$C$512,R404)&amp;""))),AND(LEN(TRIM(E404&amp;""))&gt;0,S404&lt;&gt;INDEX($S$13:$S$512,R404)),AND(F404&lt;&gt;"",NOT(ISNUMBER(F404)))),1,IF(ISNUMBER(F404),IF(ABS(F404-INDEX($F$13:$F$512,R404))&gt;0.00000001,1,0),0)))</f>
        <v>0</v>
      </c>
      <c r="U404" s="0" t="n">
        <f>IF(P404="DIRECTA",IF(AND(ISNUMBER(G404),COUNTA(H404:J404)=0),1,0),IF(P404="DIMENSIONES",IF(AND(COUNT(G404:J404)&gt;0,COUNTA(G404:J404)=COUNT(G404:J404)),1,0),0))</f>
        <v>0</v>
      </c>
      <c r="V404" s="0" t="n">
        <f>IF(O404=0,0,IF(COUNTIFS($O$13:O404,O404)=1,1,0))</f>
        <v>0</v>
      </c>
      <c r="W404" s="0">
        <f>IF(V404=1,COUNTIFS($V$13:V404,1),"")</f>
      </c>
      <c r="X404" s="0">
        <f>IF(COUNTA(B404:L404)=0,"",IF(OR(NOT(IF(ISNUMBER($E$6),AND($E$6&gt;=0,$E$6&lt;=6,$E$6=INT($E$6)),FALSE)),O404=0,R404=0,T404&gt;0,AND(P404&lt;&gt;"DIMENSIONES",P404&lt;&gt;"DIRECTA",P404&lt;&gt;"SIN LÍNEAS",P404&lt;&gt;"CABECERA"),AND(OR(P404="DIRECTA",P404="DIMENSIONES"),U404=0),AND(OR(P404="SIN LÍNEAS",P404="CABECERA"),COUNTA(G404:J404)&gt;0)),2,IF(OR(P404="SIN LÍNEAS",Y404&gt;0,Z404&gt;0,AA404&gt;0,SUMPRODUCT(--('LÉEME'!$B$65:$B$86=AC404))&lt;&gt;1),1,0)))</f>
      </c>
      <c r="Y404" s="0" t="n">
        <f>IF(AND(P404="DIMENSIONES",S404="m²",COUNT(H404:J404)=3),1,0)</f>
        <v>0</v>
      </c>
      <c r="Z404" s="0" t="n">
        <f>IF(IF(ISNUMBER($E$6),AND($E$6&gt;=0,$E$6&lt;=6,$E$6=INT($E$6)),FALSE),IF(SUM(IF(ISNUMBER(F404),IF(ABS(F404-ROUND(F404,$E$6))&gt;0.00000001,1,0),0),IF(ISNUMBER(G404),IF(ABS(G404-ROUND(G404,$E$6))&gt;0.00000001,1,0),0),IF(ISNUMBER(H404),IF(ABS(H404-ROUND(H404,$E$6))&gt;0.00000001,1,0),0),IF(ISNUMBER(I404),IF(ABS(I404-ROUND(I404,$E$6))&gt;0.00000001,1,0),0),IF(ISNUMBER(J404),IF(ABS(J404-ROUND(J404,$E$6))&gt;0.00000001,1,0),0),IF(ISNUMBER(M404),IF(ABS(M404-ROUND(M404,$E$6))&gt;0.00000001,1,0),0))&gt;0,1,0),0)</f>
        <v>0</v>
      </c>
      <c r="AA404" s="0" t="n">
        <f>IF(COUNTA(B404:L404)=0,0,IF(OR(AND(ISNUMBER(F404),F404&lt;0),AND(U404=1,OR(SUM(IF(ISNUMBER(G404),IF(G404=0,1,0),0),IF(ISNUMBER(H404),IF(H404=0,1,0),0),IF(ISNUMBER(I404),IF(I404=0,1,0),0),IF(ISNUMBER(J404),IF(J404=0,1,0),0))&gt;0,COUNTIFS(G404:J404,"&lt;0")&gt;0)),AND(P404="DIMENSIONES",U404=1,OR(AND(S404="m",COUNT(H404:J404)&lt;&gt;1),AND(S404="m²",COUNT(H404:J404)&lt;&gt;2,Y404=0),AND(S404="m³",COUNT(H404:J404)&lt;&gt;3),AND(S404="ud",COUNT(H404:J404)&gt;0))),AND(P404="DIRECTA",OR(S404="m",S404="m²",S404="m³"))),1,0))</f>
        <v>0</v>
      </c>
      <c r="AB404" s="0">
        <f>IF(LEN(TRIM(E404&amp;""))&gt;0,E404,IF(R404&gt;0,INDEX($E$13:$E$512,R404),""))</f>
      </c>
      <c r="AC404" s="0">
        <f>UPPER(SUBSTITUTE(SUBSTITUTE(SUBSTITUTE(SUBSTITUTE(SUBSTITUTE(TRIM(AB404),"²","2"),"³","3"),"^",""),".","")," ",""))</f>
      </c>
    </row>
    <row r="405" ht="35" customHeight="1">
      <c r="B405" s="35"/>
      <c r="C405" s="35"/>
      <c r="D405" s="37"/>
      <c r="E405" s="35"/>
      <c r="F405" s="38"/>
      <c r="G405" s="38"/>
      <c r="H405" s="38"/>
      <c r="I405" s="38"/>
      <c r="J405" s="38"/>
      <c r="K405" s="35"/>
      <c r="L405" s="35"/>
      <c r="M405" s="39">
        <f>IF(U405&lt;&gt;1,"",IF(P405="DIRECTA",G405,IF(ISNUMBER(G405),G405,1)*IF(ISNUMBER(H405),H405,1)*IF(ISNUMBER(I405),I405,1)*IF(ISNUMBER(J405),J405,1)))</f>
      </c>
      <c r="N405" s="30">
        <f>IF(COUNTA(B405:L405)=0,"",IF(X405=0,IF(P405="CABECERA","VERDE · Fila descriptiva; la suma usa las líneas del ID","VERDE · Datos numéricos interpretables"),IF(X405=2,"ROJO · ","ÁMBAR · ")&amp;IF(NOT(IF(ISNUMBER($E$6),AND($E$6&gt;=0,$E$6&lt;=6,$E$6=INT($E$6)),FALSE)),"Indicamos entre 0 y 6 decimales en E6. ","")&amp;IF(O405=0,"Falta un ID numérico. ","")&amp;IF(R405=0,"Faltan capítulo, código, unidad o total numérico del ID. ","")&amp;IF(T405&gt;0,"Los datos o el total del ID se contradicen. ","")&amp;IF(AND(P405&lt;&gt;"DIMENSIONES",P405&lt;&gt;"DIRECTA",P405&lt;&gt;"SIN LÍNEAS",P405&lt;&gt;"CABECERA"),"Tipo de fila no reconocido. ","")&amp;IF(AND(OR(P405="SIN LÍNEAS",P405="CABECERA"),COUNTA(G405:J405)&gt;0),"La fila dice que no mide, pero contiene medidas. ","")&amp;IF(AND(OR(P405="DIRECTA",P405="DIMENSIONES"),U405=0),"Línea incompleta o con medidas no numéricas. ","")&amp;IF(P405="SIN LÍNEAS","No constan medidas de esta fila. ","")&amp;IF(Y405&gt;0,"Parece m³: tres dimensiones bajo m². ","")&amp;IF(AND(AB405&lt;&gt;"",SUMPRODUCT(--('LÉEME'!$B$65:$B$86=AC405))&lt;&gt;1),"Revisamos el significado de la unidad. ","")&amp;IF(Z405&gt;0,"Más precisión que los decimales indicados: cotejamos el original. ","")&amp;IF(AA405&gt;0,"Revisamos dimensiones, cantidad directa, ceros o deducción. ","")))</f>
      </c>
      <c r="O405" s="0" t="n">
        <f>IF(ISNUMBER(K405),IF(AND(K405&gt;0,K405=INT(K405),K405&lt;=999999),K405,0),0)</f>
        <v>0</v>
      </c>
      <c r="P405" s="0">
        <f>IF(COUNTA(B405:L405)=0,"",IF(L405="",IF(COUNTA(G405:J405)&gt;0,"DIMENSIONES","SIN LÍNEAS"),UPPER(TRIM(L405))))</f>
      </c>
      <c r="Q405" s="0">
        <f>IF(AND(O405&gt;0,LEN(TRIM(B405&amp;""))&gt;0,LEN(TRIM(C405&amp;""))&gt;0,LEN(TRIM(E405&amp;""))&gt;0,ISNUMBER(F405)),O405,"")</f>
      </c>
      <c r="R405" s="0" t="n">
        <f>IF(O405=0,0,IF(COUNTIFS($Q$13:$Q$512,O405)&gt;0,MATCH(O405,$Q$13:$Q$512,0),0))</f>
        <v>0</v>
      </c>
      <c r="S405" s="0">
        <f>IF(AB405="","",IF(SUMPRODUCT(--('LÉEME'!$B$65:$B$86=AC405))=1,INDEX('LÉEME'!$C$65:$C$86,MATCH(AC405,'LÉEME'!$B$65:$B$86,0)),UPPER(TRIM(AB405))))</f>
      </c>
      <c r="T405" s="0" t="n">
        <f>IF(R405=0,0,IF(OR(AND(LEN(TRIM(B405&amp;""))&gt;0,UPPER(TRIM(B405&amp;""))&lt;&gt;UPPER(TRIM(INDEX($B$13:$B$512,R405)&amp;""))),AND(LEN(TRIM(C405&amp;""))&gt;0,UPPER(TRIM(C405&amp;""))&lt;&gt;UPPER(TRIM(INDEX($C$13:$C$512,R405)&amp;""))),AND(LEN(TRIM(E405&amp;""))&gt;0,S405&lt;&gt;INDEX($S$13:$S$512,R405)),AND(F405&lt;&gt;"",NOT(ISNUMBER(F405)))),1,IF(ISNUMBER(F405),IF(ABS(F405-INDEX($F$13:$F$512,R405))&gt;0.00000001,1,0),0)))</f>
        <v>0</v>
      </c>
      <c r="U405" s="0" t="n">
        <f>IF(P405="DIRECTA",IF(AND(ISNUMBER(G405),COUNTA(H405:J405)=0),1,0),IF(P405="DIMENSIONES",IF(AND(COUNT(G405:J405)&gt;0,COUNTA(G405:J405)=COUNT(G405:J405)),1,0),0))</f>
        <v>0</v>
      </c>
      <c r="V405" s="0" t="n">
        <f>IF(O405=0,0,IF(COUNTIFS($O$13:O405,O405)=1,1,0))</f>
        <v>0</v>
      </c>
      <c r="W405" s="0">
        <f>IF(V405=1,COUNTIFS($V$13:V405,1),"")</f>
      </c>
      <c r="X405" s="0">
        <f>IF(COUNTA(B405:L405)=0,"",IF(OR(NOT(IF(ISNUMBER($E$6),AND($E$6&gt;=0,$E$6&lt;=6,$E$6=INT($E$6)),FALSE)),O405=0,R405=0,T405&gt;0,AND(P405&lt;&gt;"DIMENSIONES",P405&lt;&gt;"DIRECTA",P405&lt;&gt;"SIN LÍNEAS",P405&lt;&gt;"CABECERA"),AND(OR(P405="DIRECTA",P405="DIMENSIONES"),U405=0),AND(OR(P405="SIN LÍNEAS",P405="CABECERA"),COUNTA(G405:J405)&gt;0)),2,IF(OR(P405="SIN LÍNEAS",Y405&gt;0,Z405&gt;0,AA405&gt;0,SUMPRODUCT(--('LÉEME'!$B$65:$B$86=AC405))&lt;&gt;1),1,0)))</f>
      </c>
      <c r="Y405" s="0" t="n">
        <f>IF(AND(P405="DIMENSIONES",S405="m²",COUNT(H405:J405)=3),1,0)</f>
        <v>0</v>
      </c>
      <c r="Z405" s="0" t="n">
        <f>IF(IF(ISNUMBER($E$6),AND($E$6&gt;=0,$E$6&lt;=6,$E$6=INT($E$6)),FALSE),IF(SUM(IF(ISNUMBER(F405),IF(ABS(F405-ROUND(F405,$E$6))&gt;0.00000001,1,0),0),IF(ISNUMBER(G405),IF(ABS(G405-ROUND(G405,$E$6))&gt;0.00000001,1,0),0),IF(ISNUMBER(H405),IF(ABS(H405-ROUND(H405,$E$6))&gt;0.00000001,1,0),0),IF(ISNUMBER(I405),IF(ABS(I405-ROUND(I405,$E$6))&gt;0.00000001,1,0),0),IF(ISNUMBER(J405),IF(ABS(J405-ROUND(J405,$E$6))&gt;0.00000001,1,0),0),IF(ISNUMBER(M405),IF(ABS(M405-ROUND(M405,$E$6))&gt;0.00000001,1,0),0))&gt;0,1,0),0)</f>
        <v>0</v>
      </c>
      <c r="AA405" s="0" t="n">
        <f>IF(COUNTA(B405:L405)=0,0,IF(OR(AND(ISNUMBER(F405),F405&lt;0),AND(U405=1,OR(SUM(IF(ISNUMBER(G405),IF(G405=0,1,0),0),IF(ISNUMBER(H405),IF(H405=0,1,0),0),IF(ISNUMBER(I405),IF(I405=0,1,0),0),IF(ISNUMBER(J405),IF(J405=0,1,0),0))&gt;0,COUNTIFS(G405:J405,"&lt;0")&gt;0)),AND(P405="DIMENSIONES",U405=1,OR(AND(S405="m",COUNT(H405:J405)&lt;&gt;1),AND(S405="m²",COUNT(H405:J405)&lt;&gt;2,Y405=0),AND(S405="m³",COUNT(H405:J405)&lt;&gt;3),AND(S405="ud",COUNT(H405:J405)&gt;0))),AND(P405="DIRECTA",OR(S405="m",S405="m²",S405="m³"))),1,0))</f>
        <v>0</v>
      </c>
      <c r="AB405" s="0">
        <f>IF(LEN(TRIM(E405&amp;""))&gt;0,E405,IF(R405&gt;0,INDEX($E$13:$E$512,R405),""))</f>
      </c>
      <c r="AC405" s="0">
        <f>UPPER(SUBSTITUTE(SUBSTITUTE(SUBSTITUTE(SUBSTITUTE(SUBSTITUTE(TRIM(AB405),"²","2"),"³","3"),"^",""),".","")," ",""))</f>
      </c>
    </row>
    <row r="406" ht="35" customHeight="1">
      <c r="B406" s="35"/>
      <c r="C406" s="35"/>
      <c r="D406" s="37"/>
      <c r="E406" s="35"/>
      <c r="F406" s="38"/>
      <c r="G406" s="38"/>
      <c r="H406" s="38"/>
      <c r="I406" s="38"/>
      <c r="J406" s="38"/>
      <c r="K406" s="35"/>
      <c r="L406" s="35"/>
      <c r="M406" s="39">
        <f>IF(U406&lt;&gt;1,"",IF(P406="DIRECTA",G406,IF(ISNUMBER(G406),G406,1)*IF(ISNUMBER(H406),H406,1)*IF(ISNUMBER(I406),I406,1)*IF(ISNUMBER(J406),J406,1)))</f>
      </c>
      <c r="N406" s="30">
        <f>IF(COUNTA(B406:L406)=0,"",IF(X406=0,IF(P406="CABECERA","VERDE · Fila descriptiva; la suma usa las líneas del ID","VERDE · Datos numéricos interpretables"),IF(X406=2,"ROJO · ","ÁMBAR · ")&amp;IF(NOT(IF(ISNUMBER($E$6),AND($E$6&gt;=0,$E$6&lt;=6,$E$6=INT($E$6)),FALSE)),"Indicamos entre 0 y 6 decimales en E6. ","")&amp;IF(O406=0,"Falta un ID numérico. ","")&amp;IF(R406=0,"Faltan capítulo, código, unidad o total numérico del ID. ","")&amp;IF(T406&gt;0,"Los datos o el total del ID se contradicen. ","")&amp;IF(AND(P406&lt;&gt;"DIMENSIONES",P406&lt;&gt;"DIRECTA",P406&lt;&gt;"SIN LÍNEAS",P406&lt;&gt;"CABECERA"),"Tipo de fila no reconocido. ","")&amp;IF(AND(OR(P406="SIN LÍNEAS",P406="CABECERA"),COUNTA(G406:J406)&gt;0),"La fila dice que no mide, pero contiene medidas. ","")&amp;IF(AND(OR(P406="DIRECTA",P406="DIMENSIONES"),U406=0),"Línea incompleta o con medidas no numéricas. ","")&amp;IF(P406="SIN LÍNEAS","No constan medidas de esta fila. ","")&amp;IF(Y406&gt;0,"Parece m³: tres dimensiones bajo m². ","")&amp;IF(AND(AB406&lt;&gt;"",SUMPRODUCT(--('LÉEME'!$B$65:$B$86=AC406))&lt;&gt;1),"Revisamos el significado de la unidad. ","")&amp;IF(Z406&gt;0,"Más precisión que los decimales indicados: cotejamos el original. ","")&amp;IF(AA406&gt;0,"Revisamos dimensiones, cantidad directa, ceros o deducción. ","")))</f>
      </c>
      <c r="O406" s="0" t="n">
        <f>IF(ISNUMBER(K406),IF(AND(K406&gt;0,K406=INT(K406),K406&lt;=999999),K406,0),0)</f>
        <v>0</v>
      </c>
      <c r="P406" s="0">
        <f>IF(COUNTA(B406:L406)=0,"",IF(L406="",IF(COUNTA(G406:J406)&gt;0,"DIMENSIONES","SIN LÍNEAS"),UPPER(TRIM(L406))))</f>
      </c>
      <c r="Q406" s="0">
        <f>IF(AND(O406&gt;0,LEN(TRIM(B406&amp;""))&gt;0,LEN(TRIM(C406&amp;""))&gt;0,LEN(TRIM(E406&amp;""))&gt;0,ISNUMBER(F406)),O406,"")</f>
      </c>
      <c r="R406" s="0" t="n">
        <f>IF(O406=0,0,IF(COUNTIFS($Q$13:$Q$512,O406)&gt;0,MATCH(O406,$Q$13:$Q$512,0),0))</f>
        <v>0</v>
      </c>
      <c r="S406" s="0">
        <f>IF(AB406="","",IF(SUMPRODUCT(--('LÉEME'!$B$65:$B$86=AC406))=1,INDEX('LÉEME'!$C$65:$C$86,MATCH(AC406,'LÉEME'!$B$65:$B$86,0)),UPPER(TRIM(AB406))))</f>
      </c>
      <c r="T406" s="0" t="n">
        <f>IF(R406=0,0,IF(OR(AND(LEN(TRIM(B406&amp;""))&gt;0,UPPER(TRIM(B406&amp;""))&lt;&gt;UPPER(TRIM(INDEX($B$13:$B$512,R406)&amp;""))),AND(LEN(TRIM(C406&amp;""))&gt;0,UPPER(TRIM(C406&amp;""))&lt;&gt;UPPER(TRIM(INDEX($C$13:$C$512,R406)&amp;""))),AND(LEN(TRIM(E406&amp;""))&gt;0,S406&lt;&gt;INDEX($S$13:$S$512,R406)),AND(F406&lt;&gt;"",NOT(ISNUMBER(F406)))),1,IF(ISNUMBER(F406),IF(ABS(F406-INDEX($F$13:$F$512,R406))&gt;0.00000001,1,0),0)))</f>
        <v>0</v>
      </c>
      <c r="U406" s="0" t="n">
        <f>IF(P406="DIRECTA",IF(AND(ISNUMBER(G406),COUNTA(H406:J406)=0),1,0),IF(P406="DIMENSIONES",IF(AND(COUNT(G406:J406)&gt;0,COUNTA(G406:J406)=COUNT(G406:J406)),1,0),0))</f>
        <v>0</v>
      </c>
      <c r="V406" s="0" t="n">
        <f>IF(O406=0,0,IF(COUNTIFS($O$13:O406,O406)=1,1,0))</f>
        <v>0</v>
      </c>
      <c r="W406" s="0">
        <f>IF(V406=1,COUNTIFS($V$13:V406,1),"")</f>
      </c>
      <c r="X406" s="0">
        <f>IF(COUNTA(B406:L406)=0,"",IF(OR(NOT(IF(ISNUMBER($E$6),AND($E$6&gt;=0,$E$6&lt;=6,$E$6=INT($E$6)),FALSE)),O406=0,R406=0,T406&gt;0,AND(P406&lt;&gt;"DIMENSIONES",P406&lt;&gt;"DIRECTA",P406&lt;&gt;"SIN LÍNEAS",P406&lt;&gt;"CABECERA"),AND(OR(P406="DIRECTA",P406="DIMENSIONES"),U406=0),AND(OR(P406="SIN LÍNEAS",P406="CABECERA"),COUNTA(G406:J406)&gt;0)),2,IF(OR(P406="SIN LÍNEAS",Y406&gt;0,Z406&gt;0,AA406&gt;0,SUMPRODUCT(--('LÉEME'!$B$65:$B$86=AC406))&lt;&gt;1),1,0)))</f>
      </c>
      <c r="Y406" s="0" t="n">
        <f>IF(AND(P406="DIMENSIONES",S406="m²",COUNT(H406:J406)=3),1,0)</f>
        <v>0</v>
      </c>
      <c r="Z406" s="0" t="n">
        <f>IF(IF(ISNUMBER($E$6),AND($E$6&gt;=0,$E$6&lt;=6,$E$6=INT($E$6)),FALSE),IF(SUM(IF(ISNUMBER(F406),IF(ABS(F406-ROUND(F406,$E$6))&gt;0.00000001,1,0),0),IF(ISNUMBER(G406),IF(ABS(G406-ROUND(G406,$E$6))&gt;0.00000001,1,0),0),IF(ISNUMBER(H406),IF(ABS(H406-ROUND(H406,$E$6))&gt;0.00000001,1,0),0),IF(ISNUMBER(I406),IF(ABS(I406-ROUND(I406,$E$6))&gt;0.00000001,1,0),0),IF(ISNUMBER(J406),IF(ABS(J406-ROUND(J406,$E$6))&gt;0.00000001,1,0),0),IF(ISNUMBER(M406),IF(ABS(M406-ROUND(M406,$E$6))&gt;0.00000001,1,0),0))&gt;0,1,0),0)</f>
        <v>0</v>
      </c>
      <c r="AA406" s="0" t="n">
        <f>IF(COUNTA(B406:L406)=0,0,IF(OR(AND(ISNUMBER(F406),F406&lt;0),AND(U406=1,OR(SUM(IF(ISNUMBER(G406),IF(G406=0,1,0),0),IF(ISNUMBER(H406),IF(H406=0,1,0),0),IF(ISNUMBER(I406),IF(I406=0,1,0),0),IF(ISNUMBER(J406),IF(J406=0,1,0),0))&gt;0,COUNTIFS(G406:J406,"&lt;0")&gt;0)),AND(P406="DIMENSIONES",U406=1,OR(AND(S406="m",COUNT(H406:J406)&lt;&gt;1),AND(S406="m²",COUNT(H406:J406)&lt;&gt;2,Y406=0),AND(S406="m³",COUNT(H406:J406)&lt;&gt;3),AND(S406="ud",COUNT(H406:J406)&gt;0))),AND(P406="DIRECTA",OR(S406="m",S406="m²",S406="m³"))),1,0))</f>
        <v>0</v>
      </c>
      <c r="AB406" s="0">
        <f>IF(LEN(TRIM(E406&amp;""))&gt;0,E406,IF(R406&gt;0,INDEX($E$13:$E$512,R406),""))</f>
      </c>
      <c r="AC406" s="0">
        <f>UPPER(SUBSTITUTE(SUBSTITUTE(SUBSTITUTE(SUBSTITUTE(SUBSTITUTE(TRIM(AB406),"²","2"),"³","3"),"^",""),".","")," ",""))</f>
      </c>
    </row>
    <row r="407" ht="35" customHeight="1">
      <c r="B407" s="35"/>
      <c r="C407" s="35"/>
      <c r="D407" s="37"/>
      <c r="E407" s="35"/>
      <c r="F407" s="38"/>
      <c r="G407" s="38"/>
      <c r="H407" s="38"/>
      <c r="I407" s="38"/>
      <c r="J407" s="38"/>
      <c r="K407" s="35"/>
      <c r="L407" s="35"/>
      <c r="M407" s="39">
        <f>IF(U407&lt;&gt;1,"",IF(P407="DIRECTA",G407,IF(ISNUMBER(G407),G407,1)*IF(ISNUMBER(H407),H407,1)*IF(ISNUMBER(I407),I407,1)*IF(ISNUMBER(J407),J407,1)))</f>
      </c>
      <c r="N407" s="30">
        <f>IF(COUNTA(B407:L407)=0,"",IF(X407=0,IF(P407="CABECERA","VERDE · Fila descriptiva; la suma usa las líneas del ID","VERDE · Datos numéricos interpretables"),IF(X407=2,"ROJO · ","ÁMBAR · ")&amp;IF(NOT(IF(ISNUMBER($E$6),AND($E$6&gt;=0,$E$6&lt;=6,$E$6=INT($E$6)),FALSE)),"Indicamos entre 0 y 6 decimales en E6. ","")&amp;IF(O407=0,"Falta un ID numérico. ","")&amp;IF(R407=0,"Faltan capítulo, código, unidad o total numérico del ID. ","")&amp;IF(T407&gt;0,"Los datos o el total del ID se contradicen. ","")&amp;IF(AND(P407&lt;&gt;"DIMENSIONES",P407&lt;&gt;"DIRECTA",P407&lt;&gt;"SIN LÍNEAS",P407&lt;&gt;"CABECERA"),"Tipo de fila no reconocido. ","")&amp;IF(AND(OR(P407="SIN LÍNEAS",P407="CABECERA"),COUNTA(G407:J407)&gt;0),"La fila dice que no mide, pero contiene medidas. ","")&amp;IF(AND(OR(P407="DIRECTA",P407="DIMENSIONES"),U407=0),"Línea incompleta o con medidas no numéricas. ","")&amp;IF(P407="SIN LÍNEAS","No constan medidas de esta fila. ","")&amp;IF(Y407&gt;0,"Parece m³: tres dimensiones bajo m². ","")&amp;IF(AND(AB407&lt;&gt;"",SUMPRODUCT(--('LÉEME'!$B$65:$B$86=AC407))&lt;&gt;1),"Revisamos el significado de la unidad. ","")&amp;IF(Z407&gt;0,"Más precisión que los decimales indicados: cotejamos el original. ","")&amp;IF(AA407&gt;0,"Revisamos dimensiones, cantidad directa, ceros o deducción. ","")))</f>
      </c>
      <c r="O407" s="0" t="n">
        <f>IF(ISNUMBER(K407),IF(AND(K407&gt;0,K407=INT(K407),K407&lt;=999999),K407,0),0)</f>
        <v>0</v>
      </c>
      <c r="P407" s="0">
        <f>IF(COUNTA(B407:L407)=0,"",IF(L407="",IF(COUNTA(G407:J407)&gt;0,"DIMENSIONES","SIN LÍNEAS"),UPPER(TRIM(L407))))</f>
      </c>
      <c r="Q407" s="0">
        <f>IF(AND(O407&gt;0,LEN(TRIM(B407&amp;""))&gt;0,LEN(TRIM(C407&amp;""))&gt;0,LEN(TRIM(E407&amp;""))&gt;0,ISNUMBER(F407)),O407,"")</f>
      </c>
      <c r="R407" s="0" t="n">
        <f>IF(O407=0,0,IF(COUNTIFS($Q$13:$Q$512,O407)&gt;0,MATCH(O407,$Q$13:$Q$512,0),0))</f>
        <v>0</v>
      </c>
      <c r="S407" s="0">
        <f>IF(AB407="","",IF(SUMPRODUCT(--('LÉEME'!$B$65:$B$86=AC407))=1,INDEX('LÉEME'!$C$65:$C$86,MATCH(AC407,'LÉEME'!$B$65:$B$86,0)),UPPER(TRIM(AB407))))</f>
      </c>
      <c r="T407" s="0" t="n">
        <f>IF(R407=0,0,IF(OR(AND(LEN(TRIM(B407&amp;""))&gt;0,UPPER(TRIM(B407&amp;""))&lt;&gt;UPPER(TRIM(INDEX($B$13:$B$512,R407)&amp;""))),AND(LEN(TRIM(C407&amp;""))&gt;0,UPPER(TRIM(C407&amp;""))&lt;&gt;UPPER(TRIM(INDEX($C$13:$C$512,R407)&amp;""))),AND(LEN(TRIM(E407&amp;""))&gt;0,S407&lt;&gt;INDEX($S$13:$S$512,R407)),AND(F407&lt;&gt;"",NOT(ISNUMBER(F407)))),1,IF(ISNUMBER(F407),IF(ABS(F407-INDEX($F$13:$F$512,R407))&gt;0.00000001,1,0),0)))</f>
        <v>0</v>
      </c>
      <c r="U407" s="0" t="n">
        <f>IF(P407="DIRECTA",IF(AND(ISNUMBER(G407),COUNTA(H407:J407)=0),1,0),IF(P407="DIMENSIONES",IF(AND(COUNT(G407:J407)&gt;0,COUNTA(G407:J407)=COUNT(G407:J407)),1,0),0))</f>
        <v>0</v>
      </c>
      <c r="V407" s="0" t="n">
        <f>IF(O407=0,0,IF(COUNTIFS($O$13:O407,O407)=1,1,0))</f>
        <v>0</v>
      </c>
      <c r="W407" s="0">
        <f>IF(V407=1,COUNTIFS($V$13:V407,1),"")</f>
      </c>
      <c r="X407" s="0">
        <f>IF(COUNTA(B407:L407)=0,"",IF(OR(NOT(IF(ISNUMBER($E$6),AND($E$6&gt;=0,$E$6&lt;=6,$E$6=INT($E$6)),FALSE)),O407=0,R407=0,T407&gt;0,AND(P407&lt;&gt;"DIMENSIONES",P407&lt;&gt;"DIRECTA",P407&lt;&gt;"SIN LÍNEAS",P407&lt;&gt;"CABECERA"),AND(OR(P407="DIRECTA",P407="DIMENSIONES"),U407=0),AND(OR(P407="SIN LÍNEAS",P407="CABECERA"),COUNTA(G407:J407)&gt;0)),2,IF(OR(P407="SIN LÍNEAS",Y407&gt;0,Z407&gt;0,AA407&gt;0,SUMPRODUCT(--('LÉEME'!$B$65:$B$86=AC407))&lt;&gt;1),1,0)))</f>
      </c>
      <c r="Y407" s="0" t="n">
        <f>IF(AND(P407="DIMENSIONES",S407="m²",COUNT(H407:J407)=3),1,0)</f>
        <v>0</v>
      </c>
      <c r="Z407" s="0" t="n">
        <f>IF(IF(ISNUMBER($E$6),AND($E$6&gt;=0,$E$6&lt;=6,$E$6=INT($E$6)),FALSE),IF(SUM(IF(ISNUMBER(F407),IF(ABS(F407-ROUND(F407,$E$6))&gt;0.00000001,1,0),0),IF(ISNUMBER(G407),IF(ABS(G407-ROUND(G407,$E$6))&gt;0.00000001,1,0),0),IF(ISNUMBER(H407),IF(ABS(H407-ROUND(H407,$E$6))&gt;0.00000001,1,0),0),IF(ISNUMBER(I407),IF(ABS(I407-ROUND(I407,$E$6))&gt;0.00000001,1,0),0),IF(ISNUMBER(J407),IF(ABS(J407-ROUND(J407,$E$6))&gt;0.00000001,1,0),0),IF(ISNUMBER(M407),IF(ABS(M407-ROUND(M407,$E$6))&gt;0.00000001,1,0),0))&gt;0,1,0),0)</f>
        <v>0</v>
      </c>
      <c r="AA407" s="0" t="n">
        <f>IF(COUNTA(B407:L407)=0,0,IF(OR(AND(ISNUMBER(F407),F407&lt;0),AND(U407=1,OR(SUM(IF(ISNUMBER(G407),IF(G407=0,1,0),0),IF(ISNUMBER(H407),IF(H407=0,1,0),0),IF(ISNUMBER(I407),IF(I407=0,1,0),0),IF(ISNUMBER(J407),IF(J407=0,1,0),0))&gt;0,COUNTIFS(G407:J407,"&lt;0")&gt;0)),AND(P407="DIMENSIONES",U407=1,OR(AND(S407="m",COUNT(H407:J407)&lt;&gt;1),AND(S407="m²",COUNT(H407:J407)&lt;&gt;2,Y407=0),AND(S407="m³",COUNT(H407:J407)&lt;&gt;3),AND(S407="ud",COUNT(H407:J407)&gt;0))),AND(P407="DIRECTA",OR(S407="m",S407="m²",S407="m³"))),1,0))</f>
        <v>0</v>
      </c>
      <c r="AB407" s="0">
        <f>IF(LEN(TRIM(E407&amp;""))&gt;0,E407,IF(R407&gt;0,INDEX($E$13:$E$512,R407),""))</f>
      </c>
      <c r="AC407" s="0">
        <f>UPPER(SUBSTITUTE(SUBSTITUTE(SUBSTITUTE(SUBSTITUTE(SUBSTITUTE(TRIM(AB407),"²","2"),"³","3"),"^",""),".","")," ",""))</f>
      </c>
    </row>
    <row r="408" ht="35" customHeight="1">
      <c r="B408" s="35"/>
      <c r="C408" s="35"/>
      <c r="D408" s="37"/>
      <c r="E408" s="35"/>
      <c r="F408" s="38"/>
      <c r="G408" s="38"/>
      <c r="H408" s="38"/>
      <c r="I408" s="38"/>
      <c r="J408" s="38"/>
      <c r="K408" s="35"/>
      <c r="L408" s="35"/>
      <c r="M408" s="39">
        <f>IF(U408&lt;&gt;1,"",IF(P408="DIRECTA",G408,IF(ISNUMBER(G408),G408,1)*IF(ISNUMBER(H408),H408,1)*IF(ISNUMBER(I408),I408,1)*IF(ISNUMBER(J408),J408,1)))</f>
      </c>
      <c r="N408" s="30">
        <f>IF(COUNTA(B408:L408)=0,"",IF(X408=0,IF(P408="CABECERA","VERDE · Fila descriptiva; la suma usa las líneas del ID","VERDE · Datos numéricos interpretables"),IF(X408=2,"ROJO · ","ÁMBAR · ")&amp;IF(NOT(IF(ISNUMBER($E$6),AND($E$6&gt;=0,$E$6&lt;=6,$E$6=INT($E$6)),FALSE)),"Indicamos entre 0 y 6 decimales en E6. ","")&amp;IF(O408=0,"Falta un ID numérico. ","")&amp;IF(R408=0,"Faltan capítulo, código, unidad o total numérico del ID. ","")&amp;IF(T408&gt;0,"Los datos o el total del ID se contradicen. ","")&amp;IF(AND(P408&lt;&gt;"DIMENSIONES",P408&lt;&gt;"DIRECTA",P408&lt;&gt;"SIN LÍNEAS",P408&lt;&gt;"CABECERA"),"Tipo de fila no reconocido. ","")&amp;IF(AND(OR(P408="SIN LÍNEAS",P408="CABECERA"),COUNTA(G408:J408)&gt;0),"La fila dice que no mide, pero contiene medidas. ","")&amp;IF(AND(OR(P408="DIRECTA",P408="DIMENSIONES"),U408=0),"Línea incompleta o con medidas no numéricas. ","")&amp;IF(P408="SIN LÍNEAS","No constan medidas de esta fila. ","")&amp;IF(Y408&gt;0,"Parece m³: tres dimensiones bajo m². ","")&amp;IF(AND(AB408&lt;&gt;"",SUMPRODUCT(--('LÉEME'!$B$65:$B$86=AC408))&lt;&gt;1),"Revisamos el significado de la unidad. ","")&amp;IF(Z408&gt;0,"Más precisión que los decimales indicados: cotejamos el original. ","")&amp;IF(AA408&gt;0,"Revisamos dimensiones, cantidad directa, ceros o deducción. ","")))</f>
      </c>
      <c r="O408" s="0" t="n">
        <f>IF(ISNUMBER(K408),IF(AND(K408&gt;0,K408=INT(K408),K408&lt;=999999),K408,0),0)</f>
        <v>0</v>
      </c>
      <c r="P408" s="0">
        <f>IF(COUNTA(B408:L408)=0,"",IF(L408="",IF(COUNTA(G408:J408)&gt;0,"DIMENSIONES","SIN LÍNEAS"),UPPER(TRIM(L408))))</f>
      </c>
      <c r="Q408" s="0">
        <f>IF(AND(O408&gt;0,LEN(TRIM(B408&amp;""))&gt;0,LEN(TRIM(C408&amp;""))&gt;0,LEN(TRIM(E408&amp;""))&gt;0,ISNUMBER(F408)),O408,"")</f>
      </c>
      <c r="R408" s="0" t="n">
        <f>IF(O408=0,0,IF(COUNTIFS($Q$13:$Q$512,O408)&gt;0,MATCH(O408,$Q$13:$Q$512,0),0))</f>
        <v>0</v>
      </c>
      <c r="S408" s="0">
        <f>IF(AB408="","",IF(SUMPRODUCT(--('LÉEME'!$B$65:$B$86=AC408))=1,INDEX('LÉEME'!$C$65:$C$86,MATCH(AC408,'LÉEME'!$B$65:$B$86,0)),UPPER(TRIM(AB408))))</f>
      </c>
      <c r="T408" s="0" t="n">
        <f>IF(R408=0,0,IF(OR(AND(LEN(TRIM(B408&amp;""))&gt;0,UPPER(TRIM(B408&amp;""))&lt;&gt;UPPER(TRIM(INDEX($B$13:$B$512,R408)&amp;""))),AND(LEN(TRIM(C408&amp;""))&gt;0,UPPER(TRIM(C408&amp;""))&lt;&gt;UPPER(TRIM(INDEX($C$13:$C$512,R408)&amp;""))),AND(LEN(TRIM(E408&amp;""))&gt;0,S408&lt;&gt;INDEX($S$13:$S$512,R408)),AND(F408&lt;&gt;"",NOT(ISNUMBER(F408)))),1,IF(ISNUMBER(F408),IF(ABS(F408-INDEX($F$13:$F$512,R408))&gt;0.00000001,1,0),0)))</f>
        <v>0</v>
      </c>
      <c r="U408" s="0" t="n">
        <f>IF(P408="DIRECTA",IF(AND(ISNUMBER(G408),COUNTA(H408:J408)=0),1,0),IF(P408="DIMENSIONES",IF(AND(COUNT(G408:J408)&gt;0,COUNTA(G408:J408)=COUNT(G408:J408)),1,0),0))</f>
        <v>0</v>
      </c>
      <c r="V408" s="0" t="n">
        <f>IF(O408=0,0,IF(COUNTIFS($O$13:O408,O408)=1,1,0))</f>
        <v>0</v>
      </c>
      <c r="W408" s="0">
        <f>IF(V408=1,COUNTIFS($V$13:V408,1),"")</f>
      </c>
      <c r="X408" s="0">
        <f>IF(COUNTA(B408:L408)=0,"",IF(OR(NOT(IF(ISNUMBER($E$6),AND($E$6&gt;=0,$E$6&lt;=6,$E$6=INT($E$6)),FALSE)),O408=0,R408=0,T408&gt;0,AND(P408&lt;&gt;"DIMENSIONES",P408&lt;&gt;"DIRECTA",P408&lt;&gt;"SIN LÍNEAS",P408&lt;&gt;"CABECERA"),AND(OR(P408="DIRECTA",P408="DIMENSIONES"),U408=0),AND(OR(P408="SIN LÍNEAS",P408="CABECERA"),COUNTA(G408:J408)&gt;0)),2,IF(OR(P408="SIN LÍNEAS",Y408&gt;0,Z408&gt;0,AA408&gt;0,SUMPRODUCT(--('LÉEME'!$B$65:$B$86=AC408))&lt;&gt;1),1,0)))</f>
      </c>
      <c r="Y408" s="0" t="n">
        <f>IF(AND(P408="DIMENSIONES",S408="m²",COUNT(H408:J408)=3),1,0)</f>
        <v>0</v>
      </c>
      <c r="Z408" s="0" t="n">
        <f>IF(IF(ISNUMBER($E$6),AND($E$6&gt;=0,$E$6&lt;=6,$E$6=INT($E$6)),FALSE),IF(SUM(IF(ISNUMBER(F408),IF(ABS(F408-ROUND(F408,$E$6))&gt;0.00000001,1,0),0),IF(ISNUMBER(G408),IF(ABS(G408-ROUND(G408,$E$6))&gt;0.00000001,1,0),0),IF(ISNUMBER(H408),IF(ABS(H408-ROUND(H408,$E$6))&gt;0.00000001,1,0),0),IF(ISNUMBER(I408),IF(ABS(I408-ROUND(I408,$E$6))&gt;0.00000001,1,0),0),IF(ISNUMBER(J408),IF(ABS(J408-ROUND(J408,$E$6))&gt;0.00000001,1,0),0),IF(ISNUMBER(M408),IF(ABS(M408-ROUND(M408,$E$6))&gt;0.00000001,1,0),0))&gt;0,1,0),0)</f>
        <v>0</v>
      </c>
      <c r="AA408" s="0" t="n">
        <f>IF(COUNTA(B408:L408)=0,0,IF(OR(AND(ISNUMBER(F408),F408&lt;0),AND(U408=1,OR(SUM(IF(ISNUMBER(G408),IF(G408=0,1,0),0),IF(ISNUMBER(H408),IF(H408=0,1,0),0),IF(ISNUMBER(I408),IF(I408=0,1,0),0),IF(ISNUMBER(J408),IF(J408=0,1,0),0))&gt;0,COUNTIFS(G408:J408,"&lt;0")&gt;0)),AND(P408="DIMENSIONES",U408=1,OR(AND(S408="m",COUNT(H408:J408)&lt;&gt;1),AND(S408="m²",COUNT(H408:J408)&lt;&gt;2,Y408=0),AND(S408="m³",COUNT(H408:J408)&lt;&gt;3),AND(S408="ud",COUNT(H408:J408)&gt;0))),AND(P408="DIRECTA",OR(S408="m",S408="m²",S408="m³"))),1,0))</f>
        <v>0</v>
      </c>
      <c r="AB408" s="0">
        <f>IF(LEN(TRIM(E408&amp;""))&gt;0,E408,IF(R408&gt;0,INDEX($E$13:$E$512,R408),""))</f>
      </c>
      <c r="AC408" s="0">
        <f>UPPER(SUBSTITUTE(SUBSTITUTE(SUBSTITUTE(SUBSTITUTE(SUBSTITUTE(TRIM(AB408),"²","2"),"³","3"),"^",""),".","")," ",""))</f>
      </c>
    </row>
    <row r="409" ht="35" customHeight="1">
      <c r="B409" s="35"/>
      <c r="C409" s="35"/>
      <c r="D409" s="37"/>
      <c r="E409" s="35"/>
      <c r="F409" s="38"/>
      <c r="G409" s="38"/>
      <c r="H409" s="38"/>
      <c r="I409" s="38"/>
      <c r="J409" s="38"/>
      <c r="K409" s="35"/>
      <c r="L409" s="35"/>
      <c r="M409" s="39">
        <f>IF(U409&lt;&gt;1,"",IF(P409="DIRECTA",G409,IF(ISNUMBER(G409),G409,1)*IF(ISNUMBER(H409),H409,1)*IF(ISNUMBER(I409),I409,1)*IF(ISNUMBER(J409),J409,1)))</f>
      </c>
      <c r="N409" s="30">
        <f>IF(COUNTA(B409:L409)=0,"",IF(X409=0,IF(P409="CABECERA","VERDE · Fila descriptiva; la suma usa las líneas del ID","VERDE · Datos numéricos interpretables"),IF(X409=2,"ROJO · ","ÁMBAR · ")&amp;IF(NOT(IF(ISNUMBER($E$6),AND($E$6&gt;=0,$E$6&lt;=6,$E$6=INT($E$6)),FALSE)),"Indicamos entre 0 y 6 decimales en E6. ","")&amp;IF(O409=0,"Falta un ID numérico. ","")&amp;IF(R409=0,"Faltan capítulo, código, unidad o total numérico del ID. ","")&amp;IF(T409&gt;0,"Los datos o el total del ID se contradicen. ","")&amp;IF(AND(P409&lt;&gt;"DIMENSIONES",P409&lt;&gt;"DIRECTA",P409&lt;&gt;"SIN LÍNEAS",P409&lt;&gt;"CABECERA"),"Tipo de fila no reconocido. ","")&amp;IF(AND(OR(P409="SIN LÍNEAS",P409="CABECERA"),COUNTA(G409:J409)&gt;0),"La fila dice que no mide, pero contiene medidas. ","")&amp;IF(AND(OR(P409="DIRECTA",P409="DIMENSIONES"),U409=0),"Línea incompleta o con medidas no numéricas. ","")&amp;IF(P409="SIN LÍNEAS","No constan medidas de esta fila. ","")&amp;IF(Y409&gt;0,"Parece m³: tres dimensiones bajo m². ","")&amp;IF(AND(AB409&lt;&gt;"",SUMPRODUCT(--('LÉEME'!$B$65:$B$86=AC409))&lt;&gt;1),"Revisamos el significado de la unidad. ","")&amp;IF(Z409&gt;0,"Más precisión que los decimales indicados: cotejamos el original. ","")&amp;IF(AA409&gt;0,"Revisamos dimensiones, cantidad directa, ceros o deducción. ","")))</f>
      </c>
      <c r="O409" s="0" t="n">
        <f>IF(ISNUMBER(K409),IF(AND(K409&gt;0,K409=INT(K409),K409&lt;=999999),K409,0),0)</f>
        <v>0</v>
      </c>
      <c r="P409" s="0">
        <f>IF(COUNTA(B409:L409)=0,"",IF(L409="",IF(COUNTA(G409:J409)&gt;0,"DIMENSIONES","SIN LÍNEAS"),UPPER(TRIM(L409))))</f>
      </c>
      <c r="Q409" s="0">
        <f>IF(AND(O409&gt;0,LEN(TRIM(B409&amp;""))&gt;0,LEN(TRIM(C409&amp;""))&gt;0,LEN(TRIM(E409&amp;""))&gt;0,ISNUMBER(F409)),O409,"")</f>
      </c>
      <c r="R409" s="0" t="n">
        <f>IF(O409=0,0,IF(COUNTIFS($Q$13:$Q$512,O409)&gt;0,MATCH(O409,$Q$13:$Q$512,0),0))</f>
        <v>0</v>
      </c>
      <c r="S409" s="0">
        <f>IF(AB409="","",IF(SUMPRODUCT(--('LÉEME'!$B$65:$B$86=AC409))=1,INDEX('LÉEME'!$C$65:$C$86,MATCH(AC409,'LÉEME'!$B$65:$B$86,0)),UPPER(TRIM(AB409))))</f>
      </c>
      <c r="T409" s="0" t="n">
        <f>IF(R409=0,0,IF(OR(AND(LEN(TRIM(B409&amp;""))&gt;0,UPPER(TRIM(B409&amp;""))&lt;&gt;UPPER(TRIM(INDEX($B$13:$B$512,R409)&amp;""))),AND(LEN(TRIM(C409&amp;""))&gt;0,UPPER(TRIM(C409&amp;""))&lt;&gt;UPPER(TRIM(INDEX($C$13:$C$512,R409)&amp;""))),AND(LEN(TRIM(E409&amp;""))&gt;0,S409&lt;&gt;INDEX($S$13:$S$512,R409)),AND(F409&lt;&gt;"",NOT(ISNUMBER(F409)))),1,IF(ISNUMBER(F409),IF(ABS(F409-INDEX($F$13:$F$512,R409))&gt;0.00000001,1,0),0)))</f>
        <v>0</v>
      </c>
      <c r="U409" s="0" t="n">
        <f>IF(P409="DIRECTA",IF(AND(ISNUMBER(G409),COUNTA(H409:J409)=0),1,0),IF(P409="DIMENSIONES",IF(AND(COUNT(G409:J409)&gt;0,COUNTA(G409:J409)=COUNT(G409:J409)),1,0),0))</f>
        <v>0</v>
      </c>
      <c r="V409" s="0" t="n">
        <f>IF(O409=0,0,IF(COUNTIFS($O$13:O409,O409)=1,1,0))</f>
        <v>0</v>
      </c>
      <c r="W409" s="0">
        <f>IF(V409=1,COUNTIFS($V$13:V409,1),"")</f>
      </c>
      <c r="X409" s="0">
        <f>IF(COUNTA(B409:L409)=0,"",IF(OR(NOT(IF(ISNUMBER($E$6),AND($E$6&gt;=0,$E$6&lt;=6,$E$6=INT($E$6)),FALSE)),O409=0,R409=0,T409&gt;0,AND(P409&lt;&gt;"DIMENSIONES",P409&lt;&gt;"DIRECTA",P409&lt;&gt;"SIN LÍNEAS",P409&lt;&gt;"CABECERA"),AND(OR(P409="DIRECTA",P409="DIMENSIONES"),U409=0),AND(OR(P409="SIN LÍNEAS",P409="CABECERA"),COUNTA(G409:J409)&gt;0)),2,IF(OR(P409="SIN LÍNEAS",Y409&gt;0,Z409&gt;0,AA409&gt;0,SUMPRODUCT(--('LÉEME'!$B$65:$B$86=AC409))&lt;&gt;1),1,0)))</f>
      </c>
      <c r="Y409" s="0" t="n">
        <f>IF(AND(P409="DIMENSIONES",S409="m²",COUNT(H409:J409)=3),1,0)</f>
        <v>0</v>
      </c>
      <c r="Z409" s="0" t="n">
        <f>IF(IF(ISNUMBER($E$6),AND($E$6&gt;=0,$E$6&lt;=6,$E$6=INT($E$6)),FALSE),IF(SUM(IF(ISNUMBER(F409),IF(ABS(F409-ROUND(F409,$E$6))&gt;0.00000001,1,0),0),IF(ISNUMBER(G409),IF(ABS(G409-ROUND(G409,$E$6))&gt;0.00000001,1,0),0),IF(ISNUMBER(H409),IF(ABS(H409-ROUND(H409,$E$6))&gt;0.00000001,1,0),0),IF(ISNUMBER(I409),IF(ABS(I409-ROUND(I409,$E$6))&gt;0.00000001,1,0),0),IF(ISNUMBER(J409),IF(ABS(J409-ROUND(J409,$E$6))&gt;0.00000001,1,0),0),IF(ISNUMBER(M409),IF(ABS(M409-ROUND(M409,$E$6))&gt;0.00000001,1,0),0))&gt;0,1,0),0)</f>
        <v>0</v>
      </c>
      <c r="AA409" s="0" t="n">
        <f>IF(COUNTA(B409:L409)=0,0,IF(OR(AND(ISNUMBER(F409),F409&lt;0),AND(U409=1,OR(SUM(IF(ISNUMBER(G409),IF(G409=0,1,0),0),IF(ISNUMBER(H409),IF(H409=0,1,0),0),IF(ISNUMBER(I409),IF(I409=0,1,0),0),IF(ISNUMBER(J409),IF(J409=0,1,0),0))&gt;0,COUNTIFS(G409:J409,"&lt;0")&gt;0)),AND(P409="DIMENSIONES",U409=1,OR(AND(S409="m",COUNT(H409:J409)&lt;&gt;1),AND(S409="m²",COUNT(H409:J409)&lt;&gt;2,Y409=0),AND(S409="m³",COUNT(H409:J409)&lt;&gt;3),AND(S409="ud",COUNT(H409:J409)&gt;0))),AND(P409="DIRECTA",OR(S409="m",S409="m²",S409="m³"))),1,0))</f>
        <v>0</v>
      </c>
      <c r="AB409" s="0">
        <f>IF(LEN(TRIM(E409&amp;""))&gt;0,E409,IF(R409&gt;0,INDEX($E$13:$E$512,R409),""))</f>
      </c>
      <c r="AC409" s="0">
        <f>UPPER(SUBSTITUTE(SUBSTITUTE(SUBSTITUTE(SUBSTITUTE(SUBSTITUTE(TRIM(AB409),"²","2"),"³","3"),"^",""),".","")," ",""))</f>
      </c>
    </row>
    <row r="410" ht="35" customHeight="1">
      <c r="B410" s="35"/>
      <c r="C410" s="35"/>
      <c r="D410" s="37"/>
      <c r="E410" s="35"/>
      <c r="F410" s="38"/>
      <c r="G410" s="38"/>
      <c r="H410" s="38"/>
      <c r="I410" s="38"/>
      <c r="J410" s="38"/>
      <c r="K410" s="35"/>
      <c r="L410" s="35"/>
      <c r="M410" s="39">
        <f>IF(U410&lt;&gt;1,"",IF(P410="DIRECTA",G410,IF(ISNUMBER(G410),G410,1)*IF(ISNUMBER(H410),H410,1)*IF(ISNUMBER(I410),I410,1)*IF(ISNUMBER(J410),J410,1)))</f>
      </c>
      <c r="N410" s="30">
        <f>IF(COUNTA(B410:L410)=0,"",IF(X410=0,IF(P410="CABECERA","VERDE · Fila descriptiva; la suma usa las líneas del ID","VERDE · Datos numéricos interpretables"),IF(X410=2,"ROJO · ","ÁMBAR · ")&amp;IF(NOT(IF(ISNUMBER($E$6),AND($E$6&gt;=0,$E$6&lt;=6,$E$6=INT($E$6)),FALSE)),"Indicamos entre 0 y 6 decimales en E6. ","")&amp;IF(O410=0,"Falta un ID numérico. ","")&amp;IF(R410=0,"Faltan capítulo, código, unidad o total numérico del ID. ","")&amp;IF(T410&gt;0,"Los datos o el total del ID se contradicen. ","")&amp;IF(AND(P410&lt;&gt;"DIMENSIONES",P410&lt;&gt;"DIRECTA",P410&lt;&gt;"SIN LÍNEAS",P410&lt;&gt;"CABECERA"),"Tipo de fila no reconocido. ","")&amp;IF(AND(OR(P410="SIN LÍNEAS",P410="CABECERA"),COUNTA(G410:J410)&gt;0),"La fila dice que no mide, pero contiene medidas. ","")&amp;IF(AND(OR(P410="DIRECTA",P410="DIMENSIONES"),U410=0),"Línea incompleta o con medidas no numéricas. ","")&amp;IF(P410="SIN LÍNEAS","No constan medidas de esta fila. ","")&amp;IF(Y410&gt;0,"Parece m³: tres dimensiones bajo m². ","")&amp;IF(AND(AB410&lt;&gt;"",SUMPRODUCT(--('LÉEME'!$B$65:$B$86=AC410))&lt;&gt;1),"Revisamos el significado de la unidad. ","")&amp;IF(Z410&gt;0,"Más precisión que los decimales indicados: cotejamos el original. ","")&amp;IF(AA410&gt;0,"Revisamos dimensiones, cantidad directa, ceros o deducción. ","")))</f>
      </c>
      <c r="O410" s="0" t="n">
        <f>IF(ISNUMBER(K410),IF(AND(K410&gt;0,K410=INT(K410),K410&lt;=999999),K410,0),0)</f>
        <v>0</v>
      </c>
      <c r="P410" s="0">
        <f>IF(COUNTA(B410:L410)=0,"",IF(L410="",IF(COUNTA(G410:J410)&gt;0,"DIMENSIONES","SIN LÍNEAS"),UPPER(TRIM(L410))))</f>
      </c>
      <c r="Q410" s="0">
        <f>IF(AND(O410&gt;0,LEN(TRIM(B410&amp;""))&gt;0,LEN(TRIM(C410&amp;""))&gt;0,LEN(TRIM(E410&amp;""))&gt;0,ISNUMBER(F410)),O410,"")</f>
      </c>
      <c r="R410" s="0" t="n">
        <f>IF(O410=0,0,IF(COUNTIFS($Q$13:$Q$512,O410)&gt;0,MATCH(O410,$Q$13:$Q$512,0),0))</f>
        <v>0</v>
      </c>
      <c r="S410" s="0">
        <f>IF(AB410="","",IF(SUMPRODUCT(--('LÉEME'!$B$65:$B$86=AC410))=1,INDEX('LÉEME'!$C$65:$C$86,MATCH(AC410,'LÉEME'!$B$65:$B$86,0)),UPPER(TRIM(AB410))))</f>
      </c>
      <c r="T410" s="0" t="n">
        <f>IF(R410=0,0,IF(OR(AND(LEN(TRIM(B410&amp;""))&gt;0,UPPER(TRIM(B410&amp;""))&lt;&gt;UPPER(TRIM(INDEX($B$13:$B$512,R410)&amp;""))),AND(LEN(TRIM(C410&amp;""))&gt;0,UPPER(TRIM(C410&amp;""))&lt;&gt;UPPER(TRIM(INDEX($C$13:$C$512,R410)&amp;""))),AND(LEN(TRIM(E410&amp;""))&gt;0,S410&lt;&gt;INDEX($S$13:$S$512,R410)),AND(F410&lt;&gt;"",NOT(ISNUMBER(F410)))),1,IF(ISNUMBER(F410),IF(ABS(F410-INDEX($F$13:$F$512,R410))&gt;0.00000001,1,0),0)))</f>
        <v>0</v>
      </c>
      <c r="U410" s="0" t="n">
        <f>IF(P410="DIRECTA",IF(AND(ISNUMBER(G410),COUNTA(H410:J410)=0),1,0),IF(P410="DIMENSIONES",IF(AND(COUNT(G410:J410)&gt;0,COUNTA(G410:J410)=COUNT(G410:J410)),1,0),0))</f>
        <v>0</v>
      </c>
      <c r="V410" s="0" t="n">
        <f>IF(O410=0,0,IF(COUNTIFS($O$13:O410,O410)=1,1,0))</f>
        <v>0</v>
      </c>
      <c r="W410" s="0">
        <f>IF(V410=1,COUNTIFS($V$13:V410,1),"")</f>
      </c>
      <c r="X410" s="0">
        <f>IF(COUNTA(B410:L410)=0,"",IF(OR(NOT(IF(ISNUMBER($E$6),AND($E$6&gt;=0,$E$6&lt;=6,$E$6=INT($E$6)),FALSE)),O410=0,R410=0,T410&gt;0,AND(P410&lt;&gt;"DIMENSIONES",P410&lt;&gt;"DIRECTA",P410&lt;&gt;"SIN LÍNEAS",P410&lt;&gt;"CABECERA"),AND(OR(P410="DIRECTA",P410="DIMENSIONES"),U410=0),AND(OR(P410="SIN LÍNEAS",P410="CABECERA"),COUNTA(G410:J410)&gt;0)),2,IF(OR(P410="SIN LÍNEAS",Y410&gt;0,Z410&gt;0,AA410&gt;0,SUMPRODUCT(--('LÉEME'!$B$65:$B$86=AC410))&lt;&gt;1),1,0)))</f>
      </c>
      <c r="Y410" s="0" t="n">
        <f>IF(AND(P410="DIMENSIONES",S410="m²",COUNT(H410:J410)=3),1,0)</f>
        <v>0</v>
      </c>
      <c r="Z410" s="0" t="n">
        <f>IF(IF(ISNUMBER($E$6),AND($E$6&gt;=0,$E$6&lt;=6,$E$6=INT($E$6)),FALSE),IF(SUM(IF(ISNUMBER(F410),IF(ABS(F410-ROUND(F410,$E$6))&gt;0.00000001,1,0),0),IF(ISNUMBER(G410),IF(ABS(G410-ROUND(G410,$E$6))&gt;0.00000001,1,0),0),IF(ISNUMBER(H410),IF(ABS(H410-ROUND(H410,$E$6))&gt;0.00000001,1,0),0),IF(ISNUMBER(I410),IF(ABS(I410-ROUND(I410,$E$6))&gt;0.00000001,1,0),0),IF(ISNUMBER(J410),IF(ABS(J410-ROUND(J410,$E$6))&gt;0.00000001,1,0),0),IF(ISNUMBER(M410),IF(ABS(M410-ROUND(M410,$E$6))&gt;0.00000001,1,0),0))&gt;0,1,0),0)</f>
        <v>0</v>
      </c>
      <c r="AA410" s="0" t="n">
        <f>IF(COUNTA(B410:L410)=0,0,IF(OR(AND(ISNUMBER(F410),F410&lt;0),AND(U410=1,OR(SUM(IF(ISNUMBER(G410),IF(G410=0,1,0),0),IF(ISNUMBER(H410),IF(H410=0,1,0),0),IF(ISNUMBER(I410),IF(I410=0,1,0),0),IF(ISNUMBER(J410),IF(J410=0,1,0),0))&gt;0,COUNTIFS(G410:J410,"&lt;0")&gt;0)),AND(P410="DIMENSIONES",U410=1,OR(AND(S410="m",COUNT(H410:J410)&lt;&gt;1),AND(S410="m²",COUNT(H410:J410)&lt;&gt;2,Y410=0),AND(S410="m³",COUNT(H410:J410)&lt;&gt;3),AND(S410="ud",COUNT(H410:J410)&gt;0))),AND(P410="DIRECTA",OR(S410="m",S410="m²",S410="m³"))),1,0))</f>
        <v>0</v>
      </c>
      <c r="AB410" s="0">
        <f>IF(LEN(TRIM(E410&amp;""))&gt;0,E410,IF(R410&gt;0,INDEX($E$13:$E$512,R410),""))</f>
      </c>
      <c r="AC410" s="0">
        <f>UPPER(SUBSTITUTE(SUBSTITUTE(SUBSTITUTE(SUBSTITUTE(SUBSTITUTE(TRIM(AB410),"²","2"),"³","3"),"^",""),".","")," ",""))</f>
      </c>
    </row>
    <row r="411" ht="35" customHeight="1">
      <c r="B411" s="35"/>
      <c r="C411" s="35"/>
      <c r="D411" s="37"/>
      <c r="E411" s="35"/>
      <c r="F411" s="38"/>
      <c r="G411" s="38"/>
      <c r="H411" s="38"/>
      <c r="I411" s="38"/>
      <c r="J411" s="38"/>
      <c r="K411" s="35"/>
      <c r="L411" s="35"/>
      <c r="M411" s="39">
        <f>IF(U411&lt;&gt;1,"",IF(P411="DIRECTA",G411,IF(ISNUMBER(G411),G411,1)*IF(ISNUMBER(H411),H411,1)*IF(ISNUMBER(I411),I411,1)*IF(ISNUMBER(J411),J411,1)))</f>
      </c>
      <c r="N411" s="30">
        <f>IF(COUNTA(B411:L411)=0,"",IF(X411=0,IF(P411="CABECERA","VERDE · Fila descriptiva; la suma usa las líneas del ID","VERDE · Datos numéricos interpretables"),IF(X411=2,"ROJO · ","ÁMBAR · ")&amp;IF(NOT(IF(ISNUMBER($E$6),AND($E$6&gt;=0,$E$6&lt;=6,$E$6=INT($E$6)),FALSE)),"Indicamos entre 0 y 6 decimales en E6. ","")&amp;IF(O411=0,"Falta un ID numérico. ","")&amp;IF(R411=0,"Faltan capítulo, código, unidad o total numérico del ID. ","")&amp;IF(T411&gt;0,"Los datos o el total del ID se contradicen. ","")&amp;IF(AND(P411&lt;&gt;"DIMENSIONES",P411&lt;&gt;"DIRECTA",P411&lt;&gt;"SIN LÍNEAS",P411&lt;&gt;"CABECERA"),"Tipo de fila no reconocido. ","")&amp;IF(AND(OR(P411="SIN LÍNEAS",P411="CABECERA"),COUNTA(G411:J411)&gt;0),"La fila dice que no mide, pero contiene medidas. ","")&amp;IF(AND(OR(P411="DIRECTA",P411="DIMENSIONES"),U411=0),"Línea incompleta o con medidas no numéricas. ","")&amp;IF(P411="SIN LÍNEAS","No constan medidas de esta fila. ","")&amp;IF(Y411&gt;0,"Parece m³: tres dimensiones bajo m². ","")&amp;IF(AND(AB411&lt;&gt;"",SUMPRODUCT(--('LÉEME'!$B$65:$B$86=AC411))&lt;&gt;1),"Revisamos el significado de la unidad. ","")&amp;IF(Z411&gt;0,"Más precisión que los decimales indicados: cotejamos el original. ","")&amp;IF(AA411&gt;0,"Revisamos dimensiones, cantidad directa, ceros o deducción. ","")))</f>
      </c>
      <c r="O411" s="0" t="n">
        <f>IF(ISNUMBER(K411),IF(AND(K411&gt;0,K411=INT(K411),K411&lt;=999999),K411,0),0)</f>
        <v>0</v>
      </c>
      <c r="P411" s="0">
        <f>IF(COUNTA(B411:L411)=0,"",IF(L411="",IF(COUNTA(G411:J411)&gt;0,"DIMENSIONES","SIN LÍNEAS"),UPPER(TRIM(L411))))</f>
      </c>
      <c r="Q411" s="0">
        <f>IF(AND(O411&gt;0,LEN(TRIM(B411&amp;""))&gt;0,LEN(TRIM(C411&amp;""))&gt;0,LEN(TRIM(E411&amp;""))&gt;0,ISNUMBER(F411)),O411,"")</f>
      </c>
      <c r="R411" s="0" t="n">
        <f>IF(O411=0,0,IF(COUNTIFS($Q$13:$Q$512,O411)&gt;0,MATCH(O411,$Q$13:$Q$512,0),0))</f>
        <v>0</v>
      </c>
      <c r="S411" s="0">
        <f>IF(AB411="","",IF(SUMPRODUCT(--('LÉEME'!$B$65:$B$86=AC411))=1,INDEX('LÉEME'!$C$65:$C$86,MATCH(AC411,'LÉEME'!$B$65:$B$86,0)),UPPER(TRIM(AB411))))</f>
      </c>
      <c r="T411" s="0" t="n">
        <f>IF(R411=0,0,IF(OR(AND(LEN(TRIM(B411&amp;""))&gt;0,UPPER(TRIM(B411&amp;""))&lt;&gt;UPPER(TRIM(INDEX($B$13:$B$512,R411)&amp;""))),AND(LEN(TRIM(C411&amp;""))&gt;0,UPPER(TRIM(C411&amp;""))&lt;&gt;UPPER(TRIM(INDEX($C$13:$C$512,R411)&amp;""))),AND(LEN(TRIM(E411&amp;""))&gt;0,S411&lt;&gt;INDEX($S$13:$S$512,R411)),AND(F411&lt;&gt;"",NOT(ISNUMBER(F411)))),1,IF(ISNUMBER(F411),IF(ABS(F411-INDEX($F$13:$F$512,R411))&gt;0.00000001,1,0),0)))</f>
        <v>0</v>
      </c>
      <c r="U411" s="0" t="n">
        <f>IF(P411="DIRECTA",IF(AND(ISNUMBER(G411),COUNTA(H411:J411)=0),1,0),IF(P411="DIMENSIONES",IF(AND(COUNT(G411:J411)&gt;0,COUNTA(G411:J411)=COUNT(G411:J411)),1,0),0))</f>
        <v>0</v>
      </c>
      <c r="V411" s="0" t="n">
        <f>IF(O411=0,0,IF(COUNTIFS($O$13:O411,O411)=1,1,0))</f>
        <v>0</v>
      </c>
      <c r="W411" s="0">
        <f>IF(V411=1,COUNTIFS($V$13:V411,1),"")</f>
      </c>
      <c r="X411" s="0">
        <f>IF(COUNTA(B411:L411)=0,"",IF(OR(NOT(IF(ISNUMBER($E$6),AND($E$6&gt;=0,$E$6&lt;=6,$E$6=INT($E$6)),FALSE)),O411=0,R411=0,T411&gt;0,AND(P411&lt;&gt;"DIMENSIONES",P411&lt;&gt;"DIRECTA",P411&lt;&gt;"SIN LÍNEAS",P411&lt;&gt;"CABECERA"),AND(OR(P411="DIRECTA",P411="DIMENSIONES"),U411=0),AND(OR(P411="SIN LÍNEAS",P411="CABECERA"),COUNTA(G411:J411)&gt;0)),2,IF(OR(P411="SIN LÍNEAS",Y411&gt;0,Z411&gt;0,AA411&gt;0,SUMPRODUCT(--('LÉEME'!$B$65:$B$86=AC411))&lt;&gt;1),1,0)))</f>
      </c>
      <c r="Y411" s="0" t="n">
        <f>IF(AND(P411="DIMENSIONES",S411="m²",COUNT(H411:J411)=3),1,0)</f>
        <v>0</v>
      </c>
      <c r="Z411" s="0" t="n">
        <f>IF(IF(ISNUMBER($E$6),AND($E$6&gt;=0,$E$6&lt;=6,$E$6=INT($E$6)),FALSE),IF(SUM(IF(ISNUMBER(F411),IF(ABS(F411-ROUND(F411,$E$6))&gt;0.00000001,1,0),0),IF(ISNUMBER(G411),IF(ABS(G411-ROUND(G411,$E$6))&gt;0.00000001,1,0),0),IF(ISNUMBER(H411),IF(ABS(H411-ROUND(H411,$E$6))&gt;0.00000001,1,0),0),IF(ISNUMBER(I411),IF(ABS(I411-ROUND(I411,$E$6))&gt;0.00000001,1,0),0),IF(ISNUMBER(J411),IF(ABS(J411-ROUND(J411,$E$6))&gt;0.00000001,1,0),0),IF(ISNUMBER(M411),IF(ABS(M411-ROUND(M411,$E$6))&gt;0.00000001,1,0),0))&gt;0,1,0),0)</f>
        <v>0</v>
      </c>
      <c r="AA411" s="0" t="n">
        <f>IF(COUNTA(B411:L411)=0,0,IF(OR(AND(ISNUMBER(F411),F411&lt;0),AND(U411=1,OR(SUM(IF(ISNUMBER(G411),IF(G411=0,1,0),0),IF(ISNUMBER(H411),IF(H411=0,1,0),0),IF(ISNUMBER(I411),IF(I411=0,1,0),0),IF(ISNUMBER(J411),IF(J411=0,1,0),0))&gt;0,COUNTIFS(G411:J411,"&lt;0")&gt;0)),AND(P411="DIMENSIONES",U411=1,OR(AND(S411="m",COUNT(H411:J411)&lt;&gt;1),AND(S411="m²",COUNT(H411:J411)&lt;&gt;2,Y411=0),AND(S411="m³",COUNT(H411:J411)&lt;&gt;3),AND(S411="ud",COUNT(H411:J411)&gt;0))),AND(P411="DIRECTA",OR(S411="m",S411="m²",S411="m³"))),1,0))</f>
        <v>0</v>
      </c>
      <c r="AB411" s="0">
        <f>IF(LEN(TRIM(E411&amp;""))&gt;0,E411,IF(R411&gt;0,INDEX($E$13:$E$512,R411),""))</f>
      </c>
      <c r="AC411" s="0">
        <f>UPPER(SUBSTITUTE(SUBSTITUTE(SUBSTITUTE(SUBSTITUTE(SUBSTITUTE(TRIM(AB411),"²","2"),"³","3"),"^",""),".","")," ",""))</f>
      </c>
    </row>
    <row r="412" ht="35" customHeight="1">
      <c r="B412" s="35"/>
      <c r="C412" s="35"/>
      <c r="D412" s="37"/>
      <c r="E412" s="35"/>
      <c r="F412" s="38"/>
      <c r="G412" s="38"/>
      <c r="H412" s="38"/>
      <c r="I412" s="38"/>
      <c r="J412" s="38"/>
      <c r="K412" s="35"/>
      <c r="L412" s="35"/>
      <c r="M412" s="39">
        <f>IF(U412&lt;&gt;1,"",IF(P412="DIRECTA",G412,IF(ISNUMBER(G412),G412,1)*IF(ISNUMBER(H412),H412,1)*IF(ISNUMBER(I412),I412,1)*IF(ISNUMBER(J412),J412,1)))</f>
      </c>
      <c r="N412" s="30">
        <f>IF(COUNTA(B412:L412)=0,"",IF(X412=0,IF(P412="CABECERA","VERDE · Fila descriptiva; la suma usa las líneas del ID","VERDE · Datos numéricos interpretables"),IF(X412=2,"ROJO · ","ÁMBAR · ")&amp;IF(NOT(IF(ISNUMBER($E$6),AND($E$6&gt;=0,$E$6&lt;=6,$E$6=INT($E$6)),FALSE)),"Indicamos entre 0 y 6 decimales en E6. ","")&amp;IF(O412=0,"Falta un ID numérico. ","")&amp;IF(R412=0,"Faltan capítulo, código, unidad o total numérico del ID. ","")&amp;IF(T412&gt;0,"Los datos o el total del ID se contradicen. ","")&amp;IF(AND(P412&lt;&gt;"DIMENSIONES",P412&lt;&gt;"DIRECTA",P412&lt;&gt;"SIN LÍNEAS",P412&lt;&gt;"CABECERA"),"Tipo de fila no reconocido. ","")&amp;IF(AND(OR(P412="SIN LÍNEAS",P412="CABECERA"),COUNTA(G412:J412)&gt;0),"La fila dice que no mide, pero contiene medidas. ","")&amp;IF(AND(OR(P412="DIRECTA",P412="DIMENSIONES"),U412=0),"Línea incompleta o con medidas no numéricas. ","")&amp;IF(P412="SIN LÍNEAS","No constan medidas de esta fila. ","")&amp;IF(Y412&gt;0,"Parece m³: tres dimensiones bajo m². ","")&amp;IF(AND(AB412&lt;&gt;"",SUMPRODUCT(--('LÉEME'!$B$65:$B$86=AC412))&lt;&gt;1),"Revisamos el significado de la unidad. ","")&amp;IF(Z412&gt;0,"Más precisión que los decimales indicados: cotejamos el original. ","")&amp;IF(AA412&gt;0,"Revisamos dimensiones, cantidad directa, ceros o deducción. ","")))</f>
      </c>
      <c r="O412" s="0" t="n">
        <f>IF(ISNUMBER(K412),IF(AND(K412&gt;0,K412=INT(K412),K412&lt;=999999),K412,0),0)</f>
        <v>0</v>
      </c>
      <c r="P412" s="0">
        <f>IF(COUNTA(B412:L412)=0,"",IF(L412="",IF(COUNTA(G412:J412)&gt;0,"DIMENSIONES","SIN LÍNEAS"),UPPER(TRIM(L412))))</f>
      </c>
      <c r="Q412" s="0">
        <f>IF(AND(O412&gt;0,LEN(TRIM(B412&amp;""))&gt;0,LEN(TRIM(C412&amp;""))&gt;0,LEN(TRIM(E412&amp;""))&gt;0,ISNUMBER(F412)),O412,"")</f>
      </c>
      <c r="R412" s="0" t="n">
        <f>IF(O412=0,0,IF(COUNTIFS($Q$13:$Q$512,O412)&gt;0,MATCH(O412,$Q$13:$Q$512,0),0))</f>
        <v>0</v>
      </c>
      <c r="S412" s="0">
        <f>IF(AB412="","",IF(SUMPRODUCT(--('LÉEME'!$B$65:$B$86=AC412))=1,INDEX('LÉEME'!$C$65:$C$86,MATCH(AC412,'LÉEME'!$B$65:$B$86,0)),UPPER(TRIM(AB412))))</f>
      </c>
      <c r="T412" s="0" t="n">
        <f>IF(R412=0,0,IF(OR(AND(LEN(TRIM(B412&amp;""))&gt;0,UPPER(TRIM(B412&amp;""))&lt;&gt;UPPER(TRIM(INDEX($B$13:$B$512,R412)&amp;""))),AND(LEN(TRIM(C412&amp;""))&gt;0,UPPER(TRIM(C412&amp;""))&lt;&gt;UPPER(TRIM(INDEX($C$13:$C$512,R412)&amp;""))),AND(LEN(TRIM(E412&amp;""))&gt;0,S412&lt;&gt;INDEX($S$13:$S$512,R412)),AND(F412&lt;&gt;"",NOT(ISNUMBER(F412)))),1,IF(ISNUMBER(F412),IF(ABS(F412-INDEX($F$13:$F$512,R412))&gt;0.00000001,1,0),0)))</f>
        <v>0</v>
      </c>
      <c r="U412" s="0" t="n">
        <f>IF(P412="DIRECTA",IF(AND(ISNUMBER(G412),COUNTA(H412:J412)=0),1,0),IF(P412="DIMENSIONES",IF(AND(COUNT(G412:J412)&gt;0,COUNTA(G412:J412)=COUNT(G412:J412)),1,0),0))</f>
        <v>0</v>
      </c>
      <c r="V412" s="0" t="n">
        <f>IF(O412=0,0,IF(COUNTIFS($O$13:O412,O412)=1,1,0))</f>
        <v>0</v>
      </c>
      <c r="W412" s="0">
        <f>IF(V412=1,COUNTIFS($V$13:V412,1),"")</f>
      </c>
      <c r="X412" s="0">
        <f>IF(COUNTA(B412:L412)=0,"",IF(OR(NOT(IF(ISNUMBER($E$6),AND($E$6&gt;=0,$E$6&lt;=6,$E$6=INT($E$6)),FALSE)),O412=0,R412=0,T412&gt;0,AND(P412&lt;&gt;"DIMENSIONES",P412&lt;&gt;"DIRECTA",P412&lt;&gt;"SIN LÍNEAS",P412&lt;&gt;"CABECERA"),AND(OR(P412="DIRECTA",P412="DIMENSIONES"),U412=0),AND(OR(P412="SIN LÍNEAS",P412="CABECERA"),COUNTA(G412:J412)&gt;0)),2,IF(OR(P412="SIN LÍNEAS",Y412&gt;0,Z412&gt;0,AA412&gt;0,SUMPRODUCT(--('LÉEME'!$B$65:$B$86=AC412))&lt;&gt;1),1,0)))</f>
      </c>
      <c r="Y412" s="0" t="n">
        <f>IF(AND(P412="DIMENSIONES",S412="m²",COUNT(H412:J412)=3),1,0)</f>
        <v>0</v>
      </c>
      <c r="Z412" s="0" t="n">
        <f>IF(IF(ISNUMBER($E$6),AND($E$6&gt;=0,$E$6&lt;=6,$E$6=INT($E$6)),FALSE),IF(SUM(IF(ISNUMBER(F412),IF(ABS(F412-ROUND(F412,$E$6))&gt;0.00000001,1,0),0),IF(ISNUMBER(G412),IF(ABS(G412-ROUND(G412,$E$6))&gt;0.00000001,1,0),0),IF(ISNUMBER(H412),IF(ABS(H412-ROUND(H412,$E$6))&gt;0.00000001,1,0),0),IF(ISNUMBER(I412),IF(ABS(I412-ROUND(I412,$E$6))&gt;0.00000001,1,0),0),IF(ISNUMBER(J412),IF(ABS(J412-ROUND(J412,$E$6))&gt;0.00000001,1,0),0),IF(ISNUMBER(M412),IF(ABS(M412-ROUND(M412,$E$6))&gt;0.00000001,1,0),0))&gt;0,1,0),0)</f>
        <v>0</v>
      </c>
      <c r="AA412" s="0" t="n">
        <f>IF(COUNTA(B412:L412)=0,0,IF(OR(AND(ISNUMBER(F412),F412&lt;0),AND(U412=1,OR(SUM(IF(ISNUMBER(G412),IF(G412=0,1,0),0),IF(ISNUMBER(H412),IF(H412=0,1,0),0),IF(ISNUMBER(I412),IF(I412=0,1,0),0),IF(ISNUMBER(J412),IF(J412=0,1,0),0))&gt;0,COUNTIFS(G412:J412,"&lt;0")&gt;0)),AND(P412="DIMENSIONES",U412=1,OR(AND(S412="m",COUNT(H412:J412)&lt;&gt;1),AND(S412="m²",COUNT(H412:J412)&lt;&gt;2,Y412=0),AND(S412="m³",COUNT(H412:J412)&lt;&gt;3),AND(S412="ud",COUNT(H412:J412)&gt;0))),AND(P412="DIRECTA",OR(S412="m",S412="m²",S412="m³"))),1,0))</f>
        <v>0</v>
      </c>
      <c r="AB412" s="0">
        <f>IF(LEN(TRIM(E412&amp;""))&gt;0,E412,IF(R412&gt;0,INDEX($E$13:$E$512,R412),""))</f>
      </c>
      <c r="AC412" s="0">
        <f>UPPER(SUBSTITUTE(SUBSTITUTE(SUBSTITUTE(SUBSTITUTE(SUBSTITUTE(TRIM(AB412),"²","2"),"³","3"),"^",""),".","")," ",""))</f>
      </c>
    </row>
    <row r="413" ht="35" customHeight="1">
      <c r="B413" s="35"/>
      <c r="C413" s="35"/>
      <c r="D413" s="37"/>
      <c r="E413" s="35"/>
      <c r="F413" s="38"/>
      <c r="G413" s="38"/>
      <c r="H413" s="38"/>
      <c r="I413" s="38"/>
      <c r="J413" s="38"/>
      <c r="K413" s="35"/>
      <c r="L413" s="35"/>
      <c r="M413" s="39">
        <f>IF(U413&lt;&gt;1,"",IF(P413="DIRECTA",G413,IF(ISNUMBER(G413),G413,1)*IF(ISNUMBER(H413),H413,1)*IF(ISNUMBER(I413),I413,1)*IF(ISNUMBER(J413),J413,1)))</f>
      </c>
      <c r="N413" s="30">
        <f>IF(COUNTA(B413:L413)=0,"",IF(X413=0,IF(P413="CABECERA","VERDE · Fila descriptiva; la suma usa las líneas del ID","VERDE · Datos numéricos interpretables"),IF(X413=2,"ROJO · ","ÁMBAR · ")&amp;IF(NOT(IF(ISNUMBER($E$6),AND($E$6&gt;=0,$E$6&lt;=6,$E$6=INT($E$6)),FALSE)),"Indicamos entre 0 y 6 decimales en E6. ","")&amp;IF(O413=0,"Falta un ID numérico. ","")&amp;IF(R413=0,"Faltan capítulo, código, unidad o total numérico del ID. ","")&amp;IF(T413&gt;0,"Los datos o el total del ID se contradicen. ","")&amp;IF(AND(P413&lt;&gt;"DIMENSIONES",P413&lt;&gt;"DIRECTA",P413&lt;&gt;"SIN LÍNEAS",P413&lt;&gt;"CABECERA"),"Tipo de fila no reconocido. ","")&amp;IF(AND(OR(P413="SIN LÍNEAS",P413="CABECERA"),COUNTA(G413:J413)&gt;0),"La fila dice que no mide, pero contiene medidas. ","")&amp;IF(AND(OR(P413="DIRECTA",P413="DIMENSIONES"),U413=0),"Línea incompleta o con medidas no numéricas. ","")&amp;IF(P413="SIN LÍNEAS","No constan medidas de esta fila. ","")&amp;IF(Y413&gt;0,"Parece m³: tres dimensiones bajo m². ","")&amp;IF(AND(AB413&lt;&gt;"",SUMPRODUCT(--('LÉEME'!$B$65:$B$86=AC413))&lt;&gt;1),"Revisamos el significado de la unidad. ","")&amp;IF(Z413&gt;0,"Más precisión que los decimales indicados: cotejamos el original. ","")&amp;IF(AA413&gt;0,"Revisamos dimensiones, cantidad directa, ceros o deducción. ","")))</f>
      </c>
      <c r="O413" s="0" t="n">
        <f>IF(ISNUMBER(K413),IF(AND(K413&gt;0,K413=INT(K413),K413&lt;=999999),K413,0),0)</f>
        <v>0</v>
      </c>
      <c r="P413" s="0">
        <f>IF(COUNTA(B413:L413)=0,"",IF(L413="",IF(COUNTA(G413:J413)&gt;0,"DIMENSIONES","SIN LÍNEAS"),UPPER(TRIM(L413))))</f>
      </c>
      <c r="Q413" s="0">
        <f>IF(AND(O413&gt;0,LEN(TRIM(B413&amp;""))&gt;0,LEN(TRIM(C413&amp;""))&gt;0,LEN(TRIM(E413&amp;""))&gt;0,ISNUMBER(F413)),O413,"")</f>
      </c>
      <c r="R413" s="0" t="n">
        <f>IF(O413=0,0,IF(COUNTIFS($Q$13:$Q$512,O413)&gt;0,MATCH(O413,$Q$13:$Q$512,0),0))</f>
        <v>0</v>
      </c>
      <c r="S413" s="0">
        <f>IF(AB413="","",IF(SUMPRODUCT(--('LÉEME'!$B$65:$B$86=AC413))=1,INDEX('LÉEME'!$C$65:$C$86,MATCH(AC413,'LÉEME'!$B$65:$B$86,0)),UPPER(TRIM(AB413))))</f>
      </c>
      <c r="T413" s="0" t="n">
        <f>IF(R413=0,0,IF(OR(AND(LEN(TRIM(B413&amp;""))&gt;0,UPPER(TRIM(B413&amp;""))&lt;&gt;UPPER(TRIM(INDEX($B$13:$B$512,R413)&amp;""))),AND(LEN(TRIM(C413&amp;""))&gt;0,UPPER(TRIM(C413&amp;""))&lt;&gt;UPPER(TRIM(INDEX($C$13:$C$512,R413)&amp;""))),AND(LEN(TRIM(E413&amp;""))&gt;0,S413&lt;&gt;INDEX($S$13:$S$512,R413)),AND(F413&lt;&gt;"",NOT(ISNUMBER(F413)))),1,IF(ISNUMBER(F413),IF(ABS(F413-INDEX($F$13:$F$512,R413))&gt;0.00000001,1,0),0)))</f>
        <v>0</v>
      </c>
      <c r="U413" s="0" t="n">
        <f>IF(P413="DIRECTA",IF(AND(ISNUMBER(G413),COUNTA(H413:J413)=0),1,0),IF(P413="DIMENSIONES",IF(AND(COUNT(G413:J413)&gt;0,COUNTA(G413:J413)=COUNT(G413:J413)),1,0),0))</f>
        <v>0</v>
      </c>
      <c r="V413" s="0" t="n">
        <f>IF(O413=0,0,IF(COUNTIFS($O$13:O413,O413)=1,1,0))</f>
        <v>0</v>
      </c>
      <c r="W413" s="0">
        <f>IF(V413=1,COUNTIFS($V$13:V413,1),"")</f>
      </c>
      <c r="X413" s="0">
        <f>IF(COUNTA(B413:L413)=0,"",IF(OR(NOT(IF(ISNUMBER($E$6),AND($E$6&gt;=0,$E$6&lt;=6,$E$6=INT($E$6)),FALSE)),O413=0,R413=0,T413&gt;0,AND(P413&lt;&gt;"DIMENSIONES",P413&lt;&gt;"DIRECTA",P413&lt;&gt;"SIN LÍNEAS",P413&lt;&gt;"CABECERA"),AND(OR(P413="DIRECTA",P413="DIMENSIONES"),U413=0),AND(OR(P413="SIN LÍNEAS",P413="CABECERA"),COUNTA(G413:J413)&gt;0)),2,IF(OR(P413="SIN LÍNEAS",Y413&gt;0,Z413&gt;0,AA413&gt;0,SUMPRODUCT(--('LÉEME'!$B$65:$B$86=AC413))&lt;&gt;1),1,0)))</f>
      </c>
      <c r="Y413" s="0" t="n">
        <f>IF(AND(P413="DIMENSIONES",S413="m²",COUNT(H413:J413)=3),1,0)</f>
        <v>0</v>
      </c>
      <c r="Z413" s="0" t="n">
        <f>IF(IF(ISNUMBER($E$6),AND($E$6&gt;=0,$E$6&lt;=6,$E$6=INT($E$6)),FALSE),IF(SUM(IF(ISNUMBER(F413),IF(ABS(F413-ROUND(F413,$E$6))&gt;0.00000001,1,0),0),IF(ISNUMBER(G413),IF(ABS(G413-ROUND(G413,$E$6))&gt;0.00000001,1,0),0),IF(ISNUMBER(H413),IF(ABS(H413-ROUND(H413,$E$6))&gt;0.00000001,1,0),0),IF(ISNUMBER(I413),IF(ABS(I413-ROUND(I413,$E$6))&gt;0.00000001,1,0),0),IF(ISNUMBER(J413),IF(ABS(J413-ROUND(J413,$E$6))&gt;0.00000001,1,0),0),IF(ISNUMBER(M413),IF(ABS(M413-ROUND(M413,$E$6))&gt;0.00000001,1,0),0))&gt;0,1,0),0)</f>
        <v>0</v>
      </c>
      <c r="AA413" s="0" t="n">
        <f>IF(COUNTA(B413:L413)=0,0,IF(OR(AND(ISNUMBER(F413),F413&lt;0),AND(U413=1,OR(SUM(IF(ISNUMBER(G413),IF(G413=0,1,0),0),IF(ISNUMBER(H413),IF(H413=0,1,0),0),IF(ISNUMBER(I413),IF(I413=0,1,0),0),IF(ISNUMBER(J413),IF(J413=0,1,0),0))&gt;0,COUNTIFS(G413:J413,"&lt;0")&gt;0)),AND(P413="DIMENSIONES",U413=1,OR(AND(S413="m",COUNT(H413:J413)&lt;&gt;1),AND(S413="m²",COUNT(H413:J413)&lt;&gt;2,Y413=0),AND(S413="m³",COUNT(H413:J413)&lt;&gt;3),AND(S413="ud",COUNT(H413:J413)&gt;0))),AND(P413="DIRECTA",OR(S413="m",S413="m²",S413="m³"))),1,0))</f>
        <v>0</v>
      </c>
      <c r="AB413" s="0">
        <f>IF(LEN(TRIM(E413&amp;""))&gt;0,E413,IF(R413&gt;0,INDEX($E$13:$E$512,R413),""))</f>
      </c>
      <c r="AC413" s="0">
        <f>UPPER(SUBSTITUTE(SUBSTITUTE(SUBSTITUTE(SUBSTITUTE(SUBSTITUTE(TRIM(AB413),"²","2"),"³","3"),"^",""),".","")," ",""))</f>
      </c>
    </row>
    <row r="414" ht="35" customHeight="1">
      <c r="B414" s="35"/>
      <c r="C414" s="35"/>
      <c r="D414" s="37"/>
      <c r="E414" s="35"/>
      <c r="F414" s="38"/>
      <c r="G414" s="38"/>
      <c r="H414" s="38"/>
      <c r="I414" s="38"/>
      <c r="J414" s="38"/>
      <c r="K414" s="35"/>
      <c r="L414" s="35"/>
      <c r="M414" s="39">
        <f>IF(U414&lt;&gt;1,"",IF(P414="DIRECTA",G414,IF(ISNUMBER(G414),G414,1)*IF(ISNUMBER(H414),H414,1)*IF(ISNUMBER(I414),I414,1)*IF(ISNUMBER(J414),J414,1)))</f>
      </c>
      <c r="N414" s="30">
        <f>IF(COUNTA(B414:L414)=0,"",IF(X414=0,IF(P414="CABECERA","VERDE · Fila descriptiva; la suma usa las líneas del ID","VERDE · Datos numéricos interpretables"),IF(X414=2,"ROJO · ","ÁMBAR · ")&amp;IF(NOT(IF(ISNUMBER($E$6),AND($E$6&gt;=0,$E$6&lt;=6,$E$6=INT($E$6)),FALSE)),"Indicamos entre 0 y 6 decimales en E6. ","")&amp;IF(O414=0,"Falta un ID numérico. ","")&amp;IF(R414=0,"Faltan capítulo, código, unidad o total numérico del ID. ","")&amp;IF(T414&gt;0,"Los datos o el total del ID se contradicen. ","")&amp;IF(AND(P414&lt;&gt;"DIMENSIONES",P414&lt;&gt;"DIRECTA",P414&lt;&gt;"SIN LÍNEAS",P414&lt;&gt;"CABECERA"),"Tipo de fila no reconocido. ","")&amp;IF(AND(OR(P414="SIN LÍNEAS",P414="CABECERA"),COUNTA(G414:J414)&gt;0),"La fila dice que no mide, pero contiene medidas. ","")&amp;IF(AND(OR(P414="DIRECTA",P414="DIMENSIONES"),U414=0),"Línea incompleta o con medidas no numéricas. ","")&amp;IF(P414="SIN LÍNEAS","No constan medidas de esta fila. ","")&amp;IF(Y414&gt;0,"Parece m³: tres dimensiones bajo m². ","")&amp;IF(AND(AB414&lt;&gt;"",SUMPRODUCT(--('LÉEME'!$B$65:$B$86=AC414))&lt;&gt;1),"Revisamos el significado de la unidad. ","")&amp;IF(Z414&gt;0,"Más precisión que los decimales indicados: cotejamos el original. ","")&amp;IF(AA414&gt;0,"Revisamos dimensiones, cantidad directa, ceros o deducción. ","")))</f>
      </c>
      <c r="O414" s="0" t="n">
        <f>IF(ISNUMBER(K414),IF(AND(K414&gt;0,K414=INT(K414),K414&lt;=999999),K414,0),0)</f>
        <v>0</v>
      </c>
      <c r="P414" s="0">
        <f>IF(COUNTA(B414:L414)=0,"",IF(L414="",IF(COUNTA(G414:J414)&gt;0,"DIMENSIONES","SIN LÍNEAS"),UPPER(TRIM(L414))))</f>
      </c>
      <c r="Q414" s="0">
        <f>IF(AND(O414&gt;0,LEN(TRIM(B414&amp;""))&gt;0,LEN(TRIM(C414&amp;""))&gt;0,LEN(TRIM(E414&amp;""))&gt;0,ISNUMBER(F414)),O414,"")</f>
      </c>
      <c r="R414" s="0" t="n">
        <f>IF(O414=0,0,IF(COUNTIFS($Q$13:$Q$512,O414)&gt;0,MATCH(O414,$Q$13:$Q$512,0),0))</f>
        <v>0</v>
      </c>
      <c r="S414" s="0">
        <f>IF(AB414="","",IF(SUMPRODUCT(--('LÉEME'!$B$65:$B$86=AC414))=1,INDEX('LÉEME'!$C$65:$C$86,MATCH(AC414,'LÉEME'!$B$65:$B$86,0)),UPPER(TRIM(AB414))))</f>
      </c>
      <c r="T414" s="0" t="n">
        <f>IF(R414=0,0,IF(OR(AND(LEN(TRIM(B414&amp;""))&gt;0,UPPER(TRIM(B414&amp;""))&lt;&gt;UPPER(TRIM(INDEX($B$13:$B$512,R414)&amp;""))),AND(LEN(TRIM(C414&amp;""))&gt;0,UPPER(TRIM(C414&amp;""))&lt;&gt;UPPER(TRIM(INDEX($C$13:$C$512,R414)&amp;""))),AND(LEN(TRIM(E414&amp;""))&gt;0,S414&lt;&gt;INDEX($S$13:$S$512,R414)),AND(F414&lt;&gt;"",NOT(ISNUMBER(F414)))),1,IF(ISNUMBER(F414),IF(ABS(F414-INDEX($F$13:$F$512,R414))&gt;0.00000001,1,0),0)))</f>
        <v>0</v>
      </c>
      <c r="U414" s="0" t="n">
        <f>IF(P414="DIRECTA",IF(AND(ISNUMBER(G414),COUNTA(H414:J414)=0),1,0),IF(P414="DIMENSIONES",IF(AND(COUNT(G414:J414)&gt;0,COUNTA(G414:J414)=COUNT(G414:J414)),1,0),0))</f>
        <v>0</v>
      </c>
      <c r="V414" s="0" t="n">
        <f>IF(O414=0,0,IF(COUNTIFS($O$13:O414,O414)=1,1,0))</f>
        <v>0</v>
      </c>
      <c r="W414" s="0">
        <f>IF(V414=1,COUNTIFS($V$13:V414,1),"")</f>
      </c>
      <c r="X414" s="0">
        <f>IF(COUNTA(B414:L414)=0,"",IF(OR(NOT(IF(ISNUMBER($E$6),AND($E$6&gt;=0,$E$6&lt;=6,$E$6=INT($E$6)),FALSE)),O414=0,R414=0,T414&gt;0,AND(P414&lt;&gt;"DIMENSIONES",P414&lt;&gt;"DIRECTA",P414&lt;&gt;"SIN LÍNEAS",P414&lt;&gt;"CABECERA"),AND(OR(P414="DIRECTA",P414="DIMENSIONES"),U414=0),AND(OR(P414="SIN LÍNEAS",P414="CABECERA"),COUNTA(G414:J414)&gt;0)),2,IF(OR(P414="SIN LÍNEAS",Y414&gt;0,Z414&gt;0,AA414&gt;0,SUMPRODUCT(--('LÉEME'!$B$65:$B$86=AC414))&lt;&gt;1),1,0)))</f>
      </c>
      <c r="Y414" s="0" t="n">
        <f>IF(AND(P414="DIMENSIONES",S414="m²",COUNT(H414:J414)=3),1,0)</f>
        <v>0</v>
      </c>
      <c r="Z414" s="0" t="n">
        <f>IF(IF(ISNUMBER($E$6),AND($E$6&gt;=0,$E$6&lt;=6,$E$6=INT($E$6)),FALSE),IF(SUM(IF(ISNUMBER(F414),IF(ABS(F414-ROUND(F414,$E$6))&gt;0.00000001,1,0),0),IF(ISNUMBER(G414),IF(ABS(G414-ROUND(G414,$E$6))&gt;0.00000001,1,0),0),IF(ISNUMBER(H414),IF(ABS(H414-ROUND(H414,$E$6))&gt;0.00000001,1,0),0),IF(ISNUMBER(I414),IF(ABS(I414-ROUND(I414,$E$6))&gt;0.00000001,1,0),0),IF(ISNUMBER(J414),IF(ABS(J414-ROUND(J414,$E$6))&gt;0.00000001,1,0),0),IF(ISNUMBER(M414),IF(ABS(M414-ROUND(M414,$E$6))&gt;0.00000001,1,0),0))&gt;0,1,0),0)</f>
        <v>0</v>
      </c>
      <c r="AA414" s="0" t="n">
        <f>IF(COUNTA(B414:L414)=0,0,IF(OR(AND(ISNUMBER(F414),F414&lt;0),AND(U414=1,OR(SUM(IF(ISNUMBER(G414),IF(G414=0,1,0),0),IF(ISNUMBER(H414),IF(H414=0,1,0),0),IF(ISNUMBER(I414),IF(I414=0,1,0),0),IF(ISNUMBER(J414),IF(J414=0,1,0),0))&gt;0,COUNTIFS(G414:J414,"&lt;0")&gt;0)),AND(P414="DIMENSIONES",U414=1,OR(AND(S414="m",COUNT(H414:J414)&lt;&gt;1),AND(S414="m²",COUNT(H414:J414)&lt;&gt;2,Y414=0),AND(S414="m³",COUNT(H414:J414)&lt;&gt;3),AND(S414="ud",COUNT(H414:J414)&gt;0))),AND(P414="DIRECTA",OR(S414="m",S414="m²",S414="m³"))),1,0))</f>
        <v>0</v>
      </c>
      <c r="AB414" s="0">
        <f>IF(LEN(TRIM(E414&amp;""))&gt;0,E414,IF(R414&gt;0,INDEX($E$13:$E$512,R414),""))</f>
      </c>
      <c r="AC414" s="0">
        <f>UPPER(SUBSTITUTE(SUBSTITUTE(SUBSTITUTE(SUBSTITUTE(SUBSTITUTE(TRIM(AB414),"²","2"),"³","3"),"^",""),".","")," ",""))</f>
      </c>
    </row>
    <row r="415" ht="35" customHeight="1">
      <c r="B415" s="35"/>
      <c r="C415" s="35"/>
      <c r="D415" s="37"/>
      <c r="E415" s="35"/>
      <c r="F415" s="38"/>
      <c r="G415" s="38"/>
      <c r="H415" s="38"/>
      <c r="I415" s="38"/>
      <c r="J415" s="38"/>
      <c r="K415" s="35"/>
      <c r="L415" s="35"/>
      <c r="M415" s="39">
        <f>IF(U415&lt;&gt;1,"",IF(P415="DIRECTA",G415,IF(ISNUMBER(G415),G415,1)*IF(ISNUMBER(H415),H415,1)*IF(ISNUMBER(I415),I415,1)*IF(ISNUMBER(J415),J415,1)))</f>
      </c>
      <c r="N415" s="30">
        <f>IF(COUNTA(B415:L415)=0,"",IF(X415=0,IF(P415="CABECERA","VERDE · Fila descriptiva; la suma usa las líneas del ID","VERDE · Datos numéricos interpretables"),IF(X415=2,"ROJO · ","ÁMBAR · ")&amp;IF(NOT(IF(ISNUMBER($E$6),AND($E$6&gt;=0,$E$6&lt;=6,$E$6=INT($E$6)),FALSE)),"Indicamos entre 0 y 6 decimales en E6. ","")&amp;IF(O415=0,"Falta un ID numérico. ","")&amp;IF(R415=0,"Faltan capítulo, código, unidad o total numérico del ID. ","")&amp;IF(T415&gt;0,"Los datos o el total del ID se contradicen. ","")&amp;IF(AND(P415&lt;&gt;"DIMENSIONES",P415&lt;&gt;"DIRECTA",P415&lt;&gt;"SIN LÍNEAS",P415&lt;&gt;"CABECERA"),"Tipo de fila no reconocido. ","")&amp;IF(AND(OR(P415="SIN LÍNEAS",P415="CABECERA"),COUNTA(G415:J415)&gt;0),"La fila dice que no mide, pero contiene medidas. ","")&amp;IF(AND(OR(P415="DIRECTA",P415="DIMENSIONES"),U415=0),"Línea incompleta o con medidas no numéricas. ","")&amp;IF(P415="SIN LÍNEAS","No constan medidas de esta fila. ","")&amp;IF(Y415&gt;0,"Parece m³: tres dimensiones bajo m². ","")&amp;IF(AND(AB415&lt;&gt;"",SUMPRODUCT(--('LÉEME'!$B$65:$B$86=AC415))&lt;&gt;1),"Revisamos el significado de la unidad. ","")&amp;IF(Z415&gt;0,"Más precisión que los decimales indicados: cotejamos el original. ","")&amp;IF(AA415&gt;0,"Revisamos dimensiones, cantidad directa, ceros o deducción. ","")))</f>
      </c>
      <c r="O415" s="0" t="n">
        <f>IF(ISNUMBER(K415),IF(AND(K415&gt;0,K415=INT(K415),K415&lt;=999999),K415,0),0)</f>
        <v>0</v>
      </c>
      <c r="P415" s="0">
        <f>IF(COUNTA(B415:L415)=0,"",IF(L415="",IF(COUNTA(G415:J415)&gt;0,"DIMENSIONES","SIN LÍNEAS"),UPPER(TRIM(L415))))</f>
      </c>
      <c r="Q415" s="0">
        <f>IF(AND(O415&gt;0,LEN(TRIM(B415&amp;""))&gt;0,LEN(TRIM(C415&amp;""))&gt;0,LEN(TRIM(E415&amp;""))&gt;0,ISNUMBER(F415)),O415,"")</f>
      </c>
      <c r="R415" s="0" t="n">
        <f>IF(O415=0,0,IF(COUNTIFS($Q$13:$Q$512,O415)&gt;0,MATCH(O415,$Q$13:$Q$512,0),0))</f>
        <v>0</v>
      </c>
      <c r="S415" s="0">
        <f>IF(AB415="","",IF(SUMPRODUCT(--('LÉEME'!$B$65:$B$86=AC415))=1,INDEX('LÉEME'!$C$65:$C$86,MATCH(AC415,'LÉEME'!$B$65:$B$86,0)),UPPER(TRIM(AB415))))</f>
      </c>
      <c r="T415" s="0" t="n">
        <f>IF(R415=0,0,IF(OR(AND(LEN(TRIM(B415&amp;""))&gt;0,UPPER(TRIM(B415&amp;""))&lt;&gt;UPPER(TRIM(INDEX($B$13:$B$512,R415)&amp;""))),AND(LEN(TRIM(C415&amp;""))&gt;0,UPPER(TRIM(C415&amp;""))&lt;&gt;UPPER(TRIM(INDEX($C$13:$C$512,R415)&amp;""))),AND(LEN(TRIM(E415&amp;""))&gt;0,S415&lt;&gt;INDEX($S$13:$S$512,R415)),AND(F415&lt;&gt;"",NOT(ISNUMBER(F415)))),1,IF(ISNUMBER(F415),IF(ABS(F415-INDEX($F$13:$F$512,R415))&gt;0.00000001,1,0),0)))</f>
        <v>0</v>
      </c>
      <c r="U415" s="0" t="n">
        <f>IF(P415="DIRECTA",IF(AND(ISNUMBER(G415),COUNTA(H415:J415)=0),1,0),IF(P415="DIMENSIONES",IF(AND(COUNT(G415:J415)&gt;0,COUNTA(G415:J415)=COUNT(G415:J415)),1,0),0))</f>
        <v>0</v>
      </c>
      <c r="V415" s="0" t="n">
        <f>IF(O415=0,0,IF(COUNTIFS($O$13:O415,O415)=1,1,0))</f>
        <v>0</v>
      </c>
      <c r="W415" s="0">
        <f>IF(V415=1,COUNTIFS($V$13:V415,1),"")</f>
      </c>
      <c r="X415" s="0">
        <f>IF(COUNTA(B415:L415)=0,"",IF(OR(NOT(IF(ISNUMBER($E$6),AND($E$6&gt;=0,$E$6&lt;=6,$E$6=INT($E$6)),FALSE)),O415=0,R415=0,T415&gt;0,AND(P415&lt;&gt;"DIMENSIONES",P415&lt;&gt;"DIRECTA",P415&lt;&gt;"SIN LÍNEAS",P415&lt;&gt;"CABECERA"),AND(OR(P415="DIRECTA",P415="DIMENSIONES"),U415=0),AND(OR(P415="SIN LÍNEAS",P415="CABECERA"),COUNTA(G415:J415)&gt;0)),2,IF(OR(P415="SIN LÍNEAS",Y415&gt;0,Z415&gt;0,AA415&gt;0,SUMPRODUCT(--('LÉEME'!$B$65:$B$86=AC415))&lt;&gt;1),1,0)))</f>
      </c>
      <c r="Y415" s="0" t="n">
        <f>IF(AND(P415="DIMENSIONES",S415="m²",COUNT(H415:J415)=3),1,0)</f>
        <v>0</v>
      </c>
      <c r="Z415" s="0" t="n">
        <f>IF(IF(ISNUMBER($E$6),AND($E$6&gt;=0,$E$6&lt;=6,$E$6=INT($E$6)),FALSE),IF(SUM(IF(ISNUMBER(F415),IF(ABS(F415-ROUND(F415,$E$6))&gt;0.00000001,1,0),0),IF(ISNUMBER(G415),IF(ABS(G415-ROUND(G415,$E$6))&gt;0.00000001,1,0),0),IF(ISNUMBER(H415),IF(ABS(H415-ROUND(H415,$E$6))&gt;0.00000001,1,0),0),IF(ISNUMBER(I415),IF(ABS(I415-ROUND(I415,$E$6))&gt;0.00000001,1,0),0),IF(ISNUMBER(J415),IF(ABS(J415-ROUND(J415,$E$6))&gt;0.00000001,1,0),0),IF(ISNUMBER(M415),IF(ABS(M415-ROUND(M415,$E$6))&gt;0.00000001,1,0),0))&gt;0,1,0),0)</f>
        <v>0</v>
      </c>
      <c r="AA415" s="0" t="n">
        <f>IF(COUNTA(B415:L415)=0,0,IF(OR(AND(ISNUMBER(F415),F415&lt;0),AND(U415=1,OR(SUM(IF(ISNUMBER(G415),IF(G415=0,1,0),0),IF(ISNUMBER(H415),IF(H415=0,1,0),0),IF(ISNUMBER(I415),IF(I415=0,1,0),0),IF(ISNUMBER(J415),IF(J415=0,1,0),0))&gt;0,COUNTIFS(G415:J415,"&lt;0")&gt;0)),AND(P415="DIMENSIONES",U415=1,OR(AND(S415="m",COUNT(H415:J415)&lt;&gt;1),AND(S415="m²",COUNT(H415:J415)&lt;&gt;2,Y415=0),AND(S415="m³",COUNT(H415:J415)&lt;&gt;3),AND(S415="ud",COUNT(H415:J415)&gt;0))),AND(P415="DIRECTA",OR(S415="m",S415="m²",S415="m³"))),1,0))</f>
        <v>0</v>
      </c>
      <c r="AB415" s="0">
        <f>IF(LEN(TRIM(E415&amp;""))&gt;0,E415,IF(R415&gt;0,INDEX($E$13:$E$512,R415),""))</f>
      </c>
      <c r="AC415" s="0">
        <f>UPPER(SUBSTITUTE(SUBSTITUTE(SUBSTITUTE(SUBSTITUTE(SUBSTITUTE(TRIM(AB415),"²","2"),"³","3"),"^",""),".","")," ",""))</f>
      </c>
    </row>
    <row r="416" ht="35" customHeight="1">
      <c r="B416" s="35"/>
      <c r="C416" s="35"/>
      <c r="D416" s="37"/>
      <c r="E416" s="35"/>
      <c r="F416" s="38"/>
      <c r="G416" s="38"/>
      <c r="H416" s="38"/>
      <c r="I416" s="38"/>
      <c r="J416" s="38"/>
      <c r="K416" s="35"/>
      <c r="L416" s="35"/>
      <c r="M416" s="39">
        <f>IF(U416&lt;&gt;1,"",IF(P416="DIRECTA",G416,IF(ISNUMBER(G416),G416,1)*IF(ISNUMBER(H416),H416,1)*IF(ISNUMBER(I416),I416,1)*IF(ISNUMBER(J416),J416,1)))</f>
      </c>
      <c r="N416" s="30">
        <f>IF(COUNTA(B416:L416)=0,"",IF(X416=0,IF(P416="CABECERA","VERDE · Fila descriptiva; la suma usa las líneas del ID","VERDE · Datos numéricos interpretables"),IF(X416=2,"ROJO · ","ÁMBAR · ")&amp;IF(NOT(IF(ISNUMBER($E$6),AND($E$6&gt;=0,$E$6&lt;=6,$E$6=INT($E$6)),FALSE)),"Indicamos entre 0 y 6 decimales en E6. ","")&amp;IF(O416=0,"Falta un ID numérico. ","")&amp;IF(R416=0,"Faltan capítulo, código, unidad o total numérico del ID. ","")&amp;IF(T416&gt;0,"Los datos o el total del ID se contradicen. ","")&amp;IF(AND(P416&lt;&gt;"DIMENSIONES",P416&lt;&gt;"DIRECTA",P416&lt;&gt;"SIN LÍNEAS",P416&lt;&gt;"CABECERA"),"Tipo de fila no reconocido. ","")&amp;IF(AND(OR(P416="SIN LÍNEAS",P416="CABECERA"),COUNTA(G416:J416)&gt;0),"La fila dice que no mide, pero contiene medidas. ","")&amp;IF(AND(OR(P416="DIRECTA",P416="DIMENSIONES"),U416=0),"Línea incompleta o con medidas no numéricas. ","")&amp;IF(P416="SIN LÍNEAS","No constan medidas de esta fila. ","")&amp;IF(Y416&gt;0,"Parece m³: tres dimensiones bajo m². ","")&amp;IF(AND(AB416&lt;&gt;"",SUMPRODUCT(--('LÉEME'!$B$65:$B$86=AC416))&lt;&gt;1),"Revisamos el significado de la unidad. ","")&amp;IF(Z416&gt;0,"Más precisión que los decimales indicados: cotejamos el original. ","")&amp;IF(AA416&gt;0,"Revisamos dimensiones, cantidad directa, ceros o deducción. ","")))</f>
      </c>
      <c r="O416" s="0" t="n">
        <f>IF(ISNUMBER(K416),IF(AND(K416&gt;0,K416=INT(K416),K416&lt;=999999),K416,0),0)</f>
        <v>0</v>
      </c>
      <c r="P416" s="0">
        <f>IF(COUNTA(B416:L416)=0,"",IF(L416="",IF(COUNTA(G416:J416)&gt;0,"DIMENSIONES","SIN LÍNEAS"),UPPER(TRIM(L416))))</f>
      </c>
      <c r="Q416" s="0">
        <f>IF(AND(O416&gt;0,LEN(TRIM(B416&amp;""))&gt;0,LEN(TRIM(C416&amp;""))&gt;0,LEN(TRIM(E416&amp;""))&gt;0,ISNUMBER(F416)),O416,"")</f>
      </c>
      <c r="R416" s="0" t="n">
        <f>IF(O416=0,0,IF(COUNTIFS($Q$13:$Q$512,O416)&gt;0,MATCH(O416,$Q$13:$Q$512,0),0))</f>
        <v>0</v>
      </c>
      <c r="S416" s="0">
        <f>IF(AB416="","",IF(SUMPRODUCT(--('LÉEME'!$B$65:$B$86=AC416))=1,INDEX('LÉEME'!$C$65:$C$86,MATCH(AC416,'LÉEME'!$B$65:$B$86,0)),UPPER(TRIM(AB416))))</f>
      </c>
      <c r="T416" s="0" t="n">
        <f>IF(R416=0,0,IF(OR(AND(LEN(TRIM(B416&amp;""))&gt;0,UPPER(TRIM(B416&amp;""))&lt;&gt;UPPER(TRIM(INDEX($B$13:$B$512,R416)&amp;""))),AND(LEN(TRIM(C416&amp;""))&gt;0,UPPER(TRIM(C416&amp;""))&lt;&gt;UPPER(TRIM(INDEX($C$13:$C$512,R416)&amp;""))),AND(LEN(TRIM(E416&amp;""))&gt;0,S416&lt;&gt;INDEX($S$13:$S$512,R416)),AND(F416&lt;&gt;"",NOT(ISNUMBER(F416)))),1,IF(ISNUMBER(F416),IF(ABS(F416-INDEX($F$13:$F$512,R416))&gt;0.00000001,1,0),0)))</f>
        <v>0</v>
      </c>
      <c r="U416" s="0" t="n">
        <f>IF(P416="DIRECTA",IF(AND(ISNUMBER(G416),COUNTA(H416:J416)=0),1,0),IF(P416="DIMENSIONES",IF(AND(COUNT(G416:J416)&gt;0,COUNTA(G416:J416)=COUNT(G416:J416)),1,0),0))</f>
        <v>0</v>
      </c>
      <c r="V416" s="0" t="n">
        <f>IF(O416=0,0,IF(COUNTIFS($O$13:O416,O416)=1,1,0))</f>
        <v>0</v>
      </c>
      <c r="W416" s="0">
        <f>IF(V416=1,COUNTIFS($V$13:V416,1),"")</f>
      </c>
      <c r="X416" s="0">
        <f>IF(COUNTA(B416:L416)=0,"",IF(OR(NOT(IF(ISNUMBER($E$6),AND($E$6&gt;=0,$E$6&lt;=6,$E$6=INT($E$6)),FALSE)),O416=0,R416=0,T416&gt;0,AND(P416&lt;&gt;"DIMENSIONES",P416&lt;&gt;"DIRECTA",P416&lt;&gt;"SIN LÍNEAS",P416&lt;&gt;"CABECERA"),AND(OR(P416="DIRECTA",P416="DIMENSIONES"),U416=0),AND(OR(P416="SIN LÍNEAS",P416="CABECERA"),COUNTA(G416:J416)&gt;0)),2,IF(OR(P416="SIN LÍNEAS",Y416&gt;0,Z416&gt;0,AA416&gt;0,SUMPRODUCT(--('LÉEME'!$B$65:$B$86=AC416))&lt;&gt;1),1,0)))</f>
      </c>
      <c r="Y416" s="0" t="n">
        <f>IF(AND(P416="DIMENSIONES",S416="m²",COUNT(H416:J416)=3),1,0)</f>
        <v>0</v>
      </c>
      <c r="Z416" s="0" t="n">
        <f>IF(IF(ISNUMBER($E$6),AND($E$6&gt;=0,$E$6&lt;=6,$E$6=INT($E$6)),FALSE),IF(SUM(IF(ISNUMBER(F416),IF(ABS(F416-ROUND(F416,$E$6))&gt;0.00000001,1,0),0),IF(ISNUMBER(G416),IF(ABS(G416-ROUND(G416,$E$6))&gt;0.00000001,1,0),0),IF(ISNUMBER(H416),IF(ABS(H416-ROUND(H416,$E$6))&gt;0.00000001,1,0),0),IF(ISNUMBER(I416),IF(ABS(I416-ROUND(I416,$E$6))&gt;0.00000001,1,0),0),IF(ISNUMBER(J416),IF(ABS(J416-ROUND(J416,$E$6))&gt;0.00000001,1,0),0),IF(ISNUMBER(M416),IF(ABS(M416-ROUND(M416,$E$6))&gt;0.00000001,1,0),0))&gt;0,1,0),0)</f>
        <v>0</v>
      </c>
      <c r="AA416" s="0" t="n">
        <f>IF(COUNTA(B416:L416)=0,0,IF(OR(AND(ISNUMBER(F416),F416&lt;0),AND(U416=1,OR(SUM(IF(ISNUMBER(G416),IF(G416=0,1,0),0),IF(ISNUMBER(H416),IF(H416=0,1,0),0),IF(ISNUMBER(I416),IF(I416=0,1,0),0),IF(ISNUMBER(J416),IF(J416=0,1,0),0))&gt;0,COUNTIFS(G416:J416,"&lt;0")&gt;0)),AND(P416="DIMENSIONES",U416=1,OR(AND(S416="m",COUNT(H416:J416)&lt;&gt;1),AND(S416="m²",COUNT(H416:J416)&lt;&gt;2,Y416=0),AND(S416="m³",COUNT(H416:J416)&lt;&gt;3),AND(S416="ud",COUNT(H416:J416)&gt;0))),AND(P416="DIRECTA",OR(S416="m",S416="m²",S416="m³"))),1,0))</f>
        <v>0</v>
      </c>
      <c r="AB416" s="0">
        <f>IF(LEN(TRIM(E416&amp;""))&gt;0,E416,IF(R416&gt;0,INDEX($E$13:$E$512,R416),""))</f>
      </c>
      <c r="AC416" s="0">
        <f>UPPER(SUBSTITUTE(SUBSTITUTE(SUBSTITUTE(SUBSTITUTE(SUBSTITUTE(TRIM(AB416),"²","2"),"³","3"),"^",""),".","")," ",""))</f>
      </c>
    </row>
    <row r="417" ht="35" customHeight="1">
      <c r="B417" s="35"/>
      <c r="C417" s="35"/>
      <c r="D417" s="37"/>
      <c r="E417" s="35"/>
      <c r="F417" s="38"/>
      <c r="G417" s="38"/>
      <c r="H417" s="38"/>
      <c r="I417" s="38"/>
      <c r="J417" s="38"/>
      <c r="K417" s="35"/>
      <c r="L417" s="35"/>
      <c r="M417" s="39">
        <f>IF(U417&lt;&gt;1,"",IF(P417="DIRECTA",G417,IF(ISNUMBER(G417),G417,1)*IF(ISNUMBER(H417),H417,1)*IF(ISNUMBER(I417),I417,1)*IF(ISNUMBER(J417),J417,1)))</f>
      </c>
      <c r="N417" s="30">
        <f>IF(COUNTA(B417:L417)=0,"",IF(X417=0,IF(P417="CABECERA","VERDE · Fila descriptiva; la suma usa las líneas del ID","VERDE · Datos numéricos interpretables"),IF(X417=2,"ROJO · ","ÁMBAR · ")&amp;IF(NOT(IF(ISNUMBER($E$6),AND($E$6&gt;=0,$E$6&lt;=6,$E$6=INT($E$6)),FALSE)),"Indicamos entre 0 y 6 decimales en E6. ","")&amp;IF(O417=0,"Falta un ID numérico. ","")&amp;IF(R417=0,"Faltan capítulo, código, unidad o total numérico del ID. ","")&amp;IF(T417&gt;0,"Los datos o el total del ID se contradicen. ","")&amp;IF(AND(P417&lt;&gt;"DIMENSIONES",P417&lt;&gt;"DIRECTA",P417&lt;&gt;"SIN LÍNEAS",P417&lt;&gt;"CABECERA"),"Tipo de fila no reconocido. ","")&amp;IF(AND(OR(P417="SIN LÍNEAS",P417="CABECERA"),COUNTA(G417:J417)&gt;0),"La fila dice que no mide, pero contiene medidas. ","")&amp;IF(AND(OR(P417="DIRECTA",P417="DIMENSIONES"),U417=0),"Línea incompleta o con medidas no numéricas. ","")&amp;IF(P417="SIN LÍNEAS","No constan medidas de esta fila. ","")&amp;IF(Y417&gt;0,"Parece m³: tres dimensiones bajo m². ","")&amp;IF(AND(AB417&lt;&gt;"",SUMPRODUCT(--('LÉEME'!$B$65:$B$86=AC417))&lt;&gt;1),"Revisamos el significado de la unidad. ","")&amp;IF(Z417&gt;0,"Más precisión que los decimales indicados: cotejamos el original. ","")&amp;IF(AA417&gt;0,"Revisamos dimensiones, cantidad directa, ceros o deducción. ","")))</f>
      </c>
      <c r="O417" s="0" t="n">
        <f>IF(ISNUMBER(K417),IF(AND(K417&gt;0,K417=INT(K417),K417&lt;=999999),K417,0),0)</f>
        <v>0</v>
      </c>
      <c r="P417" s="0">
        <f>IF(COUNTA(B417:L417)=0,"",IF(L417="",IF(COUNTA(G417:J417)&gt;0,"DIMENSIONES","SIN LÍNEAS"),UPPER(TRIM(L417))))</f>
      </c>
      <c r="Q417" s="0">
        <f>IF(AND(O417&gt;0,LEN(TRIM(B417&amp;""))&gt;0,LEN(TRIM(C417&amp;""))&gt;0,LEN(TRIM(E417&amp;""))&gt;0,ISNUMBER(F417)),O417,"")</f>
      </c>
      <c r="R417" s="0" t="n">
        <f>IF(O417=0,0,IF(COUNTIFS($Q$13:$Q$512,O417)&gt;0,MATCH(O417,$Q$13:$Q$512,0),0))</f>
        <v>0</v>
      </c>
      <c r="S417" s="0">
        <f>IF(AB417="","",IF(SUMPRODUCT(--('LÉEME'!$B$65:$B$86=AC417))=1,INDEX('LÉEME'!$C$65:$C$86,MATCH(AC417,'LÉEME'!$B$65:$B$86,0)),UPPER(TRIM(AB417))))</f>
      </c>
      <c r="T417" s="0" t="n">
        <f>IF(R417=0,0,IF(OR(AND(LEN(TRIM(B417&amp;""))&gt;0,UPPER(TRIM(B417&amp;""))&lt;&gt;UPPER(TRIM(INDEX($B$13:$B$512,R417)&amp;""))),AND(LEN(TRIM(C417&amp;""))&gt;0,UPPER(TRIM(C417&amp;""))&lt;&gt;UPPER(TRIM(INDEX($C$13:$C$512,R417)&amp;""))),AND(LEN(TRIM(E417&amp;""))&gt;0,S417&lt;&gt;INDEX($S$13:$S$512,R417)),AND(F417&lt;&gt;"",NOT(ISNUMBER(F417)))),1,IF(ISNUMBER(F417),IF(ABS(F417-INDEX($F$13:$F$512,R417))&gt;0.00000001,1,0),0)))</f>
        <v>0</v>
      </c>
      <c r="U417" s="0" t="n">
        <f>IF(P417="DIRECTA",IF(AND(ISNUMBER(G417),COUNTA(H417:J417)=0),1,0),IF(P417="DIMENSIONES",IF(AND(COUNT(G417:J417)&gt;0,COUNTA(G417:J417)=COUNT(G417:J417)),1,0),0))</f>
        <v>0</v>
      </c>
      <c r="V417" s="0" t="n">
        <f>IF(O417=0,0,IF(COUNTIFS($O$13:O417,O417)=1,1,0))</f>
        <v>0</v>
      </c>
      <c r="W417" s="0">
        <f>IF(V417=1,COUNTIFS($V$13:V417,1),"")</f>
      </c>
      <c r="X417" s="0">
        <f>IF(COUNTA(B417:L417)=0,"",IF(OR(NOT(IF(ISNUMBER($E$6),AND($E$6&gt;=0,$E$6&lt;=6,$E$6=INT($E$6)),FALSE)),O417=0,R417=0,T417&gt;0,AND(P417&lt;&gt;"DIMENSIONES",P417&lt;&gt;"DIRECTA",P417&lt;&gt;"SIN LÍNEAS",P417&lt;&gt;"CABECERA"),AND(OR(P417="DIRECTA",P417="DIMENSIONES"),U417=0),AND(OR(P417="SIN LÍNEAS",P417="CABECERA"),COUNTA(G417:J417)&gt;0)),2,IF(OR(P417="SIN LÍNEAS",Y417&gt;0,Z417&gt;0,AA417&gt;0,SUMPRODUCT(--('LÉEME'!$B$65:$B$86=AC417))&lt;&gt;1),1,0)))</f>
      </c>
      <c r="Y417" s="0" t="n">
        <f>IF(AND(P417="DIMENSIONES",S417="m²",COUNT(H417:J417)=3),1,0)</f>
        <v>0</v>
      </c>
      <c r="Z417" s="0" t="n">
        <f>IF(IF(ISNUMBER($E$6),AND($E$6&gt;=0,$E$6&lt;=6,$E$6=INT($E$6)),FALSE),IF(SUM(IF(ISNUMBER(F417),IF(ABS(F417-ROUND(F417,$E$6))&gt;0.00000001,1,0),0),IF(ISNUMBER(G417),IF(ABS(G417-ROUND(G417,$E$6))&gt;0.00000001,1,0),0),IF(ISNUMBER(H417),IF(ABS(H417-ROUND(H417,$E$6))&gt;0.00000001,1,0),0),IF(ISNUMBER(I417),IF(ABS(I417-ROUND(I417,$E$6))&gt;0.00000001,1,0),0),IF(ISNUMBER(J417),IF(ABS(J417-ROUND(J417,$E$6))&gt;0.00000001,1,0),0),IF(ISNUMBER(M417),IF(ABS(M417-ROUND(M417,$E$6))&gt;0.00000001,1,0),0))&gt;0,1,0),0)</f>
        <v>0</v>
      </c>
      <c r="AA417" s="0" t="n">
        <f>IF(COUNTA(B417:L417)=0,0,IF(OR(AND(ISNUMBER(F417),F417&lt;0),AND(U417=1,OR(SUM(IF(ISNUMBER(G417),IF(G417=0,1,0),0),IF(ISNUMBER(H417),IF(H417=0,1,0),0),IF(ISNUMBER(I417),IF(I417=0,1,0),0),IF(ISNUMBER(J417),IF(J417=0,1,0),0))&gt;0,COUNTIFS(G417:J417,"&lt;0")&gt;0)),AND(P417="DIMENSIONES",U417=1,OR(AND(S417="m",COUNT(H417:J417)&lt;&gt;1),AND(S417="m²",COUNT(H417:J417)&lt;&gt;2,Y417=0),AND(S417="m³",COUNT(H417:J417)&lt;&gt;3),AND(S417="ud",COUNT(H417:J417)&gt;0))),AND(P417="DIRECTA",OR(S417="m",S417="m²",S417="m³"))),1,0))</f>
        <v>0</v>
      </c>
      <c r="AB417" s="0">
        <f>IF(LEN(TRIM(E417&amp;""))&gt;0,E417,IF(R417&gt;0,INDEX($E$13:$E$512,R417),""))</f>
      </c>
      <c r="AC417" s="0">
        <f>UPPER(SUBSTITUTE(SUBSTITUTE(SUBSTITUTE(SUBSTITUTE(SUBSTITUTE(TRIM(AB417),"²","2"),"³","3"),"^",""),".","")," ",""))</f>
      </c>
    </row>
    <row r="418" ht="35" customHeight="1">
      <c r="B418" s="35"/>
      <c r="C418" s="35"/>
      <c r="D418" s="37"/>
      <c r="E418" s="35"/>
      <c r="F418" s="38"/>
      <c r="G418" s="38"/>
      <c r="H418" s="38"/>
      <c r="I418" s="38"/>
      <c r="J418" s="38"/>
      <c r="K418" s="35"/>
      <c r="L418" s="35"/>
      <c r="M418" s="39">
        <f>IF(U418&lt;&gt;1,"",IF(P418="DIRECTA",G418,IF(ISNUMBER(G418),G418,1)*IF(ISNUMBER(H418),H418,1)*IF(ISNUMBER(I418),I418,1)*IF(ISNUMBER(J418),J418,1)))</f>
      </c>
      <c r="N418" s="30">
        <f>IF(COUNTA(B418:L418)=0,"",IF(X418=0,IF(P418="CABECERA","VERDE · Fila descriptiva; la suma usa las líneas del ID","VERDE · Datos numéricos interpretables"),IF(X418=2,"ROJO · ","ÁMBAR · ")&amp;IF(NOT(IF(ISNUMBER($E$6),AND($E$6&gt;=0,$E$6&lt;=6,$E$6=INT($E$6)),FALSE)),"Indicamos entre 0 y 6 decimales en E6. ","")&amp;IF(O418=0,"Falta un ID numérico. ","")&amp;IF(R418=0,"Faltan capítulo, código, unidad o total numérico del ID. ","")&amp;IF(T418&gt;0,"Los datos o el total del ID se contradicen. ","")&amp;IF(AND(P418&lt;&gt;"DIMENSIONES",P418&lt;&gt;"DIRECTA",P418&lt;&gt;"SIN LÍNEAS",P418&lt;&gt;"CABECERA"),"Tipo de fila no reconocido. ","")&amp;IF(AND(OR(P418="SIN LÍNEAS",P418="CABECERA"),COUNTA(G418:J418)&gt;0),"La fila dice que no mide, pero contiene medidas. ","")&amp;IF(AND(OR(P418="DIRECTA",P418="DIMENSIONES"),U418=0),"Línea incompleta o con medidas no numéricas. ","")&amp;IF(P418="SIN LÍNEAS","No constan medidas de esta fila. ","")&amp;IF(Y418&gt;0,"Parece m³: tres dimensiones bajo m². ","")&amp;IF(AND(AB418&lt;&gt;"",SUMPRODUCT(--('LÉEME'!$B$65:$B$86=AC418))&lt;&gt;1),"Revisamos el significado de la unidad. ","")&amp;IF(Z418&gt;0,"Más precisión que los decimales indicados: cotejamos el original. ","")&amp;IF(AA418&gt;0,"Revisamos dimensiones, cantidad directa, ceros o deducción. ","")))</f>
      </c>
      <c r="O418" s="0" t="n">
        <f>IF(ISNUMBER(K418),IF(AND(K418&gt;0,K418=INT(K418),K418&lt;=999999),K418,0),0)</f>
        <v>0</v>
      </c>
      <c r="P418" s="0">
        <f>IF(COUNTA(B418:L418)=0,"",IF(L418="",IF(COUNTA(G418:J418)&gt;0,"DIMENSIONES","SIN LÍNEAS"),UPPER(TRIM(L418))))</f>
      </c>
      <c r="Q418" s="0">
        <f>IF(AND(O418&gt;0,LEN(TRIM(B418&amp;""))&gt;0,LEN(TRIM(C418&amp;""))&gt;0,LEN(TRIM(E418&amp;""))&gt;0,ISNUMBER(F418)),O418,"")</f>
      </c>
      <c r="R418" s="0" t="n">
        <f>IF(O418=0,0,IF(COUNTIFS($Q$13:$Q$512,O418)&gt;0,MATCH(O418,$Q$13:$Q$512,0),0))</f>
        <v>0</v>
      </c>
      <c r="S418" s="0">
        <f>IF(AB418="","",IF(SUMPRODUCT(--('LÉEME'!$B$65:$B$86=AC418))=1,INDEX('LÉEME'!$C$65:$C$86,MATCH(AC418,'LÉEME'!$B$65:$B$86,0)),UPPER(TRIM(AB418))))</f>
      </c>
      <c r="T418" s="0" t="n">
        <f>IF(R418=0,0,IF(OR(AND(LEN(TRIM(B418&amp;""))&gt;0,UPPER(TRIM(B418&amp;""))&lt;&gt;UPPER(TRIM(INDEX($B$13:$B$512,R418)&amp;""))),AND(LEN(TRIM(C418&amp;""))&gt;0,UPPER(TRIM(C418&amp;""))&lt;&gt;UPPER(TRIM(INDEX($C$13:$C$512,R418)&amp;""))),AND(LEN(TRIM(E418&amp;""))&gt;0,S418&lt;&gt;INDEX($S$13:$S$512,R418)),AND(F418&lt;&gt;"",NOT(ISNUMBER(F418)))),1,IF(ISNUMBER(F418),IF(ABS(F418-INDEX($F$13:$F$512,R418))&gt;0.00000001,1,0),0)))</f>
        <v>0</v>
      </c>
      <c r="U418" s="0" t="n">
        <f>IF(P418="DIRECTA",IF(AND(ISNUMBER(G418),COUNTA(H418:J418)=0),1,0),IF(P418="DIMENSIONES",IF(AND(COUNT(G418:J418)&gt;0,COUNTA(G418:J418)=COUNT(G418:J418)),1,0),0))</f>
        <v>0</v>
      </c>
      <c r="V418" s="0" t="n">
        <f>IF(O418=0,0,IF(COUNTIFS($O$13:O418,O418)=1,1,0))</f>
        <v>0</v>
      </c>
      <c r="W418" s="0">
        <f>IF(V418=1,COUNTIFS($V$13:V418,1),"")</f>
      </c>
      <c r="X418" s="0">
        <f>IF(COUNTA(B418:L418)=0,"",IF(OR(NOT(IF(ISNUMBER($E$6),AND($E$6&gt;=0,$E$6&lt;=6,$E$6=INT($E$6)),FALSE)),O418=0,R418=0,T418&gt;0,AND(P418&lt;&gt;"DIMENSIONES",P418&lt;&gt;"DIRECTA",P418&lt;&gt;"SIN LÍNEAS",P418&lt;&gt;"CABECERA"),AND(OR(P418="DIRECTA",P418="DIMENSIONES"),U418=0),AND(OR(P418="SIN LÍNEAS",P418="CABECERA"),COUNTA(G418:J418)&gt;0)),2,IF(OR(P418="SIN LÍNEAS",Y418&gt;0,Z418&gt;0,AA418&gt;0,SUMPRODUCT(--('LÉEME'!$B$65:$B$86=AC418))&lt;&gt;1),1,0)))</f>
      </c>
      <c r="Y418" s="0" t="n">
        <f>IF(AND(P418="DIMENSIONES",S418="m²",COUNT(H418:J418)=3),1,0)</f>
        <v>0</v>
      </c>
      <c r="Z418" s="0" t="n">
        <f>IF(IF(ISNUMBER($E$6),AND($E$6&gt;=0,$E$6&lt;=6,$E$6=INT($E$6)),FALSE),IF(SUM(IF(ISNUMBER(F418),IF(ABS(F418-ROUND(F418,$E$6))&gt;0.00000001,1,0),0),IF(ISNUMBER(G418),IF(ABS(G418-ROUND(G418,$E$6))&gt;0.00000001,1,0),0),IF(ISNUMBER(H418),IF(ABS(H418-ROUND(H418,$E$6))&gt;0.00000001,1,0),0),IF(ISNUMBER(I418),IF(ABS(I418-ROUND(I418,$E$6))&gt;0.00000001,1,0),0),IF(ISNUMBER(J418),IF(ABS(J418-ROUND(J418,$E$6))&gt;0.00000001,1,0),0),IF(ISNUMBER(M418),IF(ABS(M418-ROUND(M418,$E$6))&gt;0.00000001,1,0),0))&gt;0,1,0),0)</f>
        <v>0</v>
      </c>
      <c r="AA418" s="0" t="n">
        <f>IF(COUNTA(B418:L418)=0,0,IF(OR(AND(ISNUMBER(F418),F418&lt;0),AND(U418=1,OR(SUM(IF(ISNUMBER(G418),IF(G418=0,1,0),0),IF(ISNUMBER(H418),IF(H418=0,1,0),0),IF(ISNUMBER(I418),IF(I418=0,1,0),0),IF(ISNUMBER(J418),IF(J418=0,1,0),0))&gt;0,COUNTIFS(G418:J418,"&lt;0")&gt;0)),AND(P418="DIMENSIONES",U418=1,OR(AND(S418="m",COUNT(H418:J418)&lt;&gt;1),AND(S418="m²",COUNT(H418:J418)&lt;&gt;2,Y418=0),AND(S418="m³",COUNT(H418:J418)&lt;&gt;3),AND(S418="ud",COUNT(H418:J418)&gt;0))),AND(P418="DIRECTA",OR(S418="m",S418="m²",S418="m³"))),1,0))</f>
        <v>0</v>
      </c>
      <c r="AB418" s="0">
        <f>IF(LEN(TRIM(E418&amp;""))&gt;0,E418,IF(R418&gt;0,INDEX($E$13:$E$512,R418),""))</f>
      </c>
      <c r="AC418" s="0">
        <f>UPPER(SUBSTITUTE(SUBSTITUTE(SUBSTITUTE(SUBSTITUTE(SUBSTITUTE(TRIM(AB418),"²","2"),"³","3"),"^",""),".","")," ",""))</f>
      </c>
    </row>
    <row r="419" ht="35" customHeight="1">
      <c r="B419" s="35"/>
      <c r="C419" s="35"/>
      <c r="D419" s="37"/>
      <c r="E419" s="35"/>
      <c r="F419" s="38"/>
      <c r="G419" s="38"/>
      <c r="H419" s="38"/>
      <c r="I419" s="38"/>
      <c r="J419" s="38"/>
      <c r="K419" s="35"/>
      <c r="L419" s="35"/>
      <c r="M419" s="39">
        <f>IF(U419&lt;&gt;1,"",IF(P419="DIRECTA",G419,IF(ISNUMBER(G419),G419,1)*IF(ISNUMBER(H419),H419,1)*IF(ISNUMBER(I419),I419,1)*IF(ISNUMBER(J419),J419,1)))</f>
      </c>
      <c r="N419" s="30">
        <f>IF(COUNTA(B419:L419)=0,"",IF(X419=0,IF(P419="CABECERA","VERDE · Fila descriptiva; la suma usa las líneas del ID","VERDE · Datos numéricos interpretables"),IF(X419=2,"ROJO · ","ÁMBAR · ")&amp;IF(NOT(IF(ISNUMBER($E$6),AND($E$6&gt;=0,$E$6&lt;=6,$E$6=INT($E$6)),FALSE)),"Indicamos entre 0 y 6 decimales en E6. ","")&amp;IF(O419=0,"Falta un ID numérico. ","")&amp;IF(R419=0,"Faltan capítulo, código, unidad o total numérico del ID. ","")&amp;IF(T419&gt;0,"Los datos o el total del ID se contradicen. ","")&amp;IF(AND(P419&lt;&gt;"DIMENSIONES",P419&lt;&gt;"DIRECTA",P419&lt;&gt;"SIN LÍNEAS",P419&lt;&gt;"CABECERA"),"Tipo de fila no reconocido. ","")&amp;IF(AND(OR(P419="SIN LÍNEAS",P419="CABECERA"),COUNTA(G419:J419)&gt;0),"La fila dice que no mide, pero contiene medidas. ","")&amp;IF(AND(OR(P419="DIRECTA",P419="DIMENSIONES"),U419=0),"Línea incompleta o con medidas no numéricas. ","")&amp;IF(P419="SIN LÍNEAS","No constan medidas de esta fila. ","")&amp;IF(Y419&gt;0,"Parece m³: tres dimensiones bajo m². ","")&amp;IF(AND(AB419&lt;&gt;"",SUMPRODUCT(--('LÉEME'!$B$65:$B$86=AC419))&lt;&gt;1),"Revisamos el significado de la unidad. ","")&amp;IF(Z419&gt;0,"Más precisión que los decimales indicados: cotejamos el original. ","")&amp;IF(AA419&gt;0,"Revisamos dimensiones, cantidad directa, ceros o deducción. ","")))</f>
      </c>
      <c r="O419" s="0" t="n">
        <f>IF(ISNUMBER(K419),IF(AND(K419&gt;0,K419=INT(K419),K419&lt;=999999),K419,0),0)</f>
        <v>0</v>
      </c>
      <c r="P419" s="0">
        <f>IF(COUNTA(B419:L419)=0,"",IF(L419="",IF(COUNTA(G419:J419)&gt;0,"DIMENSIONES","SIN LÍNEAS"),UPPER(TRIM(L419))))</f>
      </c>
      <c r="Q419" s="0">
        <f>IF(AND(O419&gt;0,LEN(TRIM(B419&amp;""))&gt;0,LEN(TRIM(C419&amp;""))&gt;0,LEN(TRIM(E419&amp;""))&gt;0,ISNUMBER(F419)),O419,"")</f>
      </c>
      <c r="R419" s="0" t="n">
        <f>IF(O419=0,0,IF(COUNTIFS($Q$13:$Q$512,O419)&gt;0,MATCH(O419,$Q$13:$Q$512,0),0))</f>
        <v>0</v>
      </c>
      <c r="S419" s="0">
        <f>IF(AB419="","",IF(SUMPRODUCT(--('LÉEME'!$B$65:$B$86=AC419))=1,INDEX('LÉEME'!$C$65:$C$86,MATCH(AC419,'LÉEME'!$B$65:$B$86,0)),UPPER(TRIM(AB419))))</f>
      </c>
      <c r="T419" s="0" t="n">
        <f>IF(R419=0,0,IF(OR(AND(LEN(TRIM(B419&amp;""))&gt;0,UPPER(TRIM(B419&amp;""))&lt;&gt;UPPER(TRIM(INDEX($B$13:$B$512,R419)&amp;""))),AND(LEN(TRIM(C419&amp;""))&gt;0,UPPER(TRIM(C419&amp;""))&lt;&gt;UPPER(TRIM(INDEX($C$13:$C$512,R419)&amp;""))),AND(LEN(TRIM(E419&amp;""))&gt;0,S419&lt;&gt;INDEX($S$13:$S$512,R419)),AND(F419&lt;&gt;"",NOT(ISNUMBER(F419)))),1,IF(ISNUMBER(F419),IF(ABS(F419-INDEX($F$13:$F$512,R419))&gt;0.00000001,1,0),0)))</f>
        <v>0</v>
      </c>
      <c r="U419" s="0" t="n">
        <f>IF(P419="DIRECTA",IF(AND(ISNUMBER(G419),COUNTA(H419:J419)=0),1,0),IF(P419="DIMENSIONES",IF(AND(COUNT(G419:J419)&gt;0,COUNTA(G419:J419)=COUNT(G419:J419)),1,0),0))</f>
        <v>0</v>
      </c>
      <c r="V419" s="0" t="n">
        <f>IF(O419=0,0,IF(COUNTIFS($O$13:O419,O419)=1,1,0))</f>
        <v>0</v>
      </c>
      <c r="W419" s="0">
        <f>IF(V419=1,COUNTIFS($V$13:V419,1),"")</f>
      </c>
      <c r="X419" s="0">
        <f>IF(COUNTA(B419:L419)=0,"",IF(OR(NOT(IF(ISNUMBER($E$6),AND($E$6&gt;=0,$E$6&lt;=6,$E$6=INT($E$6)),FALSE)),O419=0,R419=0,T419&gt;0,AND(P419&lt;&gt;"DIMENSIONES",P419&lt;&gt;"DIRECTA",P419&lt;&gt;"SIN LÍNEAS",P419&lt;&gt;"CABECERA"),AND(OR(P419="DIRECTA",P419="DIMENSIONES"),U419=0),AND(OR(P419="SIN LÍNEAS",P419="CABECERA"),COUNTA(G419:J419)&gt;0)),2,IF(OR(P419="SIN LÍNEAS",Y419&gt;0,Z419&gt;0,AA419&gt;0,SUMPRODUCT(--('LÉEME'!$B$65:$B$86=AC419))&lt;&gt;1),1,0)))</f>
      </c>
      <c r="Y419" s="0" t="n">
        <f>IF(AND(P419="DIMENSIONES",S419="m²",COUNT(H419:J419)=3),1,0)</f>
        <v>0</v>
      </c>
      <c r="Z419" s="0" t="n">
        <f>IF(IF(ISNUMBER($E$6),AND($E$6&gt;=0,$E$6&lt;=6,$E$6=INT($E$6)),FALSE),IF(SUM(IF(ISNUMBER(F419),IF(ABS(F419-ROUND(F419,$E$6))&gt;0.00000001,1,0),0),IF(ISNUMBER(G419),IF(ABS(G419-ROUND(G419,$E$6))&gt;0.00000001,1,0),0),IF(ISNUMBER(H419),IF(ABS(H419-ROUND(H419,$E$6))&gt;0.00000001,1,0),0),IF(ISNUMBER(I419),IF(ABS(I419-ROUND(I419,$E$6))&gt;0.00000001,1,0),0),IF(ISNUMBER(J419),IF(ABS(J419-ROUND(J419,$E$6))&gt;0.00000001,1,0),0),IF(ISNUMBER(M419),IF(ABS(M419-ROUND(M419,$E$6))&gt;0.00000001,1,0),0))&gt;0,1,0),0)</f>
        <v>0</v>
      </c>
      <c r="AA419" s="0" t="n">
        <f>IF(COUNTA(B419:L419)=0,0,IF(OR(AND(ISNUMBER(F419),F419&lt;0),AND(U419=1,OR(SUM(IF(ISNUMBER(G419),IF(G419=0,1,0),0),IF(ISNUMBER(H419),IF(H419=0,1,0),0),IF(ISNUMBER(I419),IF(I419=0,1,0),0),IF(ISNUMBER(J419),IF(J419=0,1,0),0))&gt;0,COUNTIFS(G419:J419,"&lt;0")&gt;0)),AND(P419="DIMENSIONES",U419=1,OR(AND(S419="m",COUNT(H419:J419)&lt;&gt;1),AND(S419="m²",COUNT(H419:J419)&lt;&gt;2,Y419=0),AND(S419="m³",COUNT(H419:J419)&lt;&gt;3),AND(S419="ud",COUNT(H419:J419)&gt;0))),AND(P419="DIRECTA",OR(S419="m",S419="m²",S419="m³"))),1,0))</f>
        <v>0</v>
      </c>
      <c r="AB419" s="0">
        <f>IF(LEN(TRIM(E419&amp;""))&gt;0,E419,IF(R419&gt;0,INDEX($E$13:$E$512,R419),""))</f>
      </c>
      <c r="AC419" s="0">
        <f>UPPER(SUBSTITUTE(SUBSTITUTE(SUBSTITUTE(SUBSTITUTE(SUBSTITUTE(TRIM(AB419),"²","2"),"³","3"),"^",""),".","")," ",""))</f>
      </c>
    </row>
    <row r="420" ht="35" customHeight="1">
      <c r="B420" s="35"/>
      <c r="C420" s="35"/>
      <c r="D420" s="37"/>
      <c r="E420" s="35"/>
      <c r="F420" s="38"/>
      <c r="G420" s="38"/>
      <c r="H420" s="38"/>
      <c r="I420" s="38"/>
      <c r="J420" s="38"/>
      <c r="K420" s="35"/>
      <c r="L420" s="35"/>
      <c r="M420" s="39">
        <f>IF(U420&lt;&gt;1,"",IF(P420="DIRECTA",G420,IF(ISNUMBER(G420),G420,1)*IF(ISNUMBER(H420),H420,1)*IF(ISNUMBER(I420),I420,1)*IF(ISNUMBER(J420),J420,1)))</f>
      </c>
      <c r="N420" s="30">
        <f>IF(COUNTA(B420:L420)=0,"",IF(X420=0,IF(P420="CABECERA","VERDE · Fila descriptiva; la suma usa las líneas del ID","VERDE · Datos numéricos interpretables"),IF(X420=2,"ROJO · ","ÁMBAR · ")&amp;IF(NOT(IF(ISNUMBER($E$6),AND($E$6&gt;=0,$E$6&lt;=6,$E$6=INT($E$6)),FALSE)),"Indicamos entre 0 y 6 decimales en E6. ","")&amp;IF(O420=0,"Falta un ID numérico. ","")&amp;IF(R420=0,"Faltan capítulo, código, unidad o total numérico del ID. ","")&amp;IF(T420&gt;0,"Los datos o el total del ID se contradicen. ","")&amp;IF(AND(P420&lt;&gt;"DIMENSIONES",P420&lt;&gt;"DIRECTA",P420&lt;&gt;"SIN LÍNEAS",P420&lt;&gt;"CABECERA"),"Tipo de fila no reconocido. ","")&amp;IF(AND(OR(P420="SIN LÍNEAS",P420="CABECERA"),COUNTA(G420:J420)&gt;0),"La fila dice que no mide, pero contiene medidas. ","")&amp;IF(AND(OR(P420="DIRECTA",P420="DIMENSIONES"),U420=0),"Línea incompleta o con medidas no numéricas. ","")&amp;IF(P420="SIN LÍNEAS","No constan medidas de esta fila. ","")&amp;IF(Y420&gt;0,"Parece m³: tres dimensiones bajo m². ","")&amp;IF(AND(AB420&lt;&gt;"",SUMPRODUCT(--('LÉEME'!$B$65:$B$86=AC420))&lt;&gt;1),"Revisamos el significado de la unidad. ","")&amp;IF(Z420&gt;0,"Más precisión que los decimales indicados: cotejamos el original. ","")&amp;IF(AA420&gt;0,"Revisamos dimensiones, cantidad directa, ceros o deducción. ","")))</f>
      </c>
      <c r="O420" s="0" t="n">
        <f>IF(ISNUMBER(K420),IF(AND(K420&gt;0,K420=INT(K420),K420&lt;=999999),K420,0),0)</f>
        <v>0</v>
      </c>
      <c r="P420" s="0">
        <f>IF(COUNTA(B420:L420)=0,"",IF(L420="",IF(COUNTA(G420:J420)&gt;0,"DIMENSIONES","SIN LÍNEAS"),UPPER(TRIM(L420))))</f>
      </c>
      <c r="Q420" s="0">
        <f>IF(AND(O420&gt;0,LEN(TRIM(B420&amp;""))&gt;0,LEN(TRIM(C420&amp;""))&gt;0,LEN(TRIM(E420&amp;""))&gt;0,ISNUMBER(F420)),O420,"")</f>
      </c>
      <c r="R420" s="0" t="n">
        <f>IF(O420=0,0,IF(COUNTIFS($Q$13:$Q$512,O420)&gt;0,MATCH(O420,$Q$13:$Q$512,0),0))</f>
        <v>0</v>
      </c>
      <c r="S420" s="0">
        <f>IF(AB420="","",IF(SUMPRODUCT(--('LÉEME'!$B$65:$B$86=AC420))=1,INDEX('LÉEME'!$C$65:$C$86,MATCH(AC420,'LÉEME'!$B$65:$B$86,0)),UPPER(TRIM(AB420))))</f>
      </c>
      <c r="T420" s="0" t="n">
        <f>IF(R420=0,0,IF(OR(AND(LEN(TRIM(B420&amp;""))&gt;0,UPPER(TRIM(B420&amp;""))&lt;&gt;UPPER(TRIM(INDEX($B$13:$B$512,R420)&amp;""))),AND(LEN(TRIM(C420&amp;""))&gt;0,UPPER(TRIM(C420&amp;""))&lt;&gt;UPPER(TRIM(INDEX($C$13:$C$512,R420)&amp;""))),AND(LEN(TRIM(E420&amp;""))&gt;0,S420&lt;&gt;INDEX($S$13:$S$512,R420)),AND(F420&lt;&gt;"",NOT(ISNUMBER(F420)))),1,IF(ISNUMBER(F420),IF(ABS(F420-INDEX($F$13:$F$512,R420))&gt;0.00000001,1,0),0)))</f>
        <v>0</v>
      </c>
      <c r="U420" s="0" t="n">
        <f>IF(P420="DIRECTA",IF(AND(ISNUMBER(G420),COUNTA(H420:J420)=0),1,0),IF(P420="DIMENSIONES",IF(AND(COUNT(G420:J420)&gt;0,COUNTA(G420:J420)=COUNT(G420:J420)),1,0),0))</f>
        <v>0</v>
      </c>
      <c r="V420" s="0" t="n">
        <f>IF(O420=0,0,IF(COUNTIFS($O$13:O420,O420)=1,1,0))</f>
        <v>0</v>
      </c>
      <c r="W420" s="0">
        <f>IF(V420=1,COUNTIFS($V$13:V420,1),"")</f>
      </c>
      <c r="X420" s="0">
        <f>IF(COUNTA(B420:L420)=0,"",IF(OR(NOT(IF(ISNUMBER($E$6),AND($E$6&gt;=0,$E$6&lt;=6,$E$6=INT($E$6)),FALSE)),O420=0,R420=0,T420&gt;0,AND(P420&lt;&gt;"DIMENSIONES",P420&lt;&gt;"DIRECTA",P420&lt;&gt;"SIN LÍNEAS",P420&lt;&gt;"CABECERA"),AND(OR(P420="DIRECTA",P420="DIMENSIONES"),U420=0),AND(OR(P420="SIN LÍNEAS",P420="CABECERA"),COUNTA(G420:J420)&gt;0)),2,IF(OR(P420="SIN LÍNEAS",Y420&gt;0,Z420&gt;0,AA420&gt;0,SUMPRODUCT(--('LÉEME'!$B$65:$B$86=AC420))&lt;&gt;1),1,0)))</f>
      </c>
      <c r="Y420" s="0" t="n">
        <f>IF(AND(P420="DIMENSIONES",S420="m²",COUNT(H420:J420)=3),1,0)</f>
        <v>0</v>
      </c>
      <c r="Z420" s="0" t="n">
        <f>IF(IF(ISNUMBER($E$6),AND($E$6&gt;=0,$E$6&lt;=6,$E$6=INT($E$6)),FALSE),IF(SUM(IF(ISNUMBER(F420),IF(ABS(F420-ROUND(F420,$E$6))&gt;0.00000001,1,0),0),IF(ISNUMBER(G420),IF(ABS(G420-ROUND(G420,$E$6))&gt;0.00000001,1,0),0),IF(ISNUMBER(H420),IF(ABS(H420-ROUND(H420,$E$6))&gt;0.00000001,1,0),0),IF(ISNUMBER(I420),IF(ABS(I420-ROUND(I420,$E$6))&gt;0.00000001,1,0),0),IF(ISNUMBER(J420),IF(ABS(J420-ROUND(J420,$E$6))&gt;0.00000001,1,0),0),IF(ISNUMBER(M420),IF(ABS(M420-ROUND(M420,$E$6))&gt;0.00000001,1,0),0))&gt;0,1,0),0)</f>
        <v>0</v>
      </c>
      <c r="AA420" s="0" t="n">
        <f>IF(COUNTA(B420:L420)=0,0,IF(OR(AND(ISNUMBER(F420),F420&lt;0),AND(U420=1,OR(SUM(IF(ISNUMBER(G420),IF(G420=0,1,0),0),IF(ISNUMBER(H420),IF(H420=0,1,0),0),IF(ISNUMBER(I420),IF(I420=0,1,0),0),IF(ISNUMBER(J420),IF(J420=0,1,0),0))&gt;0,COUNTIFS(G420:J420,"&lt;0")&gt;0)),AND(P420="DIMENSIONES",U420=1,OR(AND(S420="m",COUNT(H420:J420)&lt;&gt;1),AND(S420="m²",COUNT(H420:J420)&lt;&gt;2,Y420=0),AND(S420="m³",COUNT(H420:J420)&lt;&gt;3),AND(S420="ud",COUNT(H420:J420)&gt;0))),AND(P420="DIRECTA",OR(S420="m",S420="m²",S420="m³"))),1,0))</f>
        <v>0</v>
      </c>
      <c r="AB420" s="0">
        <f>IF(LEN(TRIM(E420&amp;""))&gt;0,E420,IF(R420&gt;0,INDEX($E$13:$E$512,R420),""))</f>
      </c>
      <c r="AC420" s="0">
        <f>UPPER(SUBSTITUTE(SUBSTITUTE(SUBSTITUTE(SUBSTITUTE(SUBSTITUTE(TRIM(AB420),"²","2"),"³","3"),"^",""),".","")," ",""))</f>
      </c>
    </row>
    <row r="421" ht="35" customHeight="1">
      <c r="B421" s="35"/>
      <c r="C421" s="35"/>
      <c r="D421" s="37"/>
      <c r="E421" s="35"/>
      <c r="F421" s="38"/>
      <c r="G421" s="38"/>
      <c r="H421" s="38"/>
      <c r="I421" s="38"/>
      <c r="J421" s="38"/>
      <c r="K421" s="35"/>
      <c r="L421" s="35"/>
      <c r="M421" s="39">
        <f>IF(U421&lt;&gt;1,"",IF(P421="DIRECTA",G421,IF(ISNUMBER(G421),G421,1)*IF(ISNUMBER(H421),H421,1)*IF(ISNUMBER(I421),I421,1)*IF(ISNUMBER(J421),J421,1)))</f>
      </c>
      <c r="N421" s="30">
        <f>IF(COUNTA(B421:L421)=0,"",IF(X421=0,IF(P421="CABECERA","VERDE · Fila descriptiva; la suma usa las líneas del ID","VERDE · Datos numéricos interpretables"),IF(X421=2,"ROJO · ","ÁMBAR · ")&amp;IF(NOT(IF(ISNUMBER($E$6),AND($E$6&gt;=0,$E$6&lt;=6,$E$6=INT($E$6)),FALSE)),"Indicamos entre 0 y 6 decimales en E6. ","")&amp;IF(O421=0,"Falta un ID numérico. ","")&amp;IF(R421=0,"Faltan capítulo, código, unidad o total numérico del ID. ","")&amp;IF(T421&gt;0,"Los datos o el total del ID se contradicen. ","")&amp;IF(AND(P421&lt;&gt;"DIMENSIONES",P421&lt;&gt;"DIRECTA",P421&lt;&gt;"SIN LÍNEAS",P421&lt;&gt;"CABECERA"),"Tipo de fila no reconocido. ","")&amp;IF(AND(OR(P421="SIN LÍNEAS",P421="CABECERA"),COUNTA(G421:J421)&gt;0),"La fila dice que no mide, pero contiene medidas. ","")&amp;IF(AND(OR(P421="DIRECTA",P421="DIMENSIONES"),U421=0),"Línea incompleta o con medidas no numéricas. ","")&amp;IF(P421="SIN LÍNEAS","No constan medidas de esta fila. ","")&amp;IF(Y421&gt;0,"Parece m³: tres dimensiones bajo m². ","")&amp;IF(AND(AB421&lt;&gt;"",SUMPRODUCT(--('LÉEME'!$B$65:$B$86=AC421))&lt;&gt;1),"Revisamos el significado de la unidad. ","")&amp;IF(Z421&gt;0,"Más precisión que los decimales indicados: cotejamos el original. ","")&amp;IF(AA421&gt;0,"Revisamos dimensiones, cantidad directa, ceros o deducción. ","")))</f>
      </c>
      <c r="O421" s="0" t="n">
        <f>IF(ISNUMBER(K421),IF(AND(K421&gt;0,K421=INT(K421),K421&lt;=999999),K421,0),0)</f>
        <v>0</v>
      </c>
      <c r="P421" s="0">
        <f>IF(COUNTA(B421:L421)=0,"",IF(L421="",IF(COUNTA(G421:J421)&gt;0,"DIMENSIONES","SIN LÍNEAS"),UPPER(TRIM(L421))))</f>
      </c>
      <c r="Q421" s="0">
        <f>IF(AND(O421&gt;0,LEN(TRIM(B421&amp;""))&gt;0,LEN(TRIM(C421&amp;""))&gt;0,LEN(TRIM(E421&amp;""))&gt;0,ISNUMBER(F421)),O421,"")</f>
      </c>
      <c r="R421" s="0" t="n">
        <f>IF(O421=0,0,IF(COUNTIFS($Q$13:$Q$512,O421)&gt;0,MATCH(O421,$Q$13:$Q$512,0),0))</f>
        <v>0</v>
      </c>
      <c r="S421" s="0">
        <f>IF(AB421="","",IF(SUMPRODUCT(--('LÉEME'!$B$65:$B$86=AC421))=1,INDEX('LÉEME'!$C$65:$C$86,MATCH(AC421,'LÉEME'!$B$65:$B$86,0)),UPPER(TRIM(AB421))))</f>
      </c>
      <c r="T421" s="0" t="n">
        <f>IF(R421=0,0,IF(OR(AND(LEN(TRIM(B421&amp;""))&gt;0,UPPER(TRIM(B421&amp;""))&lt;&gt;UPPER(TRIM(INDEX($B$13:$B$512,R421)&amp;""))),AND(LEN(TRIM(C421&amp;""))&gt;0,UPPER(TRIM(C421&amp;""))&lt;&gt;UPPER(TRIM(INDEX($C$13:$C$512,R421)&amp;""))),AND(LEN(TRIM(E421&amp;""))&gt;0,S421&lt;&gt;INDEX($S$13:$S$512,R421)),AND(F421&lt;&gt;"",NOT(ISNUMBER(F421)))),1,IF(ISNUMBER(F421),IF(ABS(F421-INDEX($F$13:$F$512,R421))&gt;0.00000001,1,0),0)))</f>
        <v>0</v>
      </c>
      <c r="U421" s="0" t="n">
        <f>IF(P421="DIRECTA",IF(AND(ISNUMBER(G421),COUNTA(H421:J421)=0),1,0),IF(P421="DIMENSIONES",IF(AND(COUNT(G421:J421)&gt;0,COUNTA(G421:J421)=COUNT(G421:J421)),1,0),0))</f>
        <v>0</v>
      </c>
      <c r="V421" s="0" t="n">
        <f>IF(O421=0,0,IF(COUNTIFS($O$13:O421,O421)=1,1,0))</f>
        <v>0</v>
      </c>
      <c r="W421" s="0">
        <f>IF(V421=1,COUNTIFS($V$13:V421,1),"")</f>
      </c>
      <c r="X421" s="0">
        <f>IF(COUNTA(B421:L421)=0,"",IF(OR(NOT(IF(ISNUMBER($E$6),AND($E$6&gt;=0,$E$6&lt;=6,$E$6=INT($E$6)),FALSE)),O421=0,R421=0,T421&gt;0,AND(P421&lt;&gt;"DIMENSIONES",P421&lt;&gt;"DIRECTA",P421&lt;&gt;"SIN LÍNEAS",P421&lt;&gt;"CABECERA"),AND(OR(P421="DIRECTA",P421="DIMENSIONES"),U421=0),AND(OR(P421="SIN LÍNEAS",P421="CABECERA"),COUNTA(G421:J421)&gt;0)),2,IF(OR(P421="SIN LÍNEAS",Y421&gt;0,Z421&gt;0,AA421&gt;0,SUMPRODUCT(--('LÉEME'!$B$65:$B$86=AC421))&lt;&gt;1),1,0)))</f>
      </c>
      <c r="Y421" s="0" t="n">
        <f>IF(AND(P421="DIMENSIONES",S421="m²",COUNT(H421:J421)=3),1,0)</f>
        <v>0</v>
      </c>
      <c r="Z421" s="0" t="n">
        <f>IF(IF(ISNUMBER($E$6),AND($E$6&gt;=0,$E$6&lt;=6,$E$6=INT($E$6)),FALSE),IF(SUM(IF(ISNUMBER(F421),IF(ABS(F421-ROUND(F421,$E$6))&gt;0.00000001,1,0),0),IF(ISNUMBER(G421),IF(ABS(G421-ROUND(G421,$E$6))&gt;0.00000001,1,0),0),IF(ISNUMBER(H421),IF(ABS(H421-ROUND(H421,$E$6))&gt;0.00000001,1,0),0),IF(ISNUMBER(I421),IF(ABS(I421-ROUND(I421,$E$6))&gt;0.00000001,1,0),0),IF(ISNUMBER(J421),IF(ABS(J421-ROUND(J421,$E$6))&gt;0.00000001,1,0),0),IF(ISNUMBER(M421),IF(ABS(M421-ROUND(M421,$E$6))&gt;0.00000001,1,0),0))&gt;0,1,0),0)</f>
        <v>0</v>
      </c>
      <c r="AA421" s="0" t="n">
        <f>IF(COUNTA(B421:L421)=0,0,IF(OR(AND(ISNUMBER(F421),F421&lt;0),AND(U421=1,OR(SUM(IF(ISNUMBER(G421),IF(G421=0,1,0),0),IF(ISNUMBER(H421),IF(H421=0,1,0),0),IF(ISNUMBER(I421),IF(I421=0,1,0),0),IF(ISNUMBER(J421),IF(J421=0,1,0),0))&gt;0,COUNTIFS(G421:J421,"&lt;0")&gt;0)),AND(P421="DIMENSIONES",U421=1,OR(AND(S421="m",COUNT(H421:J421)&lt;&gt;1),AND(S421="m²",COUNT(H421:J421)&lt;&gt;2,Y421=0),AND(S421="m³",COUNT(H421:J421)&lt;&gt;3),AND(S421="ud",COUNT(H421:J421)&gt;0))),AND(P421="DIRECTA",OR(S421="m",S421="m²",S421="m³"))),1,0))</f>
        <v>0</v>
      </c>
      <c r="AB421" s="0">
        <f>IF(LEN(TRIM(E421&amp;""))&gt;0,E421,IF(R421&gt;0,INDEX($E$13:$E$512,R421),""))</f>
      </c>
      <c r="AC421" s="0">
        <f>UPPER(SUBSTITUTE(SUBSTITUTE(SUBSTITUTE(SUBSTITUTE(SUBSTITUTE(TRIM(AB421),"²","2"),"³","3"),"^",""),".","")," ",""))</f>
      </c>
    </row>
    <row r="422" ht="35" customHeight="1">
      <c r="B422" s="35"/>
      <c r="C422" s="35"/>
      <c r="D422" s="37"/>
      <c r="E422" s="35"/>
      <c r="F422" s="38"/>
      <c r="G422" s="38"/>
      <c r="H422" s="38"/>
      <c r="I422" s="38"/>
      <c r="J422" s="38"/>
      <c r="K422" s="35"/>
      <c r="L422" s="35"/>
      <c r="M422" s="39">
        <f>IF(U422&lt;&gt;1,"",IF(P422="DIRECTA",G422,IF(ISNUMBER(G422),G422,1)*IF(ISNUMBER(H422),H422,1)*IF(ISNUMBER(I422),I422,1)*IF(ISNUMBER(J422),J422,1)))</f>
      </c>
      <c r="N422" s="30">
        <f>IF(COUNTA(B422:L422)=0,"",IF(X422=0,IF(P422="CABECERA","VERDE · Fila descriptiva; la suma usa las líneas del ID","VERDE · Datos numéricos interpretables"),IF(X422=2,"ROJO · ","ÁMBAR · ")&amp;IF(NOT(IF(ISNUMBER($E$6),AND($E$6&gt;=0,$E$6&lt;=6,$E$6=INT($E$6)),FALSE)),"Indicamos entre 0 y 6 decimales en E6. ","")&amp;IF(O422=0,"Falta un ID numérico. ","")&amp;IF(R422=0,"Faltan capítulo, código, unidad o total numérico del ID. ","")&amp;IF(T422&gt;0,"Los datos o el total del ID se contradicen. ","")&amp;IF(AND(P422&lt;&gt;"DIMENSIONES",P422&lt;&gt;"DIRECTA",P422&lt;&gt;"SIN LÍNEAS",P422&lt;&gt;"CABECERA"),"Tipo de fila no reconocido. ","")&amp;IF(AND(OR(P422="SIN LÍNEAS",P422="CABECERA"),COUNTA(G422:J422)&gt;0),"La fila dice que no mide, pero contiene medidas. ","")&amp;IF(AND(OR(P422="DIRECTA",P422="DIMENSIONES"),U422=0),"Línea incompleta o con medidas no numéricas. ","")&amp;IF(P422="SIN LÍNEAS","No constan medidas de esta fila. ","")&amp;IF(Y422&gt;0,"Parece m³: tres dimensiones bajo m². ","")&amp;IF(AND(AB422&lt;&gt;"",SUMPRODUCT(--('LÉEME'!$B$65:$B$86=AC422))&lt;&gt;1),"Revisamos el significado de la unidad. ","")&amp;IF(Z422&gt;0,"Más precisión que los decimales indicados: cotejamos el original. ","")&amp;IF(AA422&gt;0,"Revisamos dimensiones, cantidad directa, ceros o deducción. ","")))</f>
      </c>
      <c r="O422" s="0" t="n">
        <f>IF(ISNUMBER(K422),IF(AND(K422&gt;0,K422=INT(K422),K422&lt;=999999),K422,0),0)</f>
        <v>0</v>
      </c>
      <c r="P422" s="0">
        <f>IF(COUNTA(B422:L422)=0,"",IF(L422="",IF(COUNTA(G422:J422)&gt;0,"DIMENSIONES","SIN LÍNEAS"),UPPER(TRIM(L422))))</f>
      </c>
      <c r="Q422" s="0">
        <f>IF(AND(O422&gt;0,LEN(TRIM(B422&amp;""))&gt;0,LEN(TRIM(C422&amp;""))&gt;0,LEN(TRIM(E422&amp;""))&gt;0,ISNUMBER(F422)),O422,"")</f>
      </c>
      <c r="R422" s="0" t="n">
        <f>IF(O422=0,0,IF(COUNTIFS($Q$13:$Q$512,O422)&gt;0,MATCH(O422,$Q$13:$Q$512,0),0))</f>
        <v>0</v>
      </c>
      <c r="S422" s="0">
        <f>IF(AB422="","",IF(SUMPRODUCT(--('LÉEME'!$B$65:$B$86=AC422))=1,INDEX('LÉEME'!$C$65:$C$86,MATCH(AC422,'LÉEME'!$B$65:$B$86,0)),UPPER(TRIM(AB422))))</f>
      </c>
      <c r="T422" s="0" t="n">
        <f>IF(R422=0,0,IF(OR(AND(LEN(TRIM(B422&amp;""))&gt;0,UPPER(TRIM(B422&amp;""))&lt;&gt;UPPER(TRIM(INDEX($B$13:$B$512,R422)&amp;""))),AND(LEN(TRIM(C422&amp;""))&gt;0,UPPER(TRIM(C422&amp;""))&lt;&gt;UPPER(TRIM(INDEX($C$13:$C$512,R422)&amp;""))),AND(LEN(TRIM(E422&amp;""))&gt;0,S422&lt;&gt;INDEX($S$13:$S$512,R422)),AND(F422&lt;&gt;"",NOT(ISNUMBER(F422)))),1,IF(ISNUMBER(F422),IF(ABS(F422-INDEX($F$13:$F$512,R422))&gt;0.00000001,1,0),0)))</f>
        <v>0</v>
      </c>
      <c r="U422" s="0" t="n">
        <f>IF(P422="DIRECTA",IF(AND(ISNUMBER(G422),COUNTA(H422:J422)=0),1,0),IF(P422="DIMENSIONES",IF(AND(COUNT(G422:J422)&gt;0,COUNTA(G422:J422)=COUNT(G422:J422)),1,0),0))</f>
        <v>0</v>
      </c>
      <c r="V422" s="0" t="n">
        <f>IF(O422=0,0,IF(COUNTIFS($O$13:O422,O422)=1,1,0))</f>
        <v>0</v>
      </c>
      <c r="W422" s="0">
        <f>IF(V422=1,COUNTIFS($V$13:V422,1),"")</f>
      </c>
      <c r="X422" s="0">
        <f>IF(COUNTA(B422:L422)=0,"",IF(OR(NOT(IF(ISNUMBER($E$6),AND($E$6&gt;=0,$E$6&lt;=6,$E$6=INT($E$6)),FALSE)),O422=0,R422=0,T422&gt;0,AND(P422&lt;&gt;"DIMENSIONES",P422&lt;&gt;"DIRECTA",P422&lt;&gt;"SIN LÍNEAS",P422&lt;&gt;"CABECERA"),AND(OR(P422="DIRECTA",P422="DIMENSIONES"),U422=0),AND(OR(P422="SIN LÍNEAS",P422="CABECERA"),COUNTA(G422:J422)&gt;0)),2,IF(OR(P422="SIN LÍNEAS",Y422&gt;0,Z422&gt;0,AA422&gt;0,SUMPRODUCT(--('LÉEME'!$B$65:$B$86=AC422))&lt;&gt;1),1,0)))</f>
      </c>
      <c r="Y422" s="0" t="n">
        <f>IF(AND(P422="DIMENSIONES",S422="m²",COUNT(H422:J422)=3),1,0)</f>
        <v>0</v>
      </c>
      <c r="Z422" s="0" t="n">
        <f>IF(IF(ISNUMBER($E$6),AND($E$6&gt;=0,$E$6&lt;=6,$E$6=INT($E$6)),FALSE),IF(SUM(IF(ISNUMBER(F422),IF(ABS(F422-ROUND(F422,$E$6))&gt;0.00000001,1,0),0),IF(ISNUMBER(G422),IF(ABS(G422-ROUND(G422,$E$6))&gt;0.00000001,1,0),0),IF(ISNUMBER(H422),IF(ABS(H422-ROUND(H422,$E$6))&gt;0.00000001,1,0),0),IF(ISNUMBER(I422),IF(ABS(I422-ROUND(I422,$E$6))&gt;0.00000001,1,0),0),IF(ISNUMBER(J422),IF(ABS(J422-ROUND(J422,$E$6))&gt;0.00000001,1,0),0),IF(ISNUMBER(M422),IF(ABS(M422-ROUND(M422,$E$6))&gt;0.00000001,1,0),0))&gt;0,1,0),0)</f>
        <v>0</v>
      </c>
      <c r="AA422" s="0" t="n">
        <f>IF(COUNTA(B422:L422)=0,0,IF(OR(AND(ISNUMBER(F422),F422&lt;0),AND(U422=1,OR(SUM(IF(ISNUMBER(G422),IF(G422=0,1,0),0),IF(ISNUMBER(H422),IF(H422=0,1,0),0),IF(ISNUMBER(I422),IF(I422=0,1,0),0),IF(ISNUMBER(J422),IF(J422=0,1,0),0))&gt;0,COUNTIFS(G422:J422,"&lt;0")&gt;0)),AND(P422="DIMENSIONES",U422=1,OR(AND(S422="m",COUNT(H422:J422)&lt;&gt;1),AND(S422="m²",COUNT(H422:J422)&lt;&gt;2,Y422=0),AND(S422="m³",COUNT(H422:J422)&lt;&gt;3),AND(S422="ud",COUNT(H422:J422)&gt;0))),AND(P422="DIRECTA",OR(S422="m",S422="m²",S422="m³"))),1,0))</f>
        <v>0</v>
      </c>
      <c r="AB422" s="0">
        <f>IF(LEN(TRIM(E422&amp;""))&gt;0,E422,IF(R422&gt;0,INDEX($E$13:$E$512,R422),""))</f>
      </c>
      <c r="AC422" s="0">
        <f>UPPER(SUBSTITUTE(SUBSTITUTE(SUBSTITUTE(SUBSTITUTE(SUBSTITUTE(TRIM(AB422),"²","2"),"³","3"),"^",""),".","")," ",""))</f>
      </c>
    </row>
    <row r="423" ht="35" customHeight="1">
      <c r="B423" s="35"/>
      <c r="C423" s="35"/>
      <c r="D423" s="37"/>
      <c r="E423" s="35"/>
      <c r="F423" s="38"/>
      <c r="G423" s="38"/>
      <c r="H423" s="38"/>
      <c r="I423" s="38"/>
      <c r="J423" s="38"/>
      <c r="K423" s="35"/>
      <c r="L423" s="35"/>
      <c r="M423" s="39">
        <f>IF(U423&lt;&gt;1,"",IF(P423="DIRECTA",G423,IF(ISNUMBER(G423),G423,1)*IF(ISNUMBER(H423),H423,1)*IF(ISNUMBER(I423),I423,1)*IF(ISNUMBER(J423),J423,1)))</f>
      </c>
      <c r="N423" s="30">
        <f>IF(COUNTA(B423:L423)=0,"",IF(X423=0,IF(P423="CABECERA","VERDE · Fila descriptiva; la suma usa las líneas del ID","VERDE · Datos numéricos interpretables"),IF(X423=2,"ROJO · ","ÁMBAR · ")&amp;IF(NOT(IF(ISNUMBER($E$6),AND($E$6&gt;=0,$E$6&lt;=6,$E$6=INT($E$6)),FALSE)),"Indicamos entre 0 y 6 decimales en E6. ","")&amp;IF(O423=0,"Falta un ID numérico. ","")&amp;IF(R423=0,"Faltan capítulo, código, unidad o total numérico del ID. ","")&amp;IF(T423&gt;0,"Los datos o el total del ID se contradicen. ","")&amp;IF(AND(P423&lt;&gt;"DIMENSIONES",P423&lt;&gt;"DIRECTA",P423&lt;&gt;"SIN LÍNEAS",P423&lt;&gt;"CABECERA"),"Tipo de fila no reconocido. ","")&amp;IF(AND(OR(P423="SIN LÍNEAS",P423="CABECERA"),COUNTA(G423:J423)&gt;0),"La fila dice que no mide, pero contiene medidas. ","")&amp;IF(AND(OR(P423="DIRECTA",P423="DIMENSIONES"),U423=0),"Línea incompleta o con medidas no numéricas. ","")&amp;IF(P423="SIN LÍNEAS","No constan medidas de esta fila. ","")&amp;IF(Y423&gt;0,"Parece m³: tres dimensiones bajo m². ","")&amp;IF(AND(AB423&lt;&gt;"",SUMPRODUCT(--('LÉEME'!$B$65:$B$86=AC423))&lt;&gt;1),"Revisamos el significado de la unidad. ","")&amp;IF(Z423&gt;0,"Más precisión que los decimales indicados: cotejamos el original. ","")&amp;IF(AA423&gt;0,"Revisamos dimensiones, cantidad directa, ceros o deducción. ","")))</f>
      </c>
      <c r="O423" s="0" t="n">
        <f>IF(ISNUMBER(K423),IF(AND(K423&gt;0,K423=INT(K423),K423&lt;=999999),K423,0),0)</f>
        <v>0</v>
      </c>
      <c r="P423" s="0">
        <f>IF(COUNTA(B423:L423)=0,"",IF(L423="",IF(COUNTA(G423:J423)&gt;0,"DIMENSIONES","SIN LÍNEAS"),UPPER(TRIM(L423))))</f>
      </c>
      <c r="Q423" s="0">
        <f>IF(AND(O423&gt;0,LEN(TRIM(B423&amp;""))&gt;0,LEN(TRIM(C423&amp;""))&gt;0,LEN(TRIM(E423&amp;""))&gt;0,ISNUMBER(F423)),O423,"")</f>
      </c>
      <c r="R423" s="0" t="n">
        <f>IF(O423=0,0,IF(COUNTIFS($Q$13:$Q$512,O423)&gt;0,MATCH(O423,$Q$13:$Q$512,0),0))</f>
        <v>0</v>
      </c>
      <c r="S423" s="0">
        <f>IF(AB423="","",IF(SUMPRODUCT(--('LÉEME'!$B$65:$B$86=AC423))=1,INDEX('LÉEME'!$C$65:$C$86,MATCH(AC423,'LÉEME'!$B$65:$B$86,0)),UPPER(TRIM(AB423))))</f>
      </c>
      <c r="T423" s="0" t="n">
        <f>IF(R423=0,0,IF(OR(AND(LEN(TRIM(B423&amp;""))&gt;0,UPPER(TRIM(B423&amp;""))&lt;&gt;UPPER(TRIM(INDEX($B$13:$B$512,R423)&amp;""))),AND(LEN(TRIM(C423&amp;""))&gt;0,UPPER(TRIM(C423&amp;""))&lt;&gt;UPPER(TRIM(INDEX($C$13:$C$512,R423)&amp;""))),AND(LEN(TRIM(E423&amp;""))&gt;0,S423&lt;&gt;INDEX($S$13:$S$512,R423)),AND(F423&lt;&gt;"",NOT(ISNUMBER(F423)))),1,IF(ISNUMBER(F423),IF(ABS(F423-INDEX($F$13:$F$512,R423))&gt;0.00000001,1,0),0)))</f>
        <v>0</v>
      </c>
      <c r="U423" s="0" t="n">
        <f>IF(P423="DIRECTA",IF(AND(ISNUMBER(G423),COUNTA(H423:J423)=0),1,0),IF(P423="DIMENSIONES",IF(AND(COUNT(G423:J423)&gt;0,COUNTA(G423:J423)=COUNT(G423:J423)),1,0),0))</f>
        <v>0</v>
      </c>
      <c r="V423" s="0" t="n">
        <f>IF(O423=0,0,IF(COUNTIFS($O$13:O423,O423)=1,1,0))</f>
        <v>0</v>
      </c>
      <c r="W423" s="0">
        <f>IF(V423=1,COUNTIFS($V$13:V423,1),"")</f>
      </c>
      <c r="X423" s="0">
        <f>IF(COUNTA(B423:L423)=0,"",IF(OR(NOT(IF(ISNUMBER($E$6),AND($E$6&gt;=0,$E$6&lt;=6,$E$6=INT($E$6)),FALSE)),O423=0,R423=0,T423&gt;0,AND(P423&lt;&gt;"DIMENSIONES",P423&lt;&gt;"DIRECTA",P423&lt;&gt;"SIN LÍNEAS",P423&lt;&gt;"CABECERA"),AND(OR(P423="DIRECTA",P423="DIMENSIONES"),U423=0),AND(OR(P423="SIN LÍNEAS",P423="CABECERA"),COUNTA(G423:J423)&gt;0)),2,IF(OR(P423="SIN LÍNEAS",Y423&gt;0,Z423&gt;0,AA423&gt;0,SUMPRODUCT(--('LÉEME'!$B$65:$B$86=AC423))&lt;&gt;1),1,0)))</f>
      </c>
      <c r="Y423" s="0" t="n">
        <f>IF(AND(P423="DIMENSIONES",S423="m²",COUNT(H423:J423)=3),1,0)</f>
        <v>0</v>
      </c>
      <c r="Z423" s="0" t="n">
        <f>IF(IF(ISNUMBER($E$6),AND($E$6&gt;=0,$E$6&lt;=6,$E$6=INT($E$6)),FALSE),IF(SUM(IF(ISNUMBER(F423),IF(ABS(F423-ROUND(F423,$E$6))&gt;0.00000001,1,0),0),IF(ISNUMBER(G423),IF(ABS(G423-ROUND(G423,$E$6))&gt;0.00000001,1,0),0),IF(ISNUMBER(H423),IF(ABS(H423-ROUND(H423,$E$6))&gt;0.00000001,1,0),0),IF(ISNUMBER(I423),IF(ABS(I423-ROUND(I423,$E$6))&gt;0.00000001,1,0),0),IF(ISNUMBER(J423),IF(ABS(J423-ROUND(J423,$E$6))&gt;0.00000001,1,0),0),IF(ISNUMBER(M423),IF(ABS(M423-ROUND(M423,$E$6))&gt;0.00000001,1,0),0))&gt;0,1,0),0)</f>
        <v>0</v>
      </c>
      <c r="AA423" s="0" t="n">
        <f>IF(COUNTA(B423:L423)=0,0,IF(OR(AND(ISNUMBER(F423),F423&lt;0),AND(U423=1,OR(SUM(IF(ISNUMBER(G423),IF(G423=0,1,0),0),IF(ISNUMBER(H423),IF(H423=0,1,0),0),IF(ISNUMBER(I423),IF(I423=0,1,0),0),IF(ISNUMBER(J423),IF(J423=0,1,0),0))&gt;0,COUNTIFS(G423:J423,"&lt;0")&gt;0)),AND(P423="DIMENSIONES",U423=1,OR(AND(S423="m",COUNT(H423:J423)&lt;&gt;1),AND(S423="m²",COUNT(H423:J423)&lt;&gt;2,Y423=0),AND(S423="m³",COUNT(H423:J423)&lt;&gt;3),AND(S423="ud",COUNT(H423:J423)&gt;0))),AND(P423="DIRECTA",OR(S423="m",S423="m²",S423="m³"))),1,0))</f>
        <v>0</v>
      </c>
      <c r="AB423" s="0">
        <f>IF(LEN(TRIM(E423&amp;""))&gt;0,E423,IF(R423&gt;0,INDEX($E$13:$E$512,R423),""))</f>
      </c>
      <c r="AC423" s="0">
        <f>UPPER(SUBSTITUTE(SUBSTITUTE(SUBSTITUTE(SUBSTITUTE(SUBSTITUTE(TRIM(AB423),"²","2"),"³","3"),"^",""),".","")," ",""))</f>
      </c>
    </row>
    <row r="424" ht="35" customHeight="1">
      <c r="B424" s="35"/>
      <c r="C424" s="35"/>
      <c r="D424" s="37"/>
      <c r="E424" s="35"/>
      <c r="F424" s="38"/>
      <c r="G424" s="38"/>
      <c r="H424" s="38"/>
      <c r="I424" s="38"/>
      <c r="J424" s="38"/>
      <c r="K424" s="35"/>
      <c r="L424" s="35"/>
      <c r="M424" s="39">
        <f>IF(U424&lt;&gt;1,"",IF(P424="DIRECTA",G424,IF(ISNUMBER(G424),G424,1)*IF(ISNUMBER(H424),H424,1)*IF(ISNUMBER(I424),I424,1)*IF(ISNUMBER(J424),J424,1)))</f>
      </c>
      <c r="N424" s="30">
        <f>IF(COUNTA(B424:L424)=0,"",IF(X424=0,IF(P424="CABECERA","VERDE · Fila descriptiva; la suma usa las líneas del ID","VERDE · Datos numéricos interpretables"),IF(X424=2,"ROJO · ","ÁMBAR · ")&amp;IF(NOT(IF(ISNUMBER($E$6),AND($E$6&gt;=0,$E$6&lt;=6,$E$6=INT($E$6)),FALSE)),"Indicamos entre 0 y 6 decimales en E6. ","")&amp;IF(O424=0,"Falta un ID numérico. ","")&amp;IF(R424=0,"Faltan capítulo, código, unidad o total numérico del ID. ","")&amp;IF(T424&gt;0,"Los datos o el total del ID se contradicen. ","")&amp;IF(AND(P424&lt;&gt;"DIMENSIONES",P424&lt;&gt;"DIRECTA",P424&lt;&gt;"SIN LÍNEAS",P424&lt;&gt;"CABECERA"),"Tipo de fila no reconocido. ","")&amp;IF(AND(OR(P424="SIN LÍNEAS",P424="CABECERA"),COUNTA(G424:J424)&gt;0),"La fila dice que no mide, pero contiene medidas. ","")&amp;IF(AND(OR(P424="DIRECTA",P424="DIMENSIONES"),U424=0),"Línea incompleta o con medidas no numéricas. ","")&amp;IF(P424="SIN LÍNEAS","No constan medidas de esta fila. ","")&amp;IF(Y424&gt;0,"Parece m³: tres dimensiones bajo m². ","")&amp;IF(AND(AB424&lt;&gt;"",SUMPRODUCT(--('LÉEME'!$B$65:$B$86=AC424))&lt;&gt;1),"Revisamos el significado de la unidad. ","")&amp;IF(Z424&gt;0,"Más precisión que los decimales indicados: cotejamos el original. ","")&amp;IF(AA424&gt;0,"Revisamos dimensiones, cantidad directa, ceros o deducción. ","")))</f>
      </c>
      <c r="O424" s="0" t="n">
        <f>IF(ISNUMBER(K424),IF(AND(K424&gt;0,K424=INT(K424),K424&lt;=999999),K424,0),0)</f>
        <v>0</v>
      </c>
      <c r="P424" s="0">
        <f>IF(COUNTA(B424:L424)=0,"",IF(L424="",IF(COUNTA(G424:J424)&gt;0,"DIMENSIONES","SIN LÍNEAS"),UPPER(TRIM(L424))))</f>
      </c>
      <c r="Q424" s="0">
        <f>IF(AND(O424&gt;0,LEN(TRIM(B424&amp;""))&gt;0,LEN(TRIM(C424&amp;""))&gt;0,LEN(TRIM(E424&amp;""))&gt;0,ISNUMBER(F424)),O424,"")</f>
      </c>
      <c r="R424" s="0" t="n">
        <f>IF(O424=0,0,IF(COUNTIFS($Q$13:$Q$512,O424)&gt;0,MATCH(O424,$Q$13:$Q$512,0),0))</f>
        <v>0</v>
      </c>
      <c r="S424" s="0">
        <f>IF(AB424="","",IF(SUMPRODUCT(--('LÉEME'!$B$65:$B$86=AC424))=1,INDEX('LÉEME'!$C$65:$C$86,MATCH(AC424,'LÉEME'!$B$65:$B$86,0)),UPPER(TRIM(AB424))))</f>
      </c>
      <c r="T424" s="0" t="n">
        <f>IF(R424=0,0,IF(OR(AND(LEN(TRIM(B424&amp;""))&gt;0,UPPER(TRIM(B424&amp;""))&lt;&gt;UPPER(TRIM(INDEX($B$13:$B$512,R424)&amp;""))),AND(LEN(TRIM(C424&amp;""))&gt;0,UPPER(TRIM(C424&amp;""))&lt;&gt;UPPER(TRIM(INDEX($C$13:$C$512,R424)&amp;""))),AND(LEN(TRIM(E424&amp;""))&gt;0,S424&lt;&gt;INDEX($S$13:$S$512,R424)),AND(F424&lt;&gt;"",NOT(ISNUMBER(F424)))),1,IF(ISNUMBER(F424),IF(ABS(F424-INDEX($F$13:$F$512,R424))&gt;0.00000001,1,0),0)))</f>
        <v>0</v>
      </c>
      <c r="U424" s="0" t="n">
        <f>IF(P424="DIRECTA",IF(AND(ISNUMBER(G424),COUNTA(H424:J424)=0),1,0),IF(P424="DIMENSIONES",IF(AND(COUNT(G424:J424)&gt;0,COUNTA(G424:J424)=COUNT(G424:J424)),1,0),0))</f>
        <v>0</v>
      </c>
      <c r="V424" s="0" t="n">
        <f>IF(O424=0,0,IF(COUNTIFS($O$13:O424,O424)=1,1,0))</f>
        <v>0</v>
      </c>
      <c r="W424" s="0">
        <f>IF(V424=1,COUNTIFS($V$13:V424,1),"")</f>
      </c>
      <c r="X424" s="0">
        <f>IF(COUNTA(B424:L424)=0,"",IF(OR(NOT(IF(ISNUMBER($E$6),AND($E$6&gt;=0,$E$6&lt;=6,$E$6=INT($E$6)),FALSE)),O424=0,R424=0,T424&gt;0,AND(P424&lt;&gt;"DIMENSIONES",P424&lt;&gt;"DIRECTA",P424&lt;&gt;"SIN LÍNEAS",P424&lt;&gt;"CABECERA"),AND(OR(P424="DIRECTA",P424="DIMENSIONES"),U424=0),AND(OR(P424="SIN LÍNEAS",P424="CABECERA"),COUNTA(G424:J424)&gt;0)),2,IF(OR(P424="SIN LÍNEAS",Y424&gt;0,Z424&gt;0,AA424&gt;0,SUMPRODUCT(--('LÉEME'!$B$65:$B$86=AC424))&lt;&gt;1),1,0)))</f>
      </c>
      <c r="Y424" s="0" t="n">
        <f>IF(AND(P424="DIMENSIONES",S424="m²",COUNT(H424:J424)=3),1,0)</f>
        <v>0</v>
      </c>
      <c r="Z424" s="0" t="n">
        <f>IF(IF(ISNUMBER($E$6),AND($E$6&gt;=0,$E$6&lt;=6,$E$6=INT($E$6)),FALSE),IF(SUM(IF(ISNUMBER(F424),IF(ABS(F424-ROUND(F424,$E$6))&gt;0.00000001,1,0),0),IF(ISNUMBER(G424),IF(ABS(G424-ROUND(G424,$E$6))&gt;0.00000001,1,0),0),IF(ISNUMBER(H424),IF(ABS(H424-ROUND(H424,$E$6))&gt;0.00000001,1,0),0),IF(ISNUMBER(I424),IF(ABS(I424-ROUND(I424,$E$6))&gt;0.00000001,1,0),0),IF(ISNUMBER(J424),IF(ABS(J424-ROUND(J424,$E$6))&gt;0.00000001,1,0),0),IF(ISNUMBER(M424),IF(ABS(M424-ROUND(M424,$E$6))&gt;0.00000001,1,0),0))&gt;0,1,0),0)</f>
        <v>0</v>
      </c>
      <c r="AA424" s="0" t="n">
        <f>IF(COUNTA(B424:L424)=0,0,IF(OR(AND(ISNUMBER(F424),F424&lt;0),AND(U424=1,OR(SUM(IF(ISNUMBER(G424),IF(G424=0,1,0),0),IF(ISNUMBER(H424),IF(H424=0,1,0),0),IF(ISNUMBER(I424),IF(I424=0,1,0),0),IF(ISNUMBER(J424),IF(J424=0,1,0),0))&gt;0,COUNTIFS(G424:J424,"&lt;0")&gt;0)),AND(P424="DIMENSIONES",U424=1,OR(AND(S424="m",COUNT(H424:J424)&lt;&gt;1),AND(S424="m²",COUNT(H424:J424)&lt;&gt;2,Y424=0),AND(S424="m³",COUNT(H424:J424)&lt;&gt;3),AND(S424="ud",COUNT(H424:J424)&gt;0))),AND(P424="DIRECTA",OR(S424="m",S424="m²",S424="m³"))),1,0))</f>
        <v>0</v>
      </c>
      <c r="AB424" s="0">
        <f>IF(LEN(TRIM(E424&amp;""))&gt;0,E424,IF(R424&gt;0,INDEX($E$13:$E$512,R424),""))</f>
      </c>
      <c r="AC424" s="0">
        <f>UPPER(SUBSTITUTE(SUBSTITUTE(SUBSTITUTE(SUBSTITUTE(SUBSTITUTE(TRIM(AB424),"²","2"),"³","3"),"^",""),".","")," ",""))</f>
      </c>
    </row>
    <row r="425" ht="35" customHeight="1">
      <c r="B425" s="35"/>
      <c r="C425" s="35"/>
      <c r="D425" s="37"/>
      <c r="E425" s="35"/>
      <c r="F425" s="38"/>
      <c r="G425" s="38"/>
      <c r="H425" s="38"/>
      <c r="I425" s="38"/>
      <c r="J425" s="38"/>
      <c r="K425" s="35"/>
      <c r="L425" s="35"/>
      <c r="M425" s="39">
        <f>IF(U425&lt;&gt;1,"",IF(P425="DIRECTA",G425,IF(ISNUMBER(G425),G425,1)*IF(ISNUMBER(H425),H425,1)*IF(ISNUMBER(I425),I425,1)*IF(ISNUMBER(J425),J425,1)))</f>
      </c>
      <c r="N425" s="30">
        <f>IF(COUNTA(B425:L425)=0,"",IF(X425=0,IF(P425="CABECERA","VERDE · Fila descriptiva; la suma usa las líneas del ID","VERDE · Datos numéricos interpretables"),IF(X425=2,"ROJO · ","ÁMBAR · ")&amp;IF(NOT(IF(ISNUMBER($E$6),AND($E$6&gt;=0,$E$6&lt;=6,$E$6=INT($E$6)),FALSE)),"Indicamos entre 0 y 6 decimales en E6. ","")&amp;IF(O425=0,"Falta un ID numérico. ","")&amp;IF(R425=0,"Faltan capítulo, código, unidad o total numérico del ID. ","")&amp;IF(T425&gt;0,"Los datos o el total del ID se contradicen. ","")&amp;IF(AND(P425&lt;&gt;"DIMENSIONES",P425&lt;&gt;"DIRECTA",P425&lt;&gt;"SIN LÍNEAS",P425&lt;&gt;"CABECERA"),"Tipo de fila no reconocido. ","")&amp;IF(AND(OR(P425="SIN LÍNEAS",P425="CABECERA"),COUNTA(G425:J425)&gt;0),"La fila dice que no mide, pero contiene medidas. ","")&amp;IF(AND(OR(P425="DIRECTA",P425="DIMENSIONES"),U425=0),"Línea incompleta o con medidas no numéricas. ","")&amp;IF(P425="SIN LÍNEAS","No constan medidas de esta fila. ","")&amp;IF(Y425&gt;0,"Parece m³: tres dimensiones bajo m². ","")&amp;IF(AND(AB425&lt;&gt;"",SUMPRODUCT(--('LÉEME'!$B$65:$B$86=AC425))&lt;&gt;1),"Revisamos el significado de la unidad. ","")&amp;IF(Z425&gt;0,"Más precisión que los decimales indicados: cotejamos el original. ","")&amp;IF(AA425&gt;0,"Revisamos dimensiones, cantidad directa, ceros o deducción. ","")))</f>
      </c>
      <c r="O425" s="0" t="n">
        <f>IF(ISNUMBER(K425),IF(AND(K425&gt;0,K425=INT(K425),K425&lt;=999999),K425,0),0)</f>
        <v>0</v>
      </c>
      <c r="P425" s="0">
        <f>IF(COUNTA(B425:L425)=0,"",IF(L425="",IF(COUNTA(G425:J425)&gt;0,"DIMENSIONES","SIN LÍNEAS"),UPPER(TRIM(L425))))</f>
      </c>
      <c r="Q425" s="0">
        <f>IF(AND(O425&gt;0,LEN(TRIM(B425&amp;""))&gt;0,LEN(TRIM(C425&amp;""))&gt;0,LEN(TRIM(E425&amp;""))&gt;0,ISNUMBER(F425)),O425,"")</f>
      </c>
      <c r="R425" s="0" t="n">
        <f>IF(O425=0,0,IF(COUNTIFS($Q$13:$Q$512,O425)&gt;0,MATCH(O425,$Q$13:$Q$512,0),0))</f>
        <v>0</v>
      </c>
      <c r="S425" s="0">
        <f>IF(AB425="","",IF(SUMPRODUCT(--('LÉEME'!$B$65:$B$86=AC425))=1,INDEX('LÉEME'!$C$65:$C$86,MATCH(AC425,'LÉEME'!$B$65:$B$86,0)),UPPER(TRIM(AB425))))</f>
      </c>
      <c r="T425" s="0" t="n">
        <f>IF(R425=0,0,IF(OR(AND(LEN(TRIM(B425&amp;""))&gt;0,UPPER(TRIM(B425&amp;""))&lt;&gt;UPPER(TRIM(INDEX($B$13:$B$512,R425)&amp;""))),AND(LEN(TRIM(C425&amp;""))&gt;0,UPPER(TRIM(C425&amp;""))&lt;&gt;UPPER(TRIM(INDEX($C$13:$C$512,R425)&amp;""))),AND(LEN(TRIM(E425&amp;""))&gt;0,S425&lt;&gt;INDEX($S$13:$S$512,R425)),AND(F425&lt;&gt;"",NOT(ISNUMBER(F425)))),1,IF(ISNUMBER(F425),IF(ABS(F425-INDEX($F$13:$F$512,R425))&gt;0.00000001,1,0),0)))</f>
        <v>0</v>
      </c>
      <c r="U425" s="0" t="n">
        <f>IF(P425="DIRECTA",IF(AND(ISNUMBER(G425),COUNTA(H425:J425)=0),1,0),IF(P425="DIMENSIONES",IF(AND(COUNT(G425:J425)&gt;0,COUNTA(G425:J425)=COUNT(G425:J425)),1,0),0))</f>
        <v>0</v>
      </c>
      <c r="V425" s="0" t="n">
        <f>IF(O425=0,0,IF(COUNTIFS($O$13:O425,O425)=1,1,0))</f>
        <v>0</v>
      </c>
      <c r="W425" s="0">
        <f>IF(V425=1,COUNTIFS($V$13:V425,1),"")</f>
      </c>
      <c r="X425" s="0">
        <f>IF(COUNTA(B425:L425)=0,"",IF(OR(NOT(IF(ISNUMBER($E$6),AND($E$6&gt;=0,$E$6&lt;=6,$E$6=INT($E$6)),FALSE)),O425=0,R425=0,T425&gt;0,AND(P425&lt;&gt;"DIMENSIONES",P425&lt;&gt;"DIRECTA",P425&lt;&gt;"SIN LÍNEAS",P425&lt;&gt;"CABECERA"),AND(OR(P425="DIRECTA",P425="DIMENSIONES"),U425=0),AND(OR(P425="SIN LÍNEAS",P425="CABECERA"),COUNTA(G425:J425)&gt;0)),2,IF(OR(P425="SIN LÍNEAS",Y425&gt;0,Z425&gt;0,AA425&gt;0,SUMPRODUCT(--('LÉEME'!$B$65:$B$86=AC425))&lt;&gt;1),1,0)))</f>
      </c>
      <c r="Y425" s="0" t="n">
        <f>IF(AND(P425="DIMENSIONES",S425="m²",COUNT(H425:J425)=3),1,0)</f>
        <v>0</v>
      </c>
      <c r="Z425" s="0" t="n">
        <f>IF(IF(ISNUMBER($E$6),AND($E$6&gt;=0,$E$6&lt;=6,$E$6=INT($E$6)),FALSE),IF(SUM(IF(ISNUMBER(F425),IF(ABS(F425-ROUND(F425,$E$6))&gt;0.00000001,1,0),0),IF(ISNUMBER(G425),IF(ABS(G425-ROUND(G425,$E$6))&gt;0.00000001,1,0),0),IF(ISNUMBER(H425),IF(ABS(H425-ROUND(H425,$E$6))&gt;0.00000001,1,0),0),IF(ISNUMBER(I425),IF(ABS(I425-ROUND(I425,$E$6))&gt;0.00000001,1,0),0),IF(ISNUMBER(J425),IF(ABS(J425-ROUND(J425,$E$6))&gt;0.00000001,1,0),0),IF(ISNUMBER(M425),IF(ABS(M425-ROUND(M425,$E$6))&gt;0.00000001,1,0),0))&gt;0,1,0),0)</f>
        <v>0</v>
      </c>
      <c r="AA425" s="0" t="n">
        <f>IF(COUNTA(B425:L425)=0,0,IF(OR(AND(ISNUMBER(F425),F425&lt;0),AND(U425=1,OR(SUM(IF(ISNUMBER(G425),IF(G425=0,1,0),0),IF(ISNUMBER(H425),IF(H425=0,1,0),0),IF(ISNUMBER(I425),IF(I425=0,1,0),0),IF(ISNUMBER(J425),IF(J425=0,1,0),0))&gt;0,COUNTIFS(G425:J425,"&lt;0")&gt;0)),AND(P425="DIMENSIONES",U425=1,OR(AND(S425="m",COUNT(H425:J425)&lt;&gt;1),AND(S425="m²",COUNT(H425:J425)&lt;&gt;2,Y425=0),AND(S425="m³",COUNT(H425:J425)&lt;&gt;3),AND(S425="ud",COUNT(H425:J425)&gt;0))),AND(P425="DIRECTA",OR(S425="m",S425="m²",S425="m³"))),1,0))</f>
        <v>0</v>
      </c>
      <c r="AB425" s="0">
        <f>IF(LEN(TRIM(E425&amp;""))&gt;0,E425,IF(R425&gt;0,INDEX($E$13:$E$512,R425),""))</f>
      </c>
      <c r="AC425" s="0">
        <f>UPPER(SUBSTITUTE(SUBSTITUTE(SUBSTITUTE(SUBSTITUTE(SUBSTITUTE(TRIM(AB425),"²","2"),"³","3"),"^",""),".","")," ",""))</f>
      </c>
    </row>
    <row r="426" ht="35" customHeight="1">
      <c r="B426" s="35"/>
      <c r="C426" s="35"/>
      <c r="D426" s="37"/>
      <c r="E426" s="35"/>
      <c r="F426" s="38"/>
      <c r="G426" s="38"/>
      <c r="H426" s="38"/>
      <c r="I426" s="38"/>
      <c r="J426" s="38"/>
      <c r="K426" s="35"/>
      <c r="L426" s="35"/>
      <c r="M426" s="39">
        <f>IF(U426&lt;&gt;1,"",IF(P426="DIRECTA",G426,IF(ISNUMBER(G426),G426,1)*IF(ISNUMBER(H426),H426,1)*IF(ISNUMBER(I426),I426,1)*IF(ISNUMBER(J426),J426,1)))</f>
      </c>
      <c r="N426" s="30">
        <f>IF(COUNTA(B426:L426)=0,"",IF(X426=0,IF(P426="CABECERA","VERDE · Fila descriptiva; la suma usa las líneas del ID","VERDE · Datos numéricos interpretables"),IF(X426=2,"ROJO · ","ÁMBAR · ")&amp;IF(NOT(IF(ISNUMBER($E$6),AND($E$6&gt;=0,$E$6&lt;=6,$E$6=INT($E$6)),FALSE)),"Indicamos entre 0 y 6 decimales en E6. ","")&amp;IF(O426=0,"Falta un ID numérico. ","")&amp;IF(R426=0,"Faltan capítulo, código, unidad o total numérico del ID. ","")&amp;IF(T426&gt;0,"Los datos o el total del ID se contradicen. ","")&amp;IF(AND(P426&lt;&gt;"DIMENSIONES",P426&lt;&gt;"DIRECTA",P426&lt;&gt;"SIN LÍNEAS",P426&lt;&gt;"CABECERA"),"Tipo de fila no reconocido. ","")&amp;IF(AND(OR(P426="SIN LÍNEAS",P426="CABECERA"),COUNTA(G426:J426)&gt;0),"La fila dice que no mide, pero contiene medidas. ","")&amp;IF(AND(OR(P426="DIRECTA",P426="DIMENSIONES"),U426=0),"Línea incompleta o con medidas no numéricas. ","")&amp;IF(P426="SIN LÍNEAS","No constan medidas de esta fila. ","")&amp;IF(Y426&gt;0,"Parece m³: tres dimensiones bajo m². ","")&amp;IF(AND(AB426&lt;&gt;"",SUMPRODUCT(--('LÉEME'!$B$65:$B$86=AC426))&lt;&gt;1),"Revisamos el significado de la unidad. ","")&amp;IF(Z426&gt;0,"Más precisión que los decimales indicados: cotejamos el original. ","")&amp;IF(AA426&gt;0,"Revisamos dimensiones, cantidad directa, ceros o deducción. ","")))</f>
      </c>
      <c r="O426" s="0" t="n">
        <f>IF(ISNUMBER(K426),IF(AND(K426&gt;0,K426=INT(K426),K426&lt;=999999),K426,0),0)</f>
        <v>0</v>
      </c>
      <c r="P426" s="0">
        <f>IF(COUNTA(B426:L426)=0,"",IF(L426="",IF(COUNTA(G426:J426)&gt;0,"DIMENSIONES","SIN LÍNEAS"),UPPER(TRIM(L426))))</f>
      </c>
      <c r="Q426" s="0">
        <f>IF(AND(O426&gt;0,LEN(TRIM(B426&amp;""))&gt;0,LEN(TRIM(C426&amp;""))&gt;0,LEN(TRIM(E426&amp;""))&gt;0,ISNUMBER(F426)),O426,"")</f>
      </c>
      <c r="R426" s="0" t="n">
        <f>IF(O426=0,0,IF(COUNTIFS($Q$13:$Q$512,O426)&gt;0,MATCH(O426,$Q$13:$Q$512,0),0))</f>
        <v>0</v>
      </c>
      <c r="S426" s="0">
        <f>IF(AB426="","",IF(SUMPRODUCT(--('LÉEME'!$B$65:$B$86=AC426))=1,INDEX('LÉEME'!$C$65:$C$86,MATCH(AC426,'LÉEME'!$B$65:$B$86,0)),UPPER(TRIM(AB426))))</f>
      </c>
      <c r="T426" s="0" t="n">
        <f>IF(R426=0,0,IF(OR(AND(LEN(TRIM(B426&amp;""))&gt;0,UPPER(TRIM(B426&amp;""))&lt;&gt;UPPER(TRIM(INDEX($B$13:$B$512,R426)&amp;""))),AND(LEN(TRIM(C426&amp;""))&gt;0,UPPER(TRIM(C426&amp;""))&lt;&gt;UPPER(TRIM(INDEX($C$13:$C$512,R426)&amp;""))),AND(LEN(TRIM(E426&amp;""))&gt;0,S426&lt;&gt;INDEX($S$13:$S$512,R426)),AND(F426&lt;&gt;"",NOT(ISNUMBER(F426)))),1,IF(ISNUMBER(F426),IF(ABS(F426-INDEX($F$13:$F$512,R426))&gt;0.00000001,1,0),0)))</f>
        <v>0</v>
      </c>
      <c r="U426" s="0" t="n">
        <f>IF(P426="DIRECTA",IF(AND(ISNUMBER(G426),COUNTA(H426:J426)=0),1,0),IF(P426="DIMENSIONES",IF(AND(COUNT(G426:J426)&gt;0,COUNTA(G426:J426)=COUNT(G426:J426)),1,0),0))</f>
        <v>0</v>
      </c>
      <c r="V426" s="0" t="n">
        <f>IF(O426=0,0,IF(COUNTIFS($O$13:O426,O426)=1,1,0))</f>
        <v>0</v>
      </c>
      <c r="W426" s="0">
        <f>IF(V426=1,COUNTIFS($V$13:V426,1),"")</f>
      </c>
      <c r="X426" s="0">
        <f>IF(COUNTA(B426:L426)=0,"",IF(OR(NOT(IF(ISNUMBER($E$6),AND($E$6&gt;=0,$E$6&lt;=6,$E$6=INT($E$6)),FALSE)),O426=0,R426=0,T426&gt;0,AND(P426&lt;&gt;"DIMENSIONES",P426&lt;&gt;"DIRECTA",P426&lt;&gt;"SIN LÍNEAS",P426&lt;&gt;"CABECERA"),AND(OR(P426="DIRECTA",P426="DIMENSIONES"),U426=0),AND(OR(P426="SIN LÍNEAS",P426="CABECERA"),COUNTA(G426:J426)&gt;0)),2,IF(OR(P426="SIN LÍNEAS",Y426&gt;0,Z426&gt;0,AA426&gt;0,SUMPRODUCT(--('LÉEME'!$B$65:$B$86=AC426))&lt;&gt;1),1,0)))</f>
      </c>
      <c r="Y426" s="0" t="n">
        <f>IF(AND(P426="DIMENSIONES",S426="m²",COUNT(H426:J426)=3),1,0)</f>
        <v>0</v>
      </c>
      <c r="Z426" s="0" t="n">
        <f>IF(IF(ISNUMBER($E$6),AND($E$6&gt;=0,$E$6&lt;=6,$E$6=INT($E$6)),FALSE),IF(SUM(IF(ISNUMBER(F426),IF(ABS(F426-ROUND(F426,$E$6))&gt;0.00000001,1,0),0),IF(ISNUMBER(G426),IF(ABS(G426-ROUND(G426,$E$6))&gt;0.00000001,1,0),0),IF(ISNUMBER(H426),IF(ABS(H426-ROUND(H426,$E$6))&gt;0.00000001,1,0),0),IF(ISNUMBER(I426),IF(ABS(I426-ROUND(I426,$E$6))&gt;0.00000001,1,0),0),IF(ISNUMBER(J426),IF(ABS(J426-ROUND(J426,$E$6))&gt;0.00000001,1,0),0),IF(ISNUMBER(M426),IF(ABS(M426-ROUND(M426,$E$6))&gt;0.00000001,1,0),0))&gt;0,1,0),0)</f>
        <v>0</v>
      </c>
      <c r="AA426" s="0" t="n">
        <f>IF(COUNTA(B426:L426)=0,0,IF(OR(AND(ISNUMBER(F426),F426&lt;0),AND(U426=1,OR(SUM(IF(ISNUMBER(G426),IF(G426=0,1,0),0),IF(ISNUMBER(H426),IF(H426=0,1,0),0),IF(ISNUMBER(I426),IF(I426=0,1,0),0),IF(ISNUMBER(J426),IF(J426=0,1,0),0))&gt;0,COUNTIFS(G426:J426,"&lt;0")&gt;0)),AND(P426="DIMENSIONES",U426=1,OR(AND(S426="m",COUNT(H426:J426)&lt;&gt;1),AND(S426="m²",COUNT(H426:J426)&lt;&gt;2,Y426=0),AND(S426="m³",COUNT(H426:J426)&lt;&gt;3),AND(S426="ud",COUNT(H426:J426)&gt;0))),AND(P426="DIRECTA",OR(S426="m",S426="m²",S426="m³"))),1,0))</f>
        <v>0</v>
      </c>
      <c r="AB426" s="0">
        <f>IF(LEN(TRIM(E426&amp;""))&gt;0,E426,IF(R426&gt;0,INDEX($E$13:$E$512,R426),""))</f>
      </c>
      <c r="AC426" s="0">
        <f>UPPER(SUBSTITUTE(SUBSTITUTE(SUBSTITUTE(SUBSTITUTE(SUBSTITUTE(TRIM(AB426),"²","2"),"³","3"),"^",""),".","")," ",""))</f>
      </c>
    </row>
    <row r="427" ht="35" customHeight="1">
      <c r="B427" s="35"/>
      <c r="C427" s="35"/>
      <c r="D427" s="37"/>
      <c r="E427" s="35"/>
      <c r="F427" s="38"/>
      <c r="G427" s="38"/>
      <c r="H427" s="38"/>
      <c r="I427" s="38"/>
      <c r="J427" s="38"/>
      <c r="K427" s="35"/>
      <c r="L427" s="35"/>
      <c r="M427" s="39">
        <f>IF(U427&lt;&gt;1,"",IF(P427="DIRECTA",G427,IF(ISNUMBER(G427),G427,1)*IF(ISNUMBER(H427),H427,1)*IF(ISNUMBER(I427),I427,1)*IF(ISNUMBER(J427),J427,1)))</f>
      </c>
      <c r="N427" s="30">
        <f>IF(COUNTA(B427:L427)=0,"",IF(X427=0,IF(P427="CABECERA","VERDE · Fila descriptiva; la suma usa las líneas del ID","VERDE · Datos numéricos interpretables"),IF(X427=2,"ROJO · ","ÁMBAR · ")&amp;IF(NOT(IF(ISNUMBER($E$6),AND($E$6&gt;=0,$E$6&lt;=6,$E$6=INT($E$6)),FALSE)),"Indicamos entre 0 y 6 decimales en E6. ","")&amp;IF(O427=0,"Falta un ID numérico. ","")&amp;IF(R427=0,"Faltan capítulo, código, unidad o total numérico del ID. ","")&amp;IF(T427&gt;0,"Los datos o el total del ID se contradicen. ","")&amp;IF(AND(P427&lt;&gt;"DIMENSIONES",P427&lt;&gt;"DIRECTA",P427&lt;&gt;"SIN LÍNEAS",P427&lt;&gt;"CABECERA"),"Tipo de fila no reconocido. ","")&amp;IF(AND(OR(P427="SIN LÍNEAS",P427="CABECERA"),COUNTA(G427:J427)&gt;0),"La fila dice que no mide, pero contiene medidas. ","")&amp;IF(AND(OR(P427="DIRECTA",P427="DIMENSIONES"),U427=0),"Línea incompleta o con medidas no numéricas. ","")&amp;IF(P427="SIN LÍNEAS","No constan medidas de esta fila. ","")&amp;IF(Y427&gt;0,"Parece m³: tres dimensiones bajo m². ","")&amp;IF(AND(AB427&lt;&gt;"",SUMPRODUCT(--('LÉEME'!$B$65:$B$86=AC427))&lt;&gt;1),"Revisamos el significado de la unidad. ","")&amp;IF(Z427&gt;0,"Más precisión que los decimales indicados: cotejamos el original. ","")&amp;IF(AA427&gt;0,"Revisamos dimensiones, cantidad directa, ceros o deducción. ","")))</f>
      </c>
      <c r="O427" s="0" t="n">
        <f>IF(ISNUMBER(K427),IF(AND(K427&gt;0,K427=INT(K427),K427&lt;=999999),K427,0),0)</f>
        <v>0</v>
      </c>
      <c r="P427" s="0">
        <f>IF(COUNTA(B427:L427)=0,"",IF(L427="",IF(COUNTA(G427:J427)&gt;0,"DIMENSIONES","SIN LÍNEAS"),UPPER(TRIM(L427))))</f>
      </c>
      <c r="Q427" s="0">
        <f>IF(AND(O427&gt;0,LEN(TRIM(B427&amp;""))&gt;0,LEN(TRIM(C427&amp;""))&gt;0,LEN(TRIM(E427&amp;""))&gt;0,ISNUMBER(F427)),O427,"")</f>
      </c>
      <c r="R427" s="0" t="n">
        <f>IF(O427=0,0,IF(COUNTIFS($Q$13:$Q$512,O427)&gt;0,MATCH(O427,$Q$13:$Q$512,0),0))</f>
        <v>0</v>
      </c>
      <c r="S427" s="0">
        <f>IF(AB427="","",IF(SUMPRODUCT(--('LÉEME'!$B$65:$B$86=AC427))=1,INDEX('LÉEME'!$C$65:$C$86,MATCH(AC427,'LÉEME'!$B$65:$B$86,0)),UPPER(TRIM(AB427))))</f>
      </c>
      <c r="T427" s="0" t="n">
        <f>IF(R427=0,0,IF(OR(AND(LEN(TRIM(B427&amp;""))&gt;0,UPPER(TRIM(B427&amp;""))&lt;&gt;UPPER(TRIM(INDEX($B$13:$B$512,R427)&amp;""))),AND(LEN(TRIM(C427&amp;""))&gt;0,UPPER(TRIM(C427&amp;""))&lt;&gt;UPPER(TRIM(INDEX($C$13:$C$512,R427)&amp;""))),AND(LEN(TRIM(E427&amp;""))&gt;0,S427&lt;&gt;INDEX($S$13:$S$512,R427)),AND(F427&lt;&gt;"",NOT(ISNUMBER(F427)))),1,IF(ISNUMBER(F427),IF(ABS(F427-INDEX($F$13:$F$512,R427))&gt;0.00000001,1,0),0)))</f>
        <v>0</v>
      </c>
      <c r="U427" s="0" t="n">
        <f>IF(P427="DIRECTA",IF(AND(ISNUMBER(G427),COUNTA(H427:J427)=0),1,0),IF(P427="DIMENSIONES",IF(AND(COUNT(G427:J427)&gt;0,COUNTA(G427:J427)=COUNT(G427:J427)),1,0),0))</f>
        <v>0</v>
      </c>
      <c r="V427" s="0" t="n">
        <f>IF(O427=0,0,IF(COUNTIFS($O$13:O427,O427)=1,1,0))</f>
        <v>0</v>
      </c>
      <c r="W427" s="0">
        <f>IF(V427=1,COUNTIFS($V$13:V427,1),"")</f>
      </c>
      <c r="X427" s="0">
        <f>IF(COUNTA(B427:L427)=0,"",IF(OR(NOT(IF(ISNUMBER($E$6),AND($E$6&gt;=0,$E$6&lt;=6,$E$6=INT($E$6)),FALSE)),O427=0,R427=0,T427&gt;0,AND(P427&lt;&gt;"DIMENSIONES",P427&lt;&gt;"DIRECTA",P427&lt;&gt;"SIN LÍNEAS",P427&lt;&gt;"CABECERA"),AND(OR(P427="DIRECTA",P427="DIMENSIONES"),U427=0),AND(OR(P427="SIN LÍNEAS",P427="CABECERA"),COUNTA(G427:J427)&gt;0)),2,IF(OR(P427="SIN LÍNEAS",Y427&gt;0,Z427&gt;0,AA427&gt;0,SUMPRODUCT(--('LÉEME'!$B$65:$B$86=AC427))&lt;&gt;1),1,0)))</f>
      </c>
      <c r="Y427" s="0" t="n">
        <f>IF(AND(P427="DIMENSIONES",S427="m²",COUNT(H427:J427)=3),1,0)</f>
        <v>0</v>
      </c>
      <c r="Z427" s="0" t="n">
        <f>IF(IF(ISNUMBER($E$6),AND($E$6&gt;=0,$E$6&lt;=6,$E$6=INT($E$6)),FALSE),IF(SUM(IF(ISNUMBER(F427),IF(ABS(F427-ROUND(F427,$E$6))&gt;0.00000001,1,0),0),IF(ISNUMBER(G427),IF(ABS(G427-ROUND(G427,$E$6))&gt;0.00000001,1,0),0),IF(ISNUMBER(H427),IF(ABS(H427-ROUND(H427,$E$6))&gt;0.00000001,1,0),0),IF(ISNUMBER(I427),IF(ABS(I427-ROUND(I427,$E$6))&gt;0.00000001,1,0),0),IF(ISNUMBER(J427),IF(ABS(J427-ROUND(J427,$E$6))&gt;0.00000001,1,0),0),IF(ISNUMBER(M427),IF(ABS(M427-ROUND(M427,$E$6))&gt;0.00000001,1,0),0))&gt;0,1,0),0)</f>
        <v>0</v>
      </c>
      <c r="AA427" s="0" t="n">
        <f>IF(COUNTA(B427:L427)=0,0,IF(OR(AND(ISNUMBER(F427),F427&lt;0),AND(U427=1,OR(SUM(IF(ISNUMBER(G427),IF(G427=0,1,0),0),IF(ISNUMBER(H427),IF(H427=0,1,0),0),IF(ISNUMBER(I427),IF(I427=0,1,0),0),IF(ISNUMBER(J427),IF(J427=0,1,0),0))&gt;0,COUNTIFS(G427:J427,"&lt;0")&gt;0)),AND(P427="DIMENSIONES",U427=1,OR(AND(S427="m",COUNT(H427:J427)&lt;&gt;1),AND(S427="m²",COUNT(H427:J427)&lt;&gt;2,Y427=0),AND(S427="m³",COUNT(H427:J427)&lt;&gt;3),AND(S427="ud",COUNT(H427:J427)&gt;0))),AND(P427="DIRECTA",OR(S427="m",S427="m²",S427="m³"))),1,0))</f>
        <v>0</v>
      </c>
      <c r="AB427" s="0">
        <f>IF(LEN(TRIM(E427&amp;""))&gt;0,E427,IF(R427&gt;0,INDEX($E$13:$E$512,R427),""))</f>
      </c>
      <c r="AC427" s="0">
        <f>UPPER(SUBSTITUTE(SUBSTITUTE(SUBSTITUTE(SUBSTITUTE(SUBSTITUTE(TRIM(AB427),"²","2"),"³","3"),"^",""),".","")," ",""))</f>
      </c>
    </row>
    <row r="428" ht="35" customHeight="1">
      <c r="B428" s="35"/>
      <c r="C428" s="35"/>
      <c r="D428" s="37"/>
      <c r="E428" s="35"/>
      <c r="F428" s="38"/>
      <c r="G428" s="38"/>
      <c r="H428" s="38"/>
      <c r="I428" s="38"/>
      <c r="J428" s="38"/>
      <c r="K428" s="35"/>
      <c r="L428" s="35"/>
      <c r="M428" s="39">
        <f>IF(U428&lt;&gt;1,"",IF(P428="DIRECTA",G428,IF(ISNUMBER(G428),G428,1)*IF(ISNUMBER(H428),H428,1)*IF(ISNUMBER(I428),I428,1)*IF(ISNUMBER(J428),J428,1)))</f>
      </c>
      <c r="N428" s="30">
        <f>IF(COUNTA(B428:L428)=0,"",IF(X428=0,IF(P428="CABECERA","VERDE · Fila descriptiva; la suma usa las líneas del ID","VERDE · Datos numéricos interpretables"),IF(X428=2,"ROJO · ","ÁMBAR · ")&amp;IF(NOT(IF(ISNUMBER($E$6),AND($E$6&gt;=0,$E$6&lt;=6,$E$6=INT($E$6)),FALSE)),"Indicamos entre 0 y 6 decimales en E6. ","")&amp;IF(O428=0,"Falta un ID numérico. ","")&amp;IF(R428=0,"Faltan capítulo, código, unidad o total numérico del ID. ","")&amp;IF(T428&gt;0,"Los datos o el total del ID se contradicen. ","")&amp;IF(AND(P428&lt;&gt;"DIMENSIONES",P428&lt;&gt;"DIRECTA",P428&lt;&gt;"SIN LÍNEAS",P428&lt;&gt;"CABECERA"),"Tipo de fila no reconocido. ","")&amp;IF(AND(OR(P428="SIN LÍNEAS",P428="CABECERA"),COUNTA(G428:J428)&gt;0),"La fila dice que no mide, pero contiene medidas. ","")&amp;IF(AND(OR(P428="DIRECTA",P428="DIMENSIONES"),U428=0),"Línea incompleta o con medidas no numéricas. ","")&amp;IF(P428="SIN LÍNEAS","No constan medidas de esta fila. ","")&amp;IF(Y428&gt;0,"Parece m³: tres dimensiones bajo m². ","")&amp;IF(AND(AB428&lt;&gt;"",SUMPRODUCT(--('LÉEME'!$B$65:$B$86=AC428))&lt;&gt;1),"Revisamos el significado de la unidad. ","")&amp;IF(Z428&gt;0,"Más precisión que los decimales indicados: cotejamos el original. ","")&amp;IF(AA428&gt;0,"Revisamos dimensiones, cantidad directa, ceros o deducción. ","")))</f>
      </c>
      <c r="O428" s="0" t="n">
        <f>IF(ISNUMBER(K428),IF(AND(K428&gt;0,K428=INT(K428),K428&lt;=999999),K428,0),0)</f>
        <v>0</v>
      </c>
      <c r="P428" s="0">
        <f>IF(COUNTA(B428:L428)=0,"",IF(L428="",IF(COUNTA(G428:J428)&gt;0,"DIMENSIONES","SIN LÍNEAS"),UPPER(TRIM(L428))))</f>
      </c>
      <c r="Q428" s="0">
        <f>IF(AND(O428&gt;0,LEN(TRIM(B428&amp;""))&gt;0,LEN(TRIM(C428&amp;""))&gt;0,LEN(TRIM(E428&amp;""))&gt;0,ISNUMBER(F428)),O428,"")</f>
      </c>
      <c r="R428" s="0" t="n">
        <f>IF(O428=0,0,IF(COUNTIFS($Q$13:$Q$512,O428)&gt;0,MATCH(O428,$Q$13:$Q$512,0),0))</f>
        <v>0</v>
      </c>
      <c r="S428" s="0">
        <f>IF(AB428="","",IF(SUMPRODUCT(--('LÉEME'!$B$65:$B$86=AC428))=1,INDEX('LÉEME'!$C$65:$C$86,MATCH(AC428,'LÉEME'!$B$65:$B$86,0)),UPPER(TRIM(AB428))))</f>
      </c>
      <c r="T428" s="0" t="n">
        <f>IF(R428=0,0,IF(OR(AND(LEN(TRIM(B428&amp;""))&gt;0,UPPER(TRIM(B428&amp;""))&lt;&gt;UPPER(TRIM(INDEX($B$13:$B$512,R428)&amp;""))),AND(LEN(TRIM(C428&amp;""))&gt;0,UPPER(TRIM(C428&amp;""))&lt;&gt;UPPER(TRIM(INDEX($C$13:$C$512,R428)&amp;""))),AND(LEN(TRIM(E428&amp;""))&gt;0,S428&lt;&gt;INDEX($S$13:$S$512,R428)),AND(F428&lt;&gt;"",NOT(ISNUMBER(F428)))),1,IF(ISNUMBER(F428),IF(ABS(F428-INDEX($F$13:$F$512,R428))&gt;0.00000001,1,0),0)))</f>
        <v>0</v>
      </c>
      <c r="U428" s="0" t="n">
        <f>IF(P428="DIRECTA",IF(AND(ISNUMBER(G428),COUNTA(H428:J428)=0),1,0),IF(P428="DIMENSIONES",IF(AND(COUNT(G428:J428)&gt;0,COUNTA(G428:J428)=COUNT(G428:J428)),1,0),0))</f>
        <v>0</v>
      </c>
      <c r="V428" s="0" t="n">
        <f>IF(O428=0,0,IF(COUNTIFS($O$13:O428,O428)=1,1,0))</f>
        <v>0</v>
      </c>
      <c r="W428" s="0">
        <f>IF(V428=1,COUNTIFS($V$13:V428,1),"")</f>
      </c>
      <c r="X428" s="0">
        <f>IF(COUNTA(B428:L428)=0,"",IF(OR(NOT(IF(ISNUMBER($E$6),AND($E$6&gt;=0,$E$6&lt;=6,$E$6=INT($E$6)),FALSE)),O428=0,R428=0,T428&gt;0,AND(P428&lt;&gt;"DIMENSIONES",P428&lt;&gt;"DIRECTA",P428&lt;&gt;"SIN LÍNEAS",P428&lt;&gt;"CABECERA"),AND(OR(P428="DIRECTA",P428="DIMENSIONES"),U428=0),AND(OR(P428="SIN LÍNEAS",P428="CABECERA"),COUNTA(G428:J428)&gt;0)),2,IF(OR(P428="SIN LÍNEAS",Y428&gt;0,Z428&gt;0,AA428&gt;0,SUMPRODUCT(--('LÉEME'!$B$65:$B$86=AC428))&lt;&gt;1),1,0)))</f>
      </c>
      <c r="Y428" s="0" t="n">
        <f>IF(AND(P428="DIMENSIONES",S428="m²",COUNT(H428:J428)=3),1,0)</f>
        <v>0</v>
      </c>
      <c r="Z428" s="0" t="n">
        <f>IF(IF(ISNUMBER($E$6),AND($E$6&gt;=0,$E$6&lt;=6,$E$6=INT($E$6)),FALSE),IF(SUM(IF(ISNUMBER(F428),IF(ABS(F428-ROUND(F428,$E$6))&gt;0.00000001,1,0),0),IF(ISNUMBER(G428),IF(ABS(G428-ROUND(G428,$E$6))&gt;0.00000001,1,0),0),IF(ISNUMBER(H428),IF(ABS(H428-ROUND(H428,$E$6))&gt;0.00000001,1,0),0),IF(ISNUMBER(I428),IF(ABS(I428-ROUND(I428,$E$6))&gt;0.00000001,1,0),0),IF(ISNUMBER(J428),IF(ABS(J428-ROUND(J428,$E$6))&gt;0.00000001,1,0),0),IF(ISNUMBER(M428),IF(ABS(M428-ROUND(M428,$E$6))&gt;0.00000001,1,0),0))&gt;0,1,0),0)</f>
        <v>0</v>
      </c>
      <c r="AA428" s="0" t="n">
        <f>IF(COUNTA(B428:L428)=0,0,IF(OR(AND(ISNUMBER(F428),F428&lt;0),AND(U428=1,OR(SUM(IF(ISNUMBER(G428),IF(G428=0,1,0),0),IF(ISNUMBER(H428),IF(H428=0,1,0),0),IF(ISNUMBER(I428),IF(I428=0,1,0),0),IF(ISNUMBER(J428),IF(J428=0,1,0),0))&gt;0,COUNTIFS(G428:J428,"&lt;0")&gt;0)),AND(P428="DIMENSIONES",U428=1,OR(AND(S428="m",COUNT(H428:J428)&lt;&gt;1),AND(S428="m²",COUNT(H428:J428)&lt;&gt;2,Y428=0),AND(S428="m³",COUNT(H428:J428)&lt;&gt;3),AND(S428="ud",COUNT(H428:J428)&gt;0))),AND(P428="DIRECTA",OR(S428="m",S428="m²",S428="m³"))),1,0))</f>
        <v>0</v>
      </c>
      <c r="AB428" s="0">
        <f>IF(LEN(TRIM(E428&amp;""))&gt;0,E428,IF(R428&gt;0,INDEX($E$13:$E$512,R428),""))</f>
      </c>
      <c r="AC428" s="0">
        <f>UPPER(SUBSTITUTE(SUBSTITUTE(SUBSTITUTE(SUBSTITUTE(SUBSTITUTE(TRIM(AB428),"²","2"),"³","3"),"^",""),".","")," ",""))</f>
      </c>
    </row>
    <row r="429" ht="35" customHeight="1">
      <c r="B429" s="35"/>
      <c r="C429" s="35"/>
      <c r="D429" s="37"/>
      <c r="E429" s="35"/>
      <c r="F429" s="38"/>
      <c r="G429" s="38"/>
      <c r="H429" s="38"/>
      <c r="I429" s="38"/>
      <c r="J429" s="38"/>
      <c r="K429" s="35"/>
      <c r="L429" s="35"/>
      <c r="M429" s="39">
        <f>IF(U429&lt;&gt;1,"",IF(P429="DIRECTA",G429,IF(ISNUMBER(G429),G429,1)*IF(ISNUMBER(H429),H429,1)*IF(ISNUMBER(I429),I429,1)*IF(ISNUMBER(J429),J429,1)))</f>
      </c>
      <c r="N429" s="30">
        <f>IF(COUNTA(B429:L429)=0,"",IF(X429=0,IF(P429="CABECERA","VERDE · Fila descriptiva; la suma usa las líneas del ID","VERDE · Datos numéricos interpretables"),IF(X429=2,"ROJO · ","ÁMBAR · ")&amp;IF(NOT(IF(ISNUMBER($E$6),AND($E$6&gt;=0,$E$6&lt;=6,$E$6=INT($E$6)),FALSE)),"Indicamos entre 0 y 6 decimales en E6. ","")&amp;IF(O429=0,"Falta un ID numérico. ","")&amp;IF(R429=0,"Faltan capítulo, código, unidad o total numérico del ID. ","")&amp;IF(T429&gt;0,"Los datos o el total del ID se contradicen. ","")&amp;IF(AND(P429&lt;&gt;"DIMENSIONES",P429&lt;&gt;"DIRECTA",P429&lt;&gt;"SIN LÍNEAS",P429&lt;&gt;"CABECERA"),"Tipo de fila no reconocido. ","")&amp;IF(AND(OR(P429="SIN LÍNEAS",P429="CABECERA"),COUNTA(G429:J429)&gt;0),"La fila dice que no mide, pero contiene medidas. ","")&amp;IF(AND(OR(P429="DIRECTA",P429="DIMENSIONES"),U429=0),"Línea incompleta o con medidas no numéricas. ","")&amp;IF(P429="SIN LÍNEAS","No constan medidas de esta fila. ","")&amp;IF(Y429&gt;0,"Parece m³: tres dimensiones bajo m². ","")&amp;IF(AND(AB429&lt;&gt;"",SUMPRODUCT(--('LÉEME'!$B$65:$B$86=AC429))&lt;&gt;1),"Revisamos el significado de la unidad. ","")&amp;IF(Z429&gt;0,"Más precisión que los decimales indicados: cotejamos el original. ","")&amp;IF(AA429&gt;0,"Revisamos dimensiones, cantidad directa, ceros o deducción. ","")))</f>
      </c>
      <c r="O429" s="0" t="n">
        <f>IF(ISNUMBER(K429),IF(AND(K429&gt;0,K429=INT(K429),K429&lt;=999999),K429,0),0)</f>
        <v>0</v>
      </c>
      <c r="P429" s="0">
        <f>IF(COUNTA(B429:L429)=0,"",IF(L429="",IF(COUNTA(G429:J429)&gt;0,"DIMENSIONES","SIN LÍNEAS"),UPPER(TRIM(L429))))</f>
      </c>
      <c r="Q429" s="0">
        <f>IF(AND(O429&gt;0,LEN(TRIM(B429&amp;""))&gt;0,LEN(TRIM(C429&amp;""))&gt;0,LEN(TRIM(E429&amp;""))&gt;0,ISNUMBER(F429)),O429,"")</f>
      </c>
      <c r="R429" s="0" t="n">
        <f>IF(O429=0,0,IF(COUNTIFS($Q$13:$Q$512,O429)&gt;0,MATCH(O429,$Q$13:$Q$512,0),0))</f>
        <v>0</v>
      </c>
      <c r="S429" s="0">
        <f>IF(AB429="","",IF(SUMPRODUCT(--('LÉEME'!$B$65:$B$86=AC429))=1,INDEX('LÉEME'!$C$65:$C$86,MATCH(AC429,'LÉEME'!$B$65:$B$86,0)),UPPER(TRIM(AB429))))</f>
      </c>
      <c r="T429" s="0" t="n">
        <f>IF(R429=0,0,IF(OR(AND(LEN(TRIM(B429&amp;""))&gt;0,UPPER(TRIM(B429&amp;""))&lt;&gt;UPPER(TRIM(INDEX($B$13:$B$512,R429)&amp;""))),AND(LEN(TRIM(C429&amp;""))&gt;0,UPPER(TRIM(C429&amp;""))&lt;&gt;UPPER(TRIM(INDEX($C$13:$C$512,R429)&amp;""))),AND(LEN(TRIM(E429&amp;""))&gt;0,S429&lt;&gt;INDEX($S$13:$S$512,R429)),AND(F429&lt;&gt;"",NOT(ISNUMBER(F429)))),1,IF(ISNUMBER(F429),IF(ABS(F429-INDEX($F$13:$F$512,R429))&gt;0.00000001,1,0),0)))</f>
        <v>0</v>
      </c>
      <c r="U429" s="0" t="n">
        <f>IF(P429="DIRECTA",IF(AND(ISNUMBER(G429),COUNTA(H429:J429)=0),1,0),IF(P429="DIMENSIONES",IF(AND(COUNT(G429:J429)&gt;0,COUNTA(G429:J429)=COUNT(G429:J429)),1,0),0))</f>
        <v>0</v>
      </c>
      <c r="V429" s="0" t="n">
        <f>IF(O429=0,0,IF(COUNTIFS($O$13:O429,O429)=1,1,0))</f>
        <v>0</v>
      </c>
      <c r="W429" s="0">
        <f>IF(V429=1,COUNTIFS($V$13:V429,1),"")</f>
      </c>
      <c r="X429" s="0">
        <f>IF(COUNTA(B429:L429)=0,"",IF(OR(NOT(IF(ISNUMBER($E$6),AND($E$6&gt;=0,$E$6&lt;=6,$E$6=INT($E$6)),FALSE)),O429=0,R429=0,T429&gt;0,AND(P429&lt;&gt;"DIMENSIONES",P429&lt;&gt;"DIRECTA",P429&lt;&gt;"SIN LÍNEAS",P429&lt;&gt;"CABECERA"),AND(OR(P429="DIRECTA",P429="DIMENSIONES"),U429=0),AND(OR(P429="SIN LÍNEAS",P429="CABECERA"),COUNTA(G429:J429)&gt;0)),2,IF(OR(P429="SIN LÍNEAS",Y429&gt;0,Z429&gt;0,AA429&gt;0,SUMPRODUCT(--('LÉEME'!$B$65:$B$86=AC429))&lt;&gt;1),1,0)))</f>
      </c>
      <c r="Y429" s="0" t="n">
        <f>IF(AND(P429="DIMENSIONES",S429="m²",COUNT(H429:J429)=3),1,0)</f>
        <v>0</v>
      </c>
      <c r="Z429" s="0" t="n">
        <f>IF(IF(ISNUMBER($E$6),AND($E$6&gt;=0,$E$6&lt;=6,$E$6=INT($E$6)),FALSE),IF(SUM(IF(ISNUMBER(F429),IF(ABS(F429-ROUND(F429,$E$6))&gt;0.00000001,1,0),0),IF(ISNUMBER(G429),IF(ABS(G429-ROUND(G429,$E$6))&gt;0.00000001,1,0),0),IF(ISNUMBER(H429),IF(ABS(H429-ROUND(H429,$E$6))&gt;0.00000001,1,0),0),IF(ISNUMBER(I429),IF(ABS(I429-ROUND(I429,$E$6))&gt;0.00000001,1,0),0),IF(ISNUMBER(J429),IF(ABS(J429-ROUND(J429,$E$6))&gt;0.00000001,1,0),0),IF(ISNUMBER(M429),IF(ABS(M429-ROUND(M429,$E$6))&gt;0.00000001,1,0),0))&gt;0,1,0),0)</f>
        <v>0</v>
      </c>
      <c r="AA429" s="0" t="n">
        <f>IF(COUNTA(B429:L429)=0,0,IF(OR(AND(ISNUMBER(F429),F429&lt;0),AND(U429=1,OR(SUM(IF(ISNUMBER(G429),IF(G429=0,1,0),0),IF(ISNUMBER(H429),IF(H429=0,1,0),0),IF(ISNUMBER(I429),IF(I429=0,1,0),0),IF(ISNUMBER(J429),IF(J429=0,1,0),0))&gt;0,COUNTIFS(G429:J429,"&lt;0")&gt;0)),AND(P429="DIMENSIONES",U429=1,OR(AND(S429="m",COUNT(H429:J429)&lt;&gt;1),AND(S429="m²",COUNT(H429:J429)&lt;&gt;2,Y429=0),AND(S429="m³",COUNT(H429:J429)&lt;&gt;3),AND(S429="ud",COUNT(H429:J429)&gt;0))),AND(P429="DIRECTA",OR(S429="m",S429="m²",S429="m³"))),1,0))</f>
        <v>0</v>
      </c>
      <c r="AB429" s="0">
        <f>IF(LEN(TRIM(E429&amp;""))&gt;0,E429,IF(R429&gt;0,INDEX($E$13:$E$512,R429),""))</f>
      </c>
      <c r="AC429" s="0">
        <f>UPPER(SUBSTITUTE(SUBSTITUTE(SUBSTITUTE(SUBSTITUTE(SUBSTITUTE(TRIM(AB429),"²","2"),"³","3"),"^",""),".","")," ",""))</f>
      </c>
    </row>
    <row r="430" ht="35" customHeight="1">
      <c r="B430" s="35"/>
      <c r="C430" s="35"/>
      <c r="D430" s="37"/>
      <c r="E430" s="35"/>
      <c r="F430" s="38"/>
      <c r="G430" s="38"/>
      <c r="H430" s="38"/>
      <c r="I430" s="38"/>
      <c r="J430" s="38"/>
      <c r="K430" s="35"/>
      <c r="L430" s="35"/>
      <c r="M430" s="39">
        <f>IF(U430&lt;&gt;1,"",IF(P430="DIRECTA",G430,IF(ISNUMBER(G430),G430,1)*IF(ISNUMBER(H430),H430,1)*IF(ISNUMBER(I430),I430,1)*IF(ISNUMBER(J430),J430,1)))</f>
      </c>
      <c r="N430" s="30">
        <f>IF(COUNTA(B430:L430)=0,"",IF(X430=0,IF(P430="CABECERA","VERDE · Fila descriptiva; la suma usa las líneas del ID","VERDE · Datos numéricos interpretables"),IF(X430=2,"ROJO · ","ÁMBAR · ")&amp;IF(NOT(IF(ISNUMBER($E$6),AND($E$6&gt;=0,$E$6&lt;=6,$E$6=INT($E$6)),FALSE)),"Indicamos entre 0 y 6 decimales en E6. ","")&amp;IF(O430=0,"Falta un ID numérico. ","")&amp;IF(R430=0,"Faltan capítulo, código, unidad o total numérico del ID. ","")&amp;IF(T430&gt;0,"Los datos o el total del ID se contradicen. ","")&amp;IF(AND(P430&lt;&gt;"DIMENSIONES",P430&lt;&gt;"DIRECTA",P430&lt;&gt;"SIN LÍNEAS",P430&lt;&gt;"CABECERA"),"Tipo de fila no reconocido. ","")&amp;IF(AND(OR(P430="SIN LÍNEAS",P430="CABECERA"),COUNTA(G430:J430)&gt;0),"La fila dice que no mide, pero contiene medidas. ","")&amp;IF(AND(OR(P430="DIRECTA",P430="DIMENSIONES"),U430=0),"Línea incompleta o con medidas no numéricas. ","")&amp;IF(P430="SIN LÍNEAS","No constan medidas de esta fila. ","")&amp;IF(Y430&gt;0,"Parece m³: tres dimensiones bajo m². ","")&amp;IF(AND(AB430&lt;&gt;"",SUMPRODUCT(--('LÉEME'!$B$65:$B$86=AC430))&lt;&gt;1),"Revisamos el significado de la unidad. ","")&amp;IF(Z430&gt;0,"Más precisión que los decimales indicados: cotejamos el original. ","")&amp;IF(AA430&gt;0,"Revisamos dimensiones, cantidad directa, ceros o deducción. ","")))</f>
      </c>
      <c r="O430" s="0" t="n">
        <f>IF(ISNUMBER(K430),IF(AND(K430&gt;0,K430=INT(K430),K430&lt;=999999),K430,0),0)</f>
        <v>0</v>
      </c>
      <c r="P430" s="0">
        <f>IF(COUNTA(B430:L430)=0,"",IF(L430="",IF(COUNTA(G430:J430)&gt;0,"DIMENSIONES","SIN LÍNEAS"),UPPER(TRIM(L430))))</f>
      </c>
      <c r="Q430" s="0">
        <f>IF(AND(O430&gt;0,LEN(TRIM(B430&amp;""))&gt;0,LEN(TRIM(C430&amp;""))&gt;0,LEN(TRIM(E430&amp;""))&gt;0,ISNUMBER(F430)),O430,"")</f>
      </c>
      <c r="R430" s="0" t="n">
        <f>IF(O430=0,0,IF(COUNTIFS($Q$13:$Q$512,O430)&gt;0,MATCH(O430,$Q$13:$Q$512,0),0))</f>
        <v>0</v>
      </c>
      <c r="S430" s="0">
        <f>IF(AB430="","",IF(SUMPRODUCT(--('LÉEME'!$B$65:$B$86=AC430))=1,INDEX('LÉEME'!$C$65:$C$86,MATCH(AC430,'LÉEME'!$B$65:$B$86,0)),UPPER(TRIM(AB430))))</f>
      </c>
      <c r="T430" s="0" t="n">
        <f>IF(R430=0,0,IF(OR(AND(LEN(TRIM(B430&amp;""))&gt;0,UPPER(TRIM(B430&amp;""))&lt;&gt;UPPER(TRIM(INDEX($B$13:$B$512,R430)&amp;""))),AND(LEN(TRIM(C430&amp;""))&gt;0,UPPER(TRIM(C430&amp;""))&lt;&gt;UPPER(TRIM(INDEX($C$13:$C$512,R430)&amp;""))),AND(LEN(TRIM(E430&amp;""))&gt;0,S430&lt;&gt;INDEX($S$13:$S$512,R430)),AND(F430&lt;&gt;"",NOT(ISNUMBER(F430)))),1,IF(ISNUMBER(F430),IF(ABS(F430-INDEX($F$13:$F$512,R430))&gt;0.00000001,1,0),0)))</f>
        <v>0</v>
      </c>
      <c r="U430" s="0" t="n">
        <f>IF(P430="DIRECTA",IF(AND(ISNUMBER(G430),COUNTA(H430:J430)=0),1,0),IF(P430="DIMENSIONES",IF(AND(COUNT(G430:J430)&gt;0,COUNTA(G430:J430)=COUNT(G430:J430)),1,0),0))</f>
        <v>0</v>
      </c>
      <c r="V430" s="0" t="n">
        <f>IF(O430=0,0,IF(COUNTIFS($O$13:O430,O430)=1,1,0))</f>
        <v>0</v>
      </c>
      <c r="W430" s="0">
        <f>IF(V430=1,COUNTIFS($V$13:V430,1),"")</f>
      </c>
      <c r="X430" s="0">
        <f>IF(COUNTA(B430:L430)=0,"",IF(OR(NOT(IF(ISNUMBER($E$6),AND($E$6&gt;=0,$E$6&lt;=6,$E$6=INT($E$6)),FALSE)),O430=0,R430=0,T430&gt;0,AND(P430&lt;&gt;"DIMENSIONES",P430&lt;&gt;"DIRECTA",P430&lt;&gt;"SIN LÍNEAS",P430&lt;&gt;"CABECERA"),AND(OR(P430="DIRECTA",P430="DIMENSIONES"),U430=0),AND(OR(P430="SIN LÍNEAS",P430="CABECERA"),COUNTA(G430:J430)&gt;0)),2,IF(OR(P430="SIN LÍNEAS",Y430&gt;0,Z430&gt;0,AA430&gt;0,SUMPRODUCT(--('LÉEME'!$B$65:$B$86=AC430))&lt;&gt;1),1,0)))</f>
      </c>
      <c r="Y430" s="0" t="n">
        <f>IF(AND(P430="DIMENSIONES",S430="m²",COUNT(H430:J430)=3),1,0)</f>
        <v>0</v>
      </c>
      <c r="Z430" s="0" t="n">
        <f>IF(IF(ISNUMBER($E$6),AND($E$6&gt;=0,$E$6&lt;=6,$E$6=INT($E$6)),FALSE),IF(SUM(IF(ISNUMBER(F430),IF(ABS(F430-ROUND(F430,$E$6))&gt;0.00000001,1,0),0),IF(ISNUMBER(G430),IF(ABS(G430-ROUND(G430,$E$6))&gt;0.00000001,1,0),0),IF(ISNUMBER(H430),IF(ABS(H430-ROUND(H430,$E$6))&gt;0.00000001,1,0),0),IF(ISNUMBER(I430),IF(ABS(I430-ROUND(I430,$E$6))&gt;0.00000001,1,0),0),IF(ISNUMBER(J430),IF(ABS(J430-ROUND(J430,$E$6))&gt;0.00000001,1,0),0),IF(ISNUMBER(M430),IF(ABS(M430-ROUND(M430,$E$6))&gt;0.00000001,1,0),0))&gt;0,1,0),0)</f>
        <v>0</v>
      </c>
      <c r="AA430" s="0" t="n">
        <f>IF(COUNTA(B430:L430)=0,0,IF(OR(AND(ISNUMBER(F430),F430&lt;0),AND(U430=1,OR(SUM(IF(ISNUMBER(G430),IF(G430=0,1,0),0),IF(ISNUMBER(H430),IF(H430=0,1,0),0),IF(ISNUMBER(I430),IF(I430=0,1,0),0),IF(ISNUMBER(J430),IF(J430=0,1,0),0))&gt;0,COUNTIFS(G430:J430,"&lt;0")&gt;0)),AND(P430="DIMENSIONES",U430=1,OR(AND(S430="m",COUNT(H430:J430)&lt;&gt;1),AND(S430="m²",COUNT(H430:J430)&lt;&gt;2,Y430=0),AND(S430="m³",COUNT(H430:J430)&lt;&gt;3),AND(S430="ud",COUNT(H430:J430)&gt;0))),AND(P430="DIRECTA",OR(S430="m",S430="m²",S430="m³"))),1,0))</f>
        <v>0</v>
      </c>
      <c r="AB430" s="0">
        <f>IF(LEN(TRIM(E430&amp;""))&gt;0,E430,IF(R430&gt;0,INDEX($E$13:$E$512,R430),""))</f>
      </c>
      <c r="AC430" s="0">
        <f>UPPER(SUBSTITUTE(SUBSTITUTE(SUBSTITUTE(SUBSTITUTE(SUBSTITUTE(TRIM(AB430),"²","2"),"³","3"),"^",""),".","")," ",""))</f>
      </c>
    </row>
    <row r="431" ht="35" customHeight="1">
      <c r="B431" s="35"/>
      <c r="C431" s="35"/>
      <c r="D431" s="37"/>
      <c r="E431" s="35"/>
      <c r="F431" s="38"/>
      <c r="G431" s="38"/>
      <c r="H431" s="38"/>
      <c r="I431" s="38"/>
      <c r="J431" s="38"/>
      <c r="K431" s="35"/>
      <c r="L431" s="35"/>
      <c r="M431" s="39">
        <f>IF(U431&lt;&gt;1,"",IF(P431="DIRECTA",G431,IF(ISNUMBER(G431),G431,1)*IF(ISNUMBER(H431),H431,1)*IF(ISNUMBER(I431),I431,1)*IF(ISNUMBER(J431),J431,1)))</f>
      </c>
      <c r="N431" s="30">
        <f>IF(COUNTA(B431:L431)=0,"",IF(X431=0,IF(P431="CABECERA","VERDE · Fila descriptiva; la suma usa las líneas del ID","VERDE · Datos numéricos interpretables"),IF(X431=2,"ROJO · ","ÁMBAR · ")&amp;IF(NOT(IF(ISNUMBER($E$6),AND($E$6&gt;=0,$E$6&lt;=6,$E$6=INT($E$6)),FALSE)),"Indicamos entre 0 y 6 decimales en E6. ","")&amp;IF(O431=0,"Falta un ID numérico. ","")&amp;IF(R431=0,"Faltan capítulo, código, unidad o total numérico del ID. ","")&amp;IF(T431&gt;0,"Los datos o el total del ID se contradicen. ","")&amp;IF(AND(P431&lt;&gt;"DIMENSIONES",P431&lt;&gt;"DIRECTA",P431&lt;&gt;"SIN LÍNEAS",P431&lt;&gt;"CABECERA"),"Tipo de fila no reconocido. ","")&amp;IF(AND(OR(P431="SIN LÍNEAS",P431="CABECERA"),COUNTA(G431:J431)&gt;0),"La fila dice que no mide, pero contiene medidas. ","")&amp;IF(AND(OR(P431="DIRECTA",P431="DIMENSIONES"),U431=0),"Línea incompleta o con medidas no numéricas. ","")&amp;IF(P431="SIN LÍNEAS","No constan medidas de esta fila. ","")&amp;IF(Y431&gt;0,"Parece m³: tres dimensiones bajo m². ","")&amp;IF(AND(AB431&lt;&gt;"",SUMPRODUCT(--('LÉEME'!$B$65:$B$86=AC431))&lt;&gt;1),"Revisamos el significado de la unidad. ","")&amp;IF(Z431&gt;0,"Más precisión que los decimales indicados: cotejamos el original. ","")&amp;IF(AA431&gt;0,"Revisamos dimensiones, cantidad directa, ceros o deducción. ","")))</f>
      </c>
      <c r="O431" s="0" t="n">
        <f>IF(ISNUMBER(K431),IF(AND(K431&gt;0,K431=INT(K431),K431&lt;=999999),K431,0),0)</f>
        <v>0</v>
      </c>
      <c r="P431" s="0">
        <f>IF(COUNTA(B431:L431)=0,"",IF(L431="",IF(COUNTA(G431:J431)&gt;0,"DIMENSIONES","SIN LÍNEAS"),UPPER(TRIM(L431))))</f>
      </c>
      <c r="Q431" s="0">
        <f>IF(AND(O431&gt;0,LEN(TRIM(B431&amp;""))&gt;0,LEN(TRIM(C431&amp;""))&gt;0,LEN(TRIM(E431&amp;""))&gt;0,ISNUMBER(F431)),O431,"")</f>
      </c>
      <c r="R431" s="0" t="n">
        <f>IF(O431=0,0,IF(COUNTIFS($Q$13:$Q$512,O431)&gt;0,MATCH(O431,$Q$13:$Q$512,0),0))</f>
        <v>0</v>
      </c>
      <c r="S431" s="0">
        <f>IF(AB431="","",IF(SUMPRODUCT(--('LÉEME'!$B$65:$B$86=AC431))=1,INDEX('LÉEME'!$C$65:$C$86,MATCH(AC431,'LÉEME'!$B$65:$B$86,0)),UPPER(TRIM(AB431))))</f>
      </c>
      <c r="T431" s="0" t="n">
        <f>IF(R431=0,0,IF(OR(AND(LEN(TRIM(B431&amp;""))&gt;0,UPPER(TRIM(B431&amp;""))&lt;&gt;UPPER(TRIM(INDEX($B$13:$B$512,R431)&amp;""))),AND(LEN(TRIM(C431&amp;""))&gt;0,UPPER(TRIM(C431&amp;""))&lt;&gt;UPPER(TRIM(INDEX($C$13:$C$512,R431)&amp;""))),AND(LEN(TRIM(E431&amp;""))&gt;0,S431&lt;&gt;INDEX($S$13:$S$512,R431)),AND(F431&lt;&gt;"",NOT(ISNUMBER(F431)))),1,IF(ISNUMBER(F431),IF(ABS(F431-INDEX($F$13:$F$512,R431))&gt;0.00000001,1,0),0)))</f>
        <v>0</v>
      </c>
      <c r="U431" s="0" t="n">
        <f>IF(P431="DIRECTA",IF(AND(ISNUMBER(G431),COUNTA(H431:J431)=0),1,0),IF(P431="DIMENSIONES",IF(AND(COUNT(G431:J431)&gt;0,COUNTA(G431:J431)=COUNT(G431:J431)),1,0),0))</f>
        <v>0</v>
      </c>
      <c r="V431" s="0" t="n">
        <f>IF(O431=0,0,IF(COUNTIFS($O$13:O431,O431)=1,1,0))</f>
        <v>0</v>
      </c>
      <c r="W431" s="0">
        <f>IF(V431=1,COUNTIFS($V$13:V431,1),"")</f>
      </c>
      <c r="X431" s="0">
        <f>IF(COUNTA(B431:L431)=0,"",IF(OR(NOT(IF(ISNUMBER($E$6),AND($E$6&gt;=0,$E$6&lt;=6,$E$6=INT($E$6)),FALSE)),O431=0,R431=0,T431&gt;0,AND(P431&lt;&gt;"DIMENSIONES",P431&lt;&gt;"DIRECTA",P431&lt;&gt;"SIN LÍNEAS",P431&lt;&gt;"CABECERA"),AND(OR(P431="DIRECTA",P431="DIMENSIONES"),U431=0),AND(OR(P431="SIN LÍNEAS",P431="CABECERA"),COUNTA(G431:J431)&gt;0)),2,IF(OR(P431="SIN LÍNEAS",Y431&gt;0,Z431&gt;0,AA431&gt;0,SUMPRODUCT(--('LÉEME'!$B$65:$B$86=AC431))&lt;&gt;1),1,0)))</f>
      </c>
      <c r="Y431" s="0" t="n">
        <f>IF(AND(P431="DIMENSIONES",S431="m²",COUNT(H431:J431)=3),1,0)</f>
        <v>0</v>
      </c>
      <c r="Z431" s="0" t="n">
        <f>IF(IF(ISNUMBER($E$6),AND($E$6&gt;=0,$E$6&lt;=6,$E$6=INT($E$6)),FALSE),IF(SUM(IF(ISNUMBER(F431),IF(ABS(F431-ROUND(F431,$E$6))&gt;0.00000001,1,0),0),IF(ISNUMBER(G431),IF(ABS(G431-ROUND(G431,$E$6))&gt;0.00000001,1,0),0),IF(ISNUMBER(H431),IF(ABS(H431-ROUND(H431,$E$6))&gt;0.00000001,1,0),0),IF(ISNUMBER(I431),IF(ABS(I431-ROUND(I431,$E$6))&gt;0.00000001,1,0),0),IF(ISNUMBER(J431),IF(ABS(J431-ROUND(J431,$E$6))&gt;0.00000001,1,0),0),IF(ISNUMBER(M431),IF(ABS(M431-ROUND(M431,$E$6))&gt;0.00000001,1,0),0))&gt;0,1,0),0)</f>
        <v>0</v>
      </c>
      <c r="AA431" s="0" t="n">
        <f>IF(COUNTA(B431:L431)=0,0,IF(OR(AND(ISNUMBER(F431),F431&lt;0),AND(U431=1,OR(SUM(IF(ISNUMBER(G431),IF(G431=0,1,0),0),IF(ISNUMBER(H431),IF(H431=0,1,0),0),IF(ISNUMBER(I431),IF(I431=0,1,0),0),IF(ISNUMBER(J431),IF(J431=0,1,0),0))&gt;0,COUNTIFS(G431:J431,"&lt;0")&gt;0)),AND(P431="DIMENSIONES",U431=1,OR(AND(S431="m",COUNT(H431:J431)&lt;&gt;1),AND(S431="m²",COUNT(H431:J431)&lt;&gt;2,Y431=0),AND(S431="m³",COUNT(H431:J431)&lt;&gt;3),AND(S431="ud",COUNT(H431:J431)&gt;0))),AND(P431="DIRECTA",OR(S431="m",S431="m²",S431="m³"))),1,0))</f>
        <v>0</v>
      </c>
      <c r="AB431" s="0">
        <f>IF(LEN(TRIM(E431&amp;""))&gt;0,E431,IF(R431&gt;0,INDEX($E$13:$E$512,R431),""))</f>
      </c>
      <c r="AC431" s="0">
        <f>UPPER(SUBSTITUTE(SUBSTITUTE(SUBSTITUTE(SUBSTITUTE(SUBSTITUTE(TRIM(AB431),"²","2"),"³","3"),"^",""),".","")," ",""))</f>
      </c>
    </row>
    <row r="432" ht="35" customHeight="1">
      <c r="B432" s="35"/>
      <c r="C432" s="35"/>
      <c r="D432" s="37"/>
      <c r="E432" s="35"/>
      <c r="F432" s="38"/>
      <c r="G432" s="38"/>
      <c r="H432" s="38"/>
      <c r="I432" s="38"/>
      <c r="J432" s="38"/>
      <c r="K432" s="35"/>
      <c r="L432" s="35"/>
      <c r="M432" s="39">
        <f>IF(U432&lt;&gt;1,"",IF(P432="DIRECTA",G432,IF(ISNUMBER(G432),G432,1)*IF(ISNUMBER(H432),H432,1)*IF(ISNUMBER(I432),I432,1)*IF(ISNUMBER(J432),J432,1)))</f>
      </c>
      <c r="N432" s="30">
        <f>IF(COUNTA(B432:L432)=0,"",IF(X432=0,IF(P432="CABECERA","VERDE · Fila descriptiva; la suma usa las líneas del ID","VERDE · Datos numéricos interpretables"),IF(X432=2,"ROJO · ","ÁMBAR · ")&amp;IF(NOT(IF(ISNUMBER($E$6),AND($E$6&gt;=0,$E$6&lt;=6,$E$6=INT($E$6)),FALSE)),"Indicamos entre 0 y 6 decimales en E6. ","")&amp;IF(O432=0,"Falta un ID numérico. ","")&amp;IF(R432=0,"Faltan capítulo, código, unidad o total numérico del ID. ","")&amp;IF(T432&gt;0,"Los datos o el total del ID se contradicen. ","")&amp;IF(AND(P432&lt;&gt;"DIMENSIONES",P432&lt;&gt;"DIRECTA",P432&lt;&gt;"SIN LÍNEAS",P432&lt;&gt;"CABECERA"),"Tipo de fila no reconocido. ","")&amp;IF(AND(OR(P432="SIN LÍNEAS",P432="CABECERA"),COUNTA(G432:J432)&gt;0),"La fila dice que no mide, pero contiene medidas. ","")&amp;IF(AND(OR(P432="DIRECTA",P432="DIMENSIONES"),U432=0),"Línea incompleta o con medidas no numéricas. ","")&amp;IF(P432="SIN LÍNEAS","No constan medidas de esta fila. ","")&amp;IF(Y432&gt;0,"Parece m³: tres dimensiones bajo m². ","")&amp;IF(AND(AB432&lt;&gt;"",SUMPRODUCT(--('LÉEME'!$B$65:$B$86=AC432))&lt;&gt;1),"Revisamos el significado de la unidad. ","")&amp;IF(Z432&gt;0,"Más precisión que los decimales indicados: cotejamos el original. ","")&amp;IF(AA432&gt;0,"Revisamos dimensiones, cantidad directa, ceros o deducción. ","")))</f>
      </c>
      <c r="O432" s="0" t="n">
        <f>IF(ISNUMBER(K432),IF(AND(K432&gt;0,K432=INT(K432),K432&lt;=999999),K432,0),0)</f>
        <v>0</v>
      </c>
      <c r="P432" s="0">
        <f>IF(COUNTA(B432:L432)=0,"",IF(L432="",IF(COUNTA(G432:J432)&gt;0,"DIMENSIONES","SIN LÍNEAS"),UPPER(TRIM(L432))))</f>
      </c>
      <c r="Q432" s="0">
        <f>IF(AND(O432&gt;0,LEN(TRIM(B432&amp;""))&gt;0,LEN(TRIM(C432&amp;""))&gt;0,LEN(TRIM(E432&amp;""))&gt;0,ISNUMBER(F432)),O432,"")</f>
      </c>
      <c r="R432" s="0" t="n">
        <f>IF(O432=0,0,IF(COUNTIFS($Q$13:$Q$512,O432)&gt;0,MATCH(O432,$Q$13:$Q$512,0),0))</f>
        <v>0</v>
      </c>
      <c r="S432" s="0">
        <f>IF(AB432="","",IF(SUMPRODUCT(--('LÉEME'!$B$65:$B$86=AC432))=1,INDEX('LÉEME'!$C$65:$C$86,MATCH(AC432,'LÉEME'!$B$65:$B$86,0)),UPPER(TRIM(AB432))))</f>
      </c>
      <c r="T432" s="0" t="n">
        <f>IF(R432=0,0,IF(OR(AND(LEN(TRIM(B432&amp;""))&gt;0,UPPER(TRIM(B432&amp;""))&lt;&gt;UPPER(TRIM(INDEX($B$13:$B$512,R432)&amp;""))),AND(LEN(TRIM(C432&amp;""))&gt;0,UPPER(TRIM(C432&amp;""))&lt;&gt;UPPER(TRIM(INDEX($C$13:$C$512,R432)&amp;""))),AND(LEN(TRIM(E432&amp;""))&gt;0,S432&lt;&gt;INDEX($S$13:$S$512,R432)),AND(F432&lt;&gt;"",NOT(ISNUMBER(F432)))),1,IF(ISNUMBER(F432),IF(ABS(F432-INDEX($F$13:$F$512,R432))&gt;0.00000001,1,0),0)))</f>
        <v>0</v>
      </c>
      <c r="U432" s="0" t="n">
        <f>IF(P432="DIRECTA",IF(AND(ISNUMBER(G432),COUNTA(H432:J432)=0),1,0),IF(P432="DIMENSIONES",IF(AND(COUNT(G432:J432)&gt;0,COUNTA(G432:J432)=COUNT(G432:J432)),1,0),0))</f>
        <v>0</v>
      </c>
      <c r="V432" s="0" t="n">
        <f>IF(O432=0,0,IF(COUNTIFS($O$13:O432,O432)=1,1,0))</f>
        <v>0</v>
      </c>
      <c r="W432" s="0">
        <f>IF(V432=1,COUNTIFS($V$13:V432,1),"")</f>
      </c>
      <c r="X432" s="0">
        <f>IF(COUNTA(B432:L432)=0,"",IF(OR(NOT(IF(ISNUMBER($E$6),AND($E$6&gt;=0,$E$6&lt;=6,$E$6=INT($E$6)),FALSE)),O432=0,R432=0,T432&gt;0,AND(P432&lt;&gt;"DIMENSIONES",P432&lt;&gt;"DIRECTA",P432&lt;&gt;"SIN LÍNEAS",P432&lt;&gt;"CABECERA"),AND(OR(P432="DIRECTA",P432="DIMENSIONES"),U432=0),AND(OR(P432="SIN LÍNEAS",P432="CABECERA"),COUNTA(G432:J432)&gt;0)),2,IF(OR(P432="SIN LÍNEAS",Y432&gt;0,Z432&gt;0,AA432&gt;0,SUMPRODUCT(--('LÉEME'!$B$65:$B$86=AC432))&lt;&gt;1),1,0)))</f>
      </c>
      <c r="Y432" s="0" t="n">
        <f>IF(AND(P432="DIMENSIONES",S432="m²",COUNT(H432:J432)=3),1,0)</f>
        <v>0</v>
      </c>
      <c r="Z432" s="0" t="n">
        <f>IF(IF(ISNUMBER($E$6),AND($E$6&gt;=0,$E$6&lt;=6,$E$6=INT($E$6)),FALSE),IF(SUM(IF(ISNUMBER(F432),IF(ABS(F432-ROUND(F432,$E$6))&gt;0.00000001,1,0),0),IF(ISNUMBER(G432),IF(ABS(G432-ROUND(G432,$E$6))&gt;0.00000001,1,0),0),IF(ISNUMBER(H432),IF(ABS(H432-ROUND(H432,$E$6))&gt;0.00000001,1,0),0),IF(ISNUMBER(I432),IF(ABS(I432-ROUND(I432,$E$6))&gt;0.00000001,1,0),0),IF(ISNUMBER(J432),IF(ABS(J432-ROUND(J432,$E$6))&gt;0.00000001,1,0),0),IF(ISNUMBER(M432),IF(ABS(M432-ROUND(M432,$E$6))&gt;0.00000001,1,0),0))&gt;0,1,0),0)</f>
        <v>0</v>
      </c>
      <c r="AA432" s="0" t="n">
        <f>IF(COUNTA(B432:L432)=0,0,IF(OR(AND(ISNUMBER(F432),F432&lt;0),AND(U432=1,OR(SUM(IF(ISNUMBER(G432),IF(G432=0,1,0),0),IF(ISNUMBER(H432),IF(H432=0,1,0),0),IF(ISNUMBER(I432),IF(I432=0,1,0),0),IF(ISNUMBER(J432),IF(J432=0,1,0),0))&gt;0,COUNTIFS(G432:J432,"&lt;0")&gt;0)),AND(P432="DIMENSIONES",U432=1,OR(AND(S432="m",COUNT(H432:J432)&lt;&gt;1),AND(S432="m²",COUNT(H432:J432)&lt;&gt;2,Y432=0),AND(S432="m³",COUNT(H432:J432)&lt;&gt;3),AND(S432="ud",COUNT(H432:J432)&gt;0))),AND(P432="DIRECTA",OR(S432="m",S432="m²",S432="m³"))),1,0))</f>
        <v>0</v>
      </c>
      <c r="AB432" s="0">
        <f>IF(LEN(TRIM(E432&amp;""))&gt;0,E432,IF(R432&gt;0,INDEX($E$13:$E$512,R432),""))</f>
      </c>
      <c r="AC432" s="0">
        <f>UPPER(SUBSTITUTE(SUBSTITUTE(SUBSTITUTE(SUBSTITUTE(SUBSTITUTE(TRIM(AB432),"²","2"),"³","3"),"^",""),".","")," ",""))</f>
      </c>
    </row>
    <row r="433" ht="35" customHeight="1">
      <c r="B433" s="35"/>
      <c r="C433" s="35"/>
      <c r="D433" s="37"/>
      <c r="E433" s="35"/>
      <c r="F433" s="38"/>
      <c r="G433" s="38"/>
      <c r="H433" s="38"/>
      <c r="I433" s="38"/>
      <c r="J433" s="38"/>
      <c r="K433" s="35"/>
      <c r="L433" s="35"/>
      <c r="M433" s="39">
        <f>IF(U433&lt;&gt;1,"",IF(P433="DIRECTA",G433,IF(ISNUMBER(G433),G433,1)*IF(ISNUMBER(H433),H433,1)*IF(ISNUMBER(I433),I433,1)*IF(ISNUMBER(J433),J433,1)))</f>
      </c>
      <c r="N433" s="30">
        <f>IF(COUNTA(B433:L433)=0,"",IF(X433=0,IF(P433="CABECERA","VERDE · Fila descriptiva; la suma usa las líneas del ID","VERDE · Datos numéricos interpretables"),IF(X433=2,"ROJO · ","ÁMBAR · ")&amp;IF(NOT(IF(ISNUMBER($E$6),AND($E$6&gt;=0,$E$6&lt;=6,$E$6=INT($E$6)),FALSE)),"Indicamos entre 0 y 6 decimales en E6. ","")&amp;IF(O433=0,"Falta un ID numérico. ","")&amp;IF(R433=0,"Faltan capítulo, código, unidad o total numérico del ID. ","")&amp;IF(T433&gt;0,"Los datos o el total del ID se contradicen. ","")&amp;IF(AND(P433&lt;&gt;"DIMENSIONES",P433&lt;&gt;"DIRECTA",P433&lt;&gt;"SIN LÍNEAS",P433&lt;&gt;"CABECERA"),"Tipo de fila no reconocido. ","")&amp;IF(AND(OR(P433="SIN LÍNEAS",P433="CABECERA"),COUNTA(G433:J433)&gt;0),"La fila dice que no mide, pero contiene medidas. ","")&amp;IF(AND(OR(P433="DIRECTA",P433="DIMENSIONES"),U433=0),"Línea incompleta o con medidas no numéricas. ","")&amp;IF(P433="SIN LÍNEAS","No constan medidas de esta fila. ","")&amp;IF(Y433&gt;0,"Parece m³: tres dimensiones bajo m². ","")&amp;IF(AND(AB433&lt;&gt;"",SUMPRODUCT(--('LÉEME'!$B$65:$B$86=AC433))&lt;&gt;1),"Revisamos el significado de la unidad. ","")&amp;IF(Z433&gt;0,"Más precisión que los decimales indicados: cotejamos el original. ","")&amp;IF(AA433&gt;0,"Revisamos dimensiones, cantidad directa, ceros o deducción. ","")))</f>
      </c>
      <c r="O433" s="0" t="n">
        <f>IF(ISNUMBER(K433),IF(AND(K433&gt;0,K433=INT(K433),K433&lt;=999999),K433,0),0)</f>
        <v>0</v>
      </c>
      <c r="P433" s="0">
        <f>IF(COUNTA(B433:L433)=0,"",IF(L433="",IF(COUNTA(G433:J433)&gt;0,"DIMENSIONES","SIN LÍNEAS"),UPPER(TRIM(L433))))</f>
      </c>
      <c r="Q433" s="0">
        <f>IF(AND(O433&gt;0,LEN(TRIM(B433&amp;""))&gt;0,LEN(TRIM(C433&amp;""))&gt;0,LEN(TRIM(E433&amp;""))&gt;0,ISNUMBER(F433)),O433,"")</f>
      </c>
      <c r="R433" s="0" t="n">
        <f>IF(O433=0,0,IF(COUNTIFS($Q$13:$Q$512,O433)&gt;0,MATCH(O433,$Q$13:$Q$512,0),0))</f>
        <v>0</v>
      </c>
      <c r="S433" s="0">
        <f>IF(AB433="","",IF(SUMPRODUCT(--('LÉEME'!$B$65:$B$86=AC433))=1,INDEX('LÉEME'!$C$65:$C$86,MATCH(AC433,'LÉEME'!$B$65:$B$86,0)),UPPER(TRIM(AB433))))</f>
      </c>
      <c r="T433" s="0" t="n">
        <f>IF(R433=0,0,IF(OR(AND(LEN(TRIM(B433&amp;""))&gt;0,UPPER(TRIM(B433&amp;""))&lt;&gt;UPPER(TRIM(INDEX($B$13:$B$512,R433)&amp;""))),AND(LEN(TRIM(C433&amp;""))&gt;0,UPPER(TRIM(C433&amp;""))&lt;&gt;UPPER(TRIM(INDEX($C$13:$C$512,R433)&amp;""))),AND(LEN(TRIM(E433&amp;""))&gt;0,S433&lt;&gt;INDEX($S$13:$S$512,R433)),AND(F433&lt;&gt;"",NOT(ISNUMBER(F433)))),1,IF(ISNUMBER(F433),IF(ABS(F433-INDEX($F$13:$F$512,R433))&gt;0.00000001,1,0),0)))</f>
        <v>0</v>
      </c>
      <c r="U433" s="0" t="n">
        <f>IF(P433="DIRECTA",IF(AND(ISNUMBER(G433),COUNTA(H433:J433)=0),1,0),IF(P433="DIMENSIONES",IF(AND(COUNT(G433:J433)&gt;0,COUNTA(G433:J433)=COUNT(G433:J433)),1,0),0))</f>
        <v>0</v>
      </c>
      <c r="V433" s="0" t="n">
        <f>IF(O433=0,0,IF(COUNTIFS($O$13:O433,O433)=1,1,0))</f>
        <v>0</v>
      </c>
      <c r="W433" s="0">
        <f>IF(V433=1,COUNTIFS($V$13:V433,1),"")</f>
      </c>
      <c r="X433" s="0">
        <f>IF(COUNTA(B433:L433)=0,"",IF(OR(NOT(IF(ISNUMBER($E$6),AND($E$6&gt;=0,$E$6&lt;=6,$E$6=INT($E$6)),FALSE)),O433=0,R433=0,T433&gt;0,AND(P433&lt;&gt;"DIMENSIONES",P433&lt;&gt;"DIRECTA",P433&lt;&gt;"SIN LÍNEAS",P433&lt;&gt;"CABECERA"),AND(OR(P433="DIRECTA",P433="DIMENSIONES"),U433=0),AND(OR(P433="SIN LÍNEAS",P433="CABECERA"),COUNTA(G433:J433)&gt;0)),2,IF(OR(P433="SIN LÍNEAS",Y433&gt;0,Z433&gt;0,AA433&gt;0,SUMPRODUCT(--('LÉEME'!$B$65:$B$86=AC433))&lt;&gt;1),1,0)))</f>
      </c>
      <c r="Y433" s="0" t="n">
        <f>IF(AND(P433="DIMENSIONES",S433="m²",COUNT(H433:J433)=3),1,0)</f>
        <v>0</v>
      </c>
      <c r="Z433" s="0" t="n">
        <f>IF(IF(ISNUMBER($E$6),AND($E$6&gt;=0,$E$6&lt;=6,$E$6=INT($E$6)),FALSE),IF(SUM(IF(ISNUMBER(F433),IF(ABS(F433-ROUND(F433,$E$6))&gt;0.00000001,1,0),0),IF(ISNUMBER(G433),IF(ABS(G433-ROUND(G433,$E$6))&gt;0.00000001,1,0),0),IF(ISNUMBER(H433),IF(ABS(H433-ROUND(H433,$E$6))&gt;0.00000001,1,0),0),IF(ISNUMBER(I433),IF(ABS(I433-ROUND(I433,$E$6))&gt;0.00000001,1,0),0),IF(ISNUMBER(J433),IF(ABS(J433-ROUND(J433,$E$6))&gt;0.00000001,1,0),0),IF(ISNUMBER(M433),IF(ABS(M433-ROUND(M433,$E$6))&gt;0.00000001,1,0),0))&gt;0,1,0),0)</f>
        <v>0</v>
      </c>
      <c r="AA433" s="0" t="n">
        <f>IF(COUNTA(B433:L433)=0,0,IF(OR(AND(ISNUMBER(F433),F433&lt;0),AND(U433=1,OR(SUM(IF(ISNUMBER(G433),IF(G433=0,1,0),0),IF(ISNUMBER(H433),IF(H433=0,1,0),0),IF(ISNUMBER(I433),IF(I433=0,1,0),0),IF(ISNUMBER(J433),IF(J433=0,1,0),0))&gt;0,COUNTIFS(G433:J433,"&lt;0")&gt;0)),AND(P433="DIMENSIONES",U433=1,OR(AND(S433="m",COUNT(H433:J433)&lt;&gt;1),AND(S433="m²",COUNT(H433:J433)&lt;&gt;2,Y433=0),AND(S433="m³",COUNT(H433:J433)&lt;&gt;3),AND(S433="ud",COUNT(H433:J433)&gt;0))),AND(P433="DIRECTA",OR(S433="m",S433="m²",S433="m³"))),1,0))</f>
        <v>0</v>
      </c>
      <c r="AB433" s="0">
        <f>IF(LEN(TRIM(E433&amp;""))&gt;0,E433,IF(R433&gt;0,INDEX($E$13:$E$512,R433),""))</f>
      </c>
      <c r="AC433" s="0">
        <f>UPPER(SUBSTITUTE(SUBSTITUTE(SUBSTITUTE(SUBSTITUTE(SUBSTITUTE(TRIM(AB433),"²","2"),"³","3"),"^",""),".","")," ",""))</f>
      </c>
    </row>
    <row r="434" ht="35" customHeight="1">
      <c r="B434" s="35"/>
      <c r="C434" s="35"/>
      <c r="D434" s="37"/>
      <c r="E434" s="35"/>
      <c r="F434" s="38"/>
      <c r="G434" s="38"/>
      <c r="H434" s="38"/>
      <c r="I434" s="38"/>
      <c r="J434" s="38"/>
      <c r="K434" s="35"/>
      <c r="L434" s="35"/>
      <c r="M434" s="39">
        <f>IF(U434&lt;&gt;1,"",IF(P434="DIRECTA",G434,IF(ISNUMBER(G434),G434,1)*IF(ISNUMBER(H434),H434,1)*IF(ISNUMBER(I434),I434,1)*IF(ISNUMBER(J434),J434,1)))</f>
      </c>
      <c r="N434" s="30">
        <f>IF(COUNTA(B434:L434)=0,"",IF(X434=0,IF(P434="CABECERA","VERDE · Fila descriptiva; la suma usa las líneas del ID","VERDE · Datos numéricos interpretables"),IF(X434=2,"ROJO · ","ÁMBAR · ")&amp;IF(NOT(IF(ISNUMBER($E$6),AND($E$6&gt;=0,$E$6&lt;=6,$E$6=INT($E$6)),FALSE)),"Indicamos entre 0 y 6 decimales en E6. ","")&amp;IF(O434=0,"Falta un ID numérico. ","")&amp;IF(R434=0,"Faltan capítulo, código, unidad o total numérico del ID. ","")&amp;IF(T434&gt;0,"Los datos o el total del ID se contradicen. ","")&amp;IF(AND(P434&lt;&gt;"DIMENSIONES",P434&lt;&gt;"DIRECTA",P434&lt;&gt;"SIN LÍNEAS",P434&lt;&gt;"CABECERA"),"Tipo de fila no reconocido. ","")&amp;IF(AND(OR(P434="SIN LÍNEAS",P434="CABECERA"),COUNTA(G434:J434)&gt;0),"La fila dice que no mide, pero contiene medidas. ","")&amp;IF(AND(OR(P434="DIRECTA",P434="DIMENSIONES"),U434=0),"Línea incompleta o con medidas no numéricas. ","")&amp;IF(P434="SIN LÍNEAS","No constan medidas de esta fila. ","")&amp;IF(Y434&gt;0,"Parece m³: tres dimensiones bajo m². ","")&amp;IF(AND(AB434&lt;&gt;"",SUMPRODUCT(--('LÉEME'!$B$65:$B$86=AC434))&lt;&gt;1),"Revisamos el significado de la unidad. ","")&amp;IF(Z434&gt;0,"Más precisión que los decimales indicados: cotejamos el original. ","")&amp;IF(AA434&gt;0,"Revisamos dimensiones, cantidad directa, ceros o deducción. ","")))</f>
      </c>
      <c r="O434" s="0" t="n">
        <f>IF(ISNUMBER(K434),IF(AND(K434&gt;0,K434=INT(K434),K434&lt;=999999),K434,0),0)</f>
        <v>0</v>
      </c>
      <c r="P434" s="0">
        <f>IF(COUNTA(B434:L434)=0,"",IF(L434="",IF(COUNTA(G434:J434)&gt;0,"DIMENSIONES","SIN LÍNEAS"),UPPER(TRIM(L434))))</f>
      </c>
      <c r="Q434" s="0">
        <f>IF(AND(O434&gt;0,LEN(TRIM(B434&amp;""))&gt;0,LEN(TRIM(C434&amp;""))&gt;0,LEN(TRIM(E434&amp;""))&gt;0,ISNUMBER(F434)),O434,"")</f>
      </c>
      <c r="R434" s="0" t="n">
        <f>IF(O434=0,0,IF(COUNTIFS($Q$13:$Q$512,O434)&gt;0,MATCH(O434,$Q$13:$Q$512,0),0))</f>
        <v>0</v>
      </c>
      <c r="S434" s="0">
        <f>IF(AB434="","",IF(SUMPRODUCT(--('LÉEME'!$B$65:$B$86=AC434))=1,INDEX('LÉEME'!$C$65:$C$86,MATCH(AC434,'LÉEME'!$B$65:$B$86,0)),UPPER(TRIM(AB434))))</f>
      </c>
      <c r="T434" s="0" t="n">
        <f>IF(R434=0,0,IF(OR(AND(LEN(TRIM(B434&amp;""))&gt;0,UPPER(TRIM(B434&amp;""))&lt;&gt;UPPER(TRIM(INDEX($B$13:$B$512,R434)&amp;""))),AND(LEN(TRIM(C434&amp;""))&gt;0,UPPER(TRIM(C434&amp;""))&lt;&gt;UPPER(TRIM(INDEX($C$13:$C$512,R434)&amp;""))),AND(LEN(TRIM(E434&amp;""))&gt;0,S434&lt;&gt;INDEX($S$13:$S$512,R434)),AND(F434&lt;&gt;"",NOT(ISNUMBER(F434)))),1,IF(ISNUMBER(F434),IF(ABS(F434-INDEX($F$13:$F$512,R434))&gt;0.00000001,1,0),0)))</f>
        <v>0</v>
      </c>
      <c r="U434" s="0" t="n">
        <f>IF(P434="DIRECTA",IF(AND(ISNUMBER(G434),COUNTA(H434:J434)=0),1,0),IF(P434="DIMENSIONES",IF(AND(COUNT(G434:J434)&gt;0,COUNTA(G434:J434)=COUNT(G434:J434)),1,0),0))</f>
        <v>0</v>
      </c>
      <c r="V434" s="0" t="n">
        <f>IF(O434=0,0,IF(COUNTIFS($O$13:O434,O434)=1,1,0))</f>
        <v>0</v>
      </c>
      <c r="W434" s="0">
        <f>IF(V434=1,COUNTIFS($V$13:V434,1),"")</f>
      </c>
      <c r="X434" s="0">
        <f>IF(COUNTA(B434:L434)=0,"",IF(OR(NOT(IF(ISNUMBER($E$6),AND($E$6&gt;=0,$E$6&lt;=6,$E$6=INT($E$6)),FALSE)),O434=0,R434=0,T434&gt;0,AND(P434&lt;&gt;"DIMENSIONES",P434&lt;&gt;"DIRECTA",P434&lt;&gt;"SIN LÍNEAS",P434&lt;&gt;"CABECERA"),AND(OR(P434="DIRECTA",P434="DIMENSIONES"),U434=0),AND(OR(P434="SIN LÍNEAS",P434="CABECERA"),COUNTA(G434:J434)&gt;0)),2,IF(OR(P434="SIN LÍNEAS",Y434&gt;0,Z434&gt;0,AA434&gt;0,SUMPRODUCT(--('LÉEME'!$B$65:$B$86=AC434))&lt;&gt;1),1,0)))</f>
      </c>
      <c r="Y434" s="0" t="n">
        <f>IF(AND(P434="DIMENSIONES",S434="m²",COUNT(H434:J434)=3),1,0)</f>
        <v>0</v>
      </c>
      <c r="Z434" s="0" t="n">
        <f>IF(IF(ISNUMBER($E$6),AND($E$6&gt;=0,$E$6&lt;=6,$E$6=INT($E$6)),FALSE),IF(SUM(IF(ISNUMBER(F434),IF(ABS(F434-ROUND(F434,$E$6))&gt;0.00000001,1,0),0),IF(ISNUMBER(G434),IF(ABS(G434-ROUND(G434,$E$6))&gt;0.00000001,1,0),0),IF(ISNUMBER(H434),IF(ABS(H434-ROUND(H434,$E$6))&gt;0.00000001,1,0),0),IF(ISNUMBER(I434),IF(ABS(I434-ROUND(I434,$E$6))&gt;0.00000001,1,0),0),IF(ISNUMBER(J434),IF(ABS(J434-ROUND(J434,$E$6))&gt;0.00000001,1,0),0),IF(ISNUMBER(M434),IF(ABS(M434-ROUND(M434,$E$6))&gt;0.00000001,1,0),0))&gt;0,1,0),0)</f>
        <v>0</v>
      </c>
      <c r="AA434" s="0" t="n">
        <f>IF(COUNTA(B434:L434)=0,0,IF(OR(AND(ISNUMBER(F434),F434&lt;0),AND(U434=1,OR(SUM(IF(ISNUMBER(G434),IF(G434=0,1,0),0),IF(ISNUMBER(H434),IF(H434=0,1,0),0),IF(ISNUMBER(I434),IF(I434=0,1,0),0),IF(ISNUMBER(J434),IF(J434=0,1,0),0))&gt;0,COUNTIFS(G434:J434,"&lt;0")&gt;0)),AND(P434="DIMENSIONES",U434=1,OR(AND(S434="m",COUNT(H434:J434)&lt;&gt;1),AND(S434="m²",COUNT(H434:J434)&lt;&gt;2,Y434=0),AND(S434="m³",COUNT(H434:J434)&lt;&gt;3),AND(S434="ud",COUNT(H434:J434)&gt;0))),AND(P434="DIRECTA",OR(S434="m",S434="m²",S434="m³"))),1,0))</f>
        <v>0</v>
      </c>
      <c r="AB434" s="0">
        <f>IF(LEN(TRIM(E434&amp;""))&gt;0,E434,IF(R434&gt;0,INDEX($E$13:$E$512,R434),""))</f>
      </c>
      <c r="AC434" s="0">
        <f>UPPER(SUBSTITUTE(SUBSTITUTE(SUBSTITUTE(SUBSTITUTE(SUBSTITUTE(TRIM(AB434),"²","2"),"³","3"),"^",""),".","")," ",""))</f>
      </c>
    </row>
    <row r="435" ht="35" customHeight="1">
      <c r="B435" s="35"/>
      <c r="C435" s="35"/>
      <c r="D435" s="37"/>
      <c r="E435" s="35"/>
      <c r="F435" s="38"/>
      <c r="G435" s="38"/>
      <c r="H435" s="38"/>
      <c r="I435" s="38"/>
      <c r="J435" s="38"/>
      <c r="K435" s="35"/>
      <c r="L435" s="35"/>
      <c r="M435" s="39">
        <f>IF(U435&lt;&gt;1,"",IF(P435="DIRECTA",G435,IF(ISNUMBER(G435),G435,1)*IF(ISNUMBER(H435),H435,1)*IF(ISNUMBER(I435),I435,1)*IF(ISNUMBER(J435),J435,1)))</f>
      </c>
      <c r="N435" s="30">
        <f>IF(COUNTA(B435:L435)=0,"",IF(X435=0,IF(P435="CABECERA","VERDE · Fila descriptiva; la suma usa las líneas del ID","VERDE · Datos numéricos interpretables"),IF(X435=2,"ROJO · ","ÁMBAR · ")&amp;IF(NOT(IF(ISNUMBER($E$6),AND($E$6&gt;=0,$E$6&lt;=6,$E$6=INT($E$6)),FALSE)),"Indicamos entre 0 y 6 decimales en E6. ","")&amp;IF(O435=0,"Falta un ID numérico. ","")&amp;IF(R435=0,"Faltan capítulo, código, unidad o total numérico del ID. ","")&amp;IF(T435&gt;0,"Los datos o el total del ID se contradicen. ","")&amp;IF(AND(P435&lt;&gt;"DIMENSIONES",P435&lt;&gt;"DIRECTA",P435&lt;&gt;"SIN LÍNEAS",P435&lt;&gt;"CABECERA"),"Tipo de fila no reconocido. ","")&amp;IF(AND(OR(P435="SIN LÍNEAS",P435="CABECERA"),COUNTA(G435:J435)&gt;0),"La fila dice que no mide, pero contiene medidas. ","")&amp;IF(AND(OR(P435="DIRECTA",P435="DIMENSIONES"),U435=0),"Línea incompleta o con medidas no numéricas. ","")&amp;IF(P435="SIN LÍNEAS","No constan medidas de esta fila. ","")&amp;IF(Y435&gt;0,"Parece m³: tres dimensiones bajo m². ","")&amp;IF(AND(AB435&lt;&gt;"",SUMPRODUCT(--('LÉEME'!$B$65:$B$86=AC435))&lt;&gt;1),"Revisamos el significado de la unidad. ","")&amp;IF(Z435&gt;0,"Más precisión que los decimales indicados: cotejamos el original. ","")&amp;IF(AA435&gt;0,"Revisamos dimensiones, cantidad directa, ceros o deducción. ","")))</f>
      </c>
      <c r="O435" s="0" t="n">
        <f>IF(ISNUMBER(K435),IF(AND(K435&gt;0,K435=INT(K435),K435&lt;=999999),K435,0),0)</f>
        <v>0</v>
      </c>
      <c r="P435" s="0">
        <f>IF(COUNTA(B435:L435)=0,"",IF(L435="",IF(COUNTA(G435:J435)&gt;0,"DIMENSIONES","SIN LÍNEAS"),UPPER(TRIM(L435))))</f>
      </c>
      <c r="Q435" s="0">
        <f>IF(AND(O435&gt;0,LEN(TRIM(B435&amp;""))&gt;0,LEN(TRIM(C435&amp;""))&gt;0,LEN(TRIM(E435&amp;""))&gt;0,ISNUMBER(F435)),O435,"")</f>
      </c>
      <c r="R435" s="0" t="n">
        <f>IF(O435=0,0,IF(COUNTIFS($Q$13:$Q$512,O435)&gt;0,MATCH(O435,$Q$13:$Q$512,0),0))</f>
        <v>0</v>
      </c>
      <c r="S435" s="0">
        <f>IF(AB435="","",IF(SUMPRODUCT(--('LÉEME'!$B$65:$B$86=AC435))=1,INDEX('LÉEME'!$C$65:$C$86,MATCH(AC435,'LÉEME'!$B$65:$B$86,0)),UPPER(TRIM(AB435))))</f>
      </c>
      <c r="T435" s="0" t="n">
        <f>IF(R435=0,0,IF(OR(AND(LEN(TRIM(B435&amp;""))&gt;0,UPPER(TRIM(B435&amp;""))&lt;&gt;UPPER(TRIM(INDEX($B$13:$B$512,R435)&amp;""))),AND(LEN(TRIM(C435&amp;""))&gt;0,UPPER(TRIM(C435&amp;""))&lt;&gt;UPPER(TRIM(INDEX($C$13:$C$512,R435)&amp;""))),AND(LEN(TRIM(E435&amp;""))&gt;0,S435&lt;&gt;INDEX($S$13:$S$512,R435)),AND(F435&lt;&gt;"",NOT(ISNUMBER(F435)))),1,IF(ISNUMBER(F435),IF(ABS(F435-INDEX($F$13:$F$512,R435))&gt;0.00000001,1,0),0)))</f>
        <v>0</v>
      </c>
      <c r="U435" s="0" t="n">
        <f>IF(P435="DIRECTA",IF(AND(ISNUMBER(G435),COUNTA(H435:J435)=0),1,0),IF(P435="DIMENSIONES",IF(AND(COUNT(G435:J435)&gt;0,COUNTA(G435:J435)=COUNT(G435:J435)),1,0),0))</f>
        <v>0</v>
      </c>
      <c r="V435" s="0" t="n">
        <f>IF(O435=0,0,IF(COUNTIFS($O$13:O435,O435)=1,1,0))</f>
        <v>0</v>
      </c>
      <c r="W435" s="0">
        <f>IF(V435=1,COUNTIFS($V$13:V435,1),"")</f>
      </c>
      <c r="X435" s="0">
        <f>IF(COUNTA(B435:L435)=0,"",IF(OR(NOT(IF(ISNUMBER($E$6),AND($E$6&gt;=0,$E$6&lt;=6,$E$6=INT($E$6)),FALSE)),O435=0,R435=0,T435&gt;0,AND(P435&lt;&gt;"DIMENSIONES",P435&lt;&gt;"DIRECTA",P435&lt;&gt;"SIN LÍNEAS",P435&lt;&gt;"CABECERA"),AND(OR(P435="DIRECTA",P435="DIMENSIONES"),U435=0),AND(OR(P435="SIN LÍNEAS",P435="CABECERA"),COUNTA(G435:J435)&gt;0)),2,IF(OR(P435="SIN LÍNEAS",Y435&gt;0,Z435&gt;0,AA435&gt;0,SUMPRODUCT(--('LÉEME'!$B$65:$B$86=AC435))&lt;&gt;1),1,0)))</f>
      </c>
      <c r="Y435" s="0" t="n">
        <f>IF(AND(P435="DIMENSIONES",S435="m²",COUNT(H435:J435)=3),1,0)</f>
        <v>0</v>
      </c>
      <c r="Z435" s="0" t="n">
        <f>IF(IF(ISNUMBER($E$6),AND($E$6&gt;=0,$E$6&lt;=6,$E$6=INT($E$6)),FALSE),IF(SUM(IF(ISNUMBER(F435),IF(ABS(F435-ROUND(F435,$E$6))&gt;0.00000001,1,0),0),IF(ISNUMBER(G435),IF(ABS(G435-ROUND(G435,$E$6))&gt;0.00000001,1,0),0),IF(ISNUMBER(H435),IF(ABS(H435-ROUND(H435,$E$6))&gt;0.00000001,1,0),0),IF(ISNUMBER(I435),IF(ABS(I435-ROUND(I435,$E$6))&gt;0.00000001,1,0),0),IF(ISNUMBER(J435),IF(ABS(J435-ROUND(J435,$E$6))&gt;0.00000001,1,0),0),IF(ISNUMBER(M435),IF(ABS(M435-ROUND(M435,$E$6))&gt;0.00000001,1,0),0))&gt;0,1,0),0)</f>
        <v>0</v>
      </c>
      <c r="AA435" s="0" t="n">
        <f>IF(COUNTA(B435:L435)=0,0,IF(OR(AND(ISNUMBER(F435),F435&lt;0),AND(U435=1,OR(SUM(IF(ISNUMBER(G435),IF(G435=0,1,0),0),IF(ISNUMBER(H435),IF(H435=0,1,0),0),IF(ISNUMBER(I435),IF(I435=0,1,0),0),IF(ISNUMBER(J435),IF(J435=0,1,0),0))&gt;0,COUNTIFS(G435:J435,"&lt;0")&gt;0)),AND(P435="DIMENSIONES",U435=1,OR(AND(S435="m",COUNT(H435:J435)&lt;&gt;1),AND(S435="m²",COUNT(H435:J435)&lt;&gt;2,Y435=0),AND(S435="m³",COUNT(H435:J435)&lt;&gt;3),AND(S435="ud",COUNT(H435:J435)&gt;0))),AND(P435="DIRECTA",OR(S435="m",S435="m²",S435="m³"))),1,0))</f>
        <v>0</v>
      </c>
      <c r="AB435" s="0">
        <f>IF(LEN(TRIM(E435&amp;""))&gt;0,E435,IF(R435&gt;0,INDEX($E$13:$E$512,R435),""))</f>
      </c>
      <c r="AC435" s="0">
        <f>UPPER(SUBSTITUTE(SUBSTITUTE(SUBSTITUTE(SUBSTITUTE(SUBSTITUTE(TRIM(AB435),"²","2"),"³","3"),"^",""),".","")," ",""))</f>
      </c>
    </row>
    <row r="436" ht="35" customHeight="1">
      <c r="B436" s="35"/>
      <c r="C436" s="35"/>
      <c r="D436" s="37"/>
      <c r="E436" s="35"/>
      <c r="F436" s="38"/>
      <c r="G436" s="38"/>
      <c r="H436" s="38"/>
      <c r="I436" s="38"/>
      <c r="J436" s="38"/>
      <c r="K436" s="35"/>
      <c r="L436" s="35"/>
      <c r="M436" s="39">
        <f>IF(U436&lt;&gt;1,"",IF(P436="DIRECTA",G436,IF(ISNUMBER(G436),G436,1)*IF(ISNUMBER(H436),H436,1)*IF(ISNUMBER(I436),I436,1)*IF(ISNUMBER(J436),J436,1)))</f>
      </c>
      <c r="N436" s="30">
        <f>IF(COUNTA(B436:L436)=0,"",IF(X436=0,IF(P436="CABECERA","VERDE · Fila descriptiva; la suma usa las líneas del ID","VERDE · Datos numéricos interpretables"),IF(X436=2,"ROJO · ","ÁMBAR · ")&amp;IF(NOT(IF(ISNUMBER($E$6),AND($E$6&gt;=0,$E$6&lt;=6,$E$6=INT($E$6)),FALSE)),"Indicamos entre 0 y 6 decimales en E6. ","")&amp;IF(O436=0,"Falta un ID numérico. ","")&amp;IF(R436=0,"Faltan capítulo, código, unidad o total numérico del ID. ","")&amp;IF(T436&gt;0,"Los datos o el total del ID se contradicen. ","")&amp;IF(AND(P436&lt;&gt;"DIMENSIONES",P436&lt;&gt;"DIRECTA",P436&lt;&gt;"SIN LÍNEAS",P436&lt;&gt;"CABECERA"),"Tipo de fila no reconocido. ","")&amp;IF(AND(OR(P436="SIN LÍNEAS",P436="CABECERA"),COUNTA(G436:J436)&gt;0),"La fila dice que no mide, pero contiene medidas. ","")&amp;IF(AND(OR(P436="DIRECTA",P436="DIMENSIONES"),U436=0),"Línea incompleta o con medidas no numéricas. ","")&amp;IF(P436="SIN LÍNEAS","No constan medidas de esta fila. ","")&amp;IF(Y436&gt;0,"Parece m³: tres dimensiones bajo m². ","")&amp;IF(AND(AB436&lt;&gt;"",SUMPRODUCT(--('LÉEME'!$B$65:$B$86=AC436))&lt;&gt;1),"Revisamos el significado de la unidad. ","")&amp;IF(Z436&gt;0,"Más precisión que los decimales indicados: cotejamos el original. ","")&amp;IF(AA436&gt;0,"Revisamos dimensiones, cantidad directa, ceros o deducción. ","")))</f>
      </c>
      <c r="O436" s="0" t="n">
        <f>IF(ISNUMBER(K436),IF(AND(K436&gt;0,K436=INT(K436),K436&lt;=999999),K436,0),0)</f>
        <v>0</v>
      </c>
      <c r="P436" s="0">
        <f>IF(COUNTA(B436:L436)=0,"",IF(L436="",IF(COUNTA(G436:J436)&gt;0,"DIMENSIONES","SIN LÍNEAS"),UPPER(TRIM(L436))))</f>
      </c>
      <c r="Q436" s="0">
        <f>IF(AND(O436&gt;0,LEN(TRIM(B436&amp;""))&gt;0,LEN(TRIM(C436&amp;""))&gt;0,LEN(TRIM(E436&amp;""))&gt;0,ISNUMBER(F436)),O436,"")</f>
      </c>
      <c r="R436" s="0" t="n">
        <f>IF(O436=0,0,IF(COUNTIFS($Q$13:$Q$512,O436)&gt;0,MATCH(O436,$Q$13:$Q$512,0),0))</f>
        <v>0</v>
      </c>
      <c r="S436" s="0">
        <f>IF(AB436="","",IF(SUMPRODUCT(--('LÉEME'!$B$65:$B$86=AC436))=1,INDEX('LÉEME'!$C$65:$C$86,MATCH(AC436,'LÉEME'!$B$65:$B$86,0)),UPPER(TRIM(AB436))))</f>
      </c>
      <c r="T436" s="0" t="n">
        <f>IF(R436=0,0,IF(OR(AND(LEN(TRIM(B436&amp;""))&gt;0,UPPER(TRIM(B436&amp;""))&lt;&gt;UPPER(TRIM(INDEX($B$13:$B$512,R436)&amp;""))),AND(LEN(TRIM(C436&amp;""))&gt;0,UPPER(TRIM(C436&amp;""))&lt;&gt;UPPER(TRIM(INDEX($C$13:$C$512,R436)&amp;""))),AND(LEN(TRIM(E436&amp;""))&gt;0,S436&lt;&gt;INDEX($S$13:$S$512,R436)),AND(F436&lt;&gt;"",NOT(ISNUMBER(F436)))),1,IF(ISNUMBER(F436),IF(ABS(F436-INDEX($F$13:$F$512,R436))&gt;0.00000001,1,0),0)))</f>
        <v>0</v>
      </c>
      <c r="U436" s="0" t="n">
        <f>IF(P436="DIRECTA",IF(AND(ISNUMBER(G436),COUNTA(H436:J436)=0),1,0),IF(P436="DIMENSIONES",IF(AND(COUNT(G436:J436)&gt;0,COUNTA(G436:J436)=COUNT(G436:J436)),1,0),0))</f>
        <v>0</v>
      </c>
      <c r="V436" s="0" t="n">
        <f>IF(O436=0,0,IF(COUNTIFS($O$13:O436,O436)=1,1,0))</f>
        <v>0</v>
      </c>
      <c r="W436" s="0">
        <f>IF(V436=1,COUNTIFS($V$13:V436,1),"")</f>
      </c>
      <c r="X436" s="0">
        <f>IF(COUNTA(B436:L436)=0,"",IF(OR(NOT(IF(ISNUMBER($E$6),AND($E$6&gt;=0,$E$6&lt;=6,$E$6=INT($E$6)),FALSE)),O436=0,R436=0,T436&gt;0,AND(P436&lt;&gt;"DIMENSIONES",P436&lt;&gt;"DIRECTA",P436&lt;&gt;"SIN LÍNEAS",P436&lt;&gt;"CABECERA"),AND(OR(P436="DIRECTA",P436="DIMENSIONES"),U436=0),AND(OR(P436="SIN LÍNEAS",P436="CABECERA"),COUNTA(G436:J436)&gt;0)),2,IF(OR(P436="SIN LÍNEAS",Y436&gt;0,Z436&gt;0,AA436&gt;0,SUMPRODUCT(--('LÉEME'!$B$65:$B$86=AC436))&lt;&gt;1),1,0)))</f>
      </c>
      <c r="Y436" s="0" t="n">
        <f>IF(AND(P436="DIMENSIONES",S436="m²",COUNT(H436:J436)=3),1,0)</f>
        <v>0</v>
      </c>
      <c r="Z436" s="0" t="n">
        <f>IF(IF(ISNUMBER($E$6),AND($E$6&gt;=0,$E$6&lt;=6,$E$6=INT($E$6)),FALSE),IF(SUM(IF(ISNUMBER(F436),IF(ABS(F436-ROUND(F436,$E$6))&gt;0.00000001,1,0),0),IF(ISNUMBER(G436),IF(ABS(G436-ROUND(G436,$E$6))&gt;0.00000001,1,0),0),IF(ISNUMBER(H436),IF(ABS(H436-ROUND(H436,$E$6))&gt;0.00000001,1,0),0),IF(ISNUMBER(I436),IF(ABS(I436-ROUND(I436,$E$6))&gt;0.00000001,1,0),0),IF(ISNUMBER(J436),IF(ABS(J436-ROUND(J436,$E$6))&gt;0.00000001,1,0),0),IF(ISNUMBER(M436),IF(ABS(M436-ROUND(M436,$E$6))&gt;0.00000001,1,0),0))&gt;0,1,0),0)</f>
        <v>0</v>
      </c>
      <c r="AA436" s="0" t="n">
        <f>IF(COUNTA(B436:L436)=0,0,IF(OR(AND(ISNUMBER(F436),F436&lt;0),AND(U436=1,OR(SUM(IF(ISNUMBER(G436),IF(G436=0,1,0),0),IF(ISNUMBER(H436),IF(H436=0,1,0),0),IF(ISNUMBER(I436),IF(I436=0,1,0),0),IF(ISNUMBER(J436),IF(J436=0,1,0),0))&gt;0,COUNTIFS(G436:J436,"&lt;0")&gt;0)),AND(P436="DIMENSIONES",U436=1,OR(AND(S436="m",COUNT(H436:J436)&lt;&gt;1),AND(S436="m²",COUNT(H436:J436)&lt;&gt;2,Y436=0),AND(S436="m³",COUNT(H436:J436)&lt;&gt;3),AND(S436="ud",COUNT(H436:J436)&gt;0))),AND(P436="DIRECTA",OR(S436="m",S436="m²",S436="m³"))),1,0))</f>
        <v>0</v>
      </c>
      <c r="AB436" s="0">
        <f>IF(LEN(TRIM(E436&amp;""))&gt;0,E436,IF(R436&gt;0,INDEX($E$13:$E$512,R436),""))</f>
      </c>
      <c r="AC436" s="0">
        <f>UPPER(SUBSTITUTE(SUBSTITUTE(SUBSTITUTE(SUBSTITUTE(SUBSTITUTE(TRIM(AB436),"²","2"),"³","3"),"^",""),".","")," ",""))</f>
      </c>
    </row>
    <row r="437" ht="35" customHeight="1">
      <c r="B437" s="35"/>
      <c r="C437" s="35"/>
      <c r="D437" s="37"/>
      <c r="E437" s="35"/>
      <c r="F437" s="38"/>
      <c r="G437" s="38"/>
      <c r="H437" s="38"/>
      <c r="I437" s="38"/>
      <c r="J437" s="38"/>
      <c r="K437" s="35"/>
      <c r="L437" s="35"/>
      <c r="M437" s="39">
        <f>IF(U437&lt;&gt;1,"",IF(P437="DIRECTA",G437,IF(ISNUMBER(G437),G437,1)*IF(ISNUMBER(H437),H437,1)*IF(ISNUMBER(I437),I437,1)*IF(ISNUMBER(J437),J437,1)))</f>
      </c>
      <c r="N437" s="30">
        <f>IF(COUNTA(B437:L437)=0,"",IF(X437=0,IF(P437="CABECERA","VERDE · Fila descriptiva; la suma usa las líneas del ID","VERDE · Datos numéricos interpretables"),IF(X437=2,"ROJO · ","ÁMBAR · ")&amp;IF(NOT(IF(ISNUMBER($E$6),AND($E$6&gt;=0,$E$6&lt;=6,$E$6=INT($E$6)),FALSE)),"Indicamos entre 0 y 6 decimales en E6. ","")&amp;IF(O437=0,"Falta un ID numérico. ","")&amp;IF(R437=0,"Faltan capítulo, código, unidad o total numérico del ID. ","")&amp;IF(T437&gt;0,"Los datos o el total del ID se contradicen. ","")&amp;IF(AND(P437&lt;&gt;"DIMENSIONES",P437&lt;&gt;"DIRECTA",P437&lt;&gt;"SIN LÍNEAS",P437&lt;&gt;"CABECERA"),"Tipo de fila no reconocido. ","")&amp;IF(AND(OR(P437="SIN LÍNEAS",P437="CABECERA"),COUNTA(G437:J437)&gt;0),"La fila dice que no mide, pero contiene medidas. ","")&amp;IF(AND(OR(P437="DIRECTA",P437="DIMENSIONES"),U437=0),"Línea incompleta o con medidas no numéricas. ","")&amp;IF(P437="SIN LÍNEAS","No constan medidas de esta fila. ","")&amp;IF(Y437&gt;0,"Parece m³: tres dimensiones bajo m². ","")&amp;IF(AND(AB437&lt;&gt;"",SUMPRODUCT(--('LÉEME'!$B$65:$B$86=AC437))&lt;&gt;1),"Revisamos el significado de la unidad. ","")&amp;IF(Z437&gt;0,"Más precisión que los decimales indicados: cotejamos el original. ","")&amp;IF(AA437&gt;0,"Revisamos dimensiones, cantidad directa, ceros o deducción. ","")))</f>
      </c>
      <c r="O437" s="0" t="n">
        <f>IF(ISNUMBER(K437),IF(AND(K437&gt;0,K437=INT(K437),K437&lt;=999999),K437,0),0)</f>
        <v>0</v>
      </c>
      <c r="P437" s="0">
        <f>IF(COUNTA(B437:L437)=0,"",IF(L437="",IF(COUNTA(G437:J437)&gt;0,"DIMENSIONES","SIN LÍNEAS"),UPPER(TRIM(L437))))</f>
      </c>
      <c r="Q437" s="0">
        <f>IF(AND(O437&gt;0,LEN(TRIM(B437&amp;""))&gt;0,LEN(TRIM(C437&amp;""))&gt;0,LEN(TRIM(E437&amp;""))&gt;0,ISNUMBER(F437)),O437,"")</f>
      </c>
      <c r="R437" s="0" t="n">
        <f>IF(O437=0,0,IF(COUNTIFS($Q$13:$Q$512,O437)&gt;0,MATCH(O437,$Q$13:$Q$512,0),0))</f>
        <v>0</v>
      </c>
      <c r="S437" s="0">
        <f>IF(AB437="","",IF(SUMPRODUCT(--('LÉEME'!$B$65:$B$86=AC437))=1,INDEX('LÉEME'!$C$65:$C$86,MATCH(AC437,'LÉEME'!$B$65:$B$86,0)),UPPER(TRIM(AB437))))</f>
      </c>
      <c r="T437" s="0" t="n">
        <f>IF(R437=0,0,IF(OR(AND(LEN(TRIM(B437&amp;""))&gt;0,UPPER(TRIM(B437&amp;""))&lt;&gt;UPPER(TRIM(INDEX($B$13:$B$512,R437)&amp;""))),AND(LEN(TRIM(C437&amp;""))&gt;0,UPPER(TRIM(C437&amp;""))&lt;&gt;UPPER(TRIM(INDEX($C$13:$C$512,R437)&amp;""))),AND(LEN(TRIM(E437&amp;""))&gt;0,S437&lt;&gt;INDEX($S$13:$S$512,R437)),AND(F437&lt;&gt;"",NOT(ISNUMBER(F437)))),1,IF(ISNUMBER(F437),IF(ABS(F437-INDEX($F$13:$F$512,R437))&gt;0.00000001,1,0),0)))</f>
        <v>0</v>
      </c>
      <c r="U437" s="0" t="n">
        <f>IF(P437="DIRECTA",IF(AND(ISNUMBER(G437),COUNTA(H437:J437)=0),1,0),IF(P437="DIMENSIONES",IF(AND(COUNT(G437:J437)&gt;0,COUNTA(G437:J437)=COUNT(G437:J437)),1,0),0))</f>
        <v>0</v>
      </c>
      <c r="V437" s="0" t="n">
        <f>IF(O437=0,0,IF(COUNTIFS($O$13:O437,O437)=1,1,0))</f>
        <v>0</v>
      </c>
      <c r="W437" s="0">
        <f>IF(V437=1,COUNTIFS($V$13:V437,1),"")</f>
      </c>
      <c r="X437" s="0">
        <f>IF(COUNTA(B437:L437)=0,"",IF(OR(NOT(IF(ISNUMBER($E$6),AND($E$6&gt;=0,$E$6&lt;=6,$E$6=INT($E$6)),FALSE)),O437=0,R437=0,T437&gt;0,AND(P437&lt;&gt;"DIMENSIONES",P437&lt;&gt;"DIRECTA",P437&lt;&gt;"SIN LÍNEAS",P437&lt;&gt;"CABECERA"),AND(OR(P437="DIRECTA",P437="DIMENSIONES"),U437=0),AND(OR(P437="SIN LÍNEAS",P437="CABECERA"),COUNTA(G437:J437)&gt;0)),2,IF(OR(P437="SIN LÍNEAS",Y437&gt;0,Z437&gt;0,AA437&gt;0,SUMPRODUCT(--('LÉEME'!$B$65:$B$86=AC437))&lt;&gt;1),1,0)))</f>
      </c>
      <c r="Y437" s="0" t="n">
        <f>IF(AND(P437="DIMENSIONES",S437="m²",COUNT(H437:J437)=3),1,0)</f>
        <v>0</v>
      </c>
      <c r="Z437" s="0" t="n">
        <f>IF(IF(ISNUMBER($E$6),AND($E$6&gt;=0,$E$6&lt;=6,$E$6=INT($E$6)),FALSE),IF(SUM(IF(ISNUMBER(F437),IF(ABS(F437-ROUND(F437,$E$6))&gt;0.00000001,1,0),0),IF(ISNUMBER(G437),IF(ABS(G437-ROUND(G437,$E$6))&gt;0.00000001,1,0),0),IF(ISNUMBER(H437),IF(ABS(H437-ROUND(H437,$E$6))&gt;0.00000001,1,0),0),IF(ISNUMBER(I437),IF(ABS(I437-ROUND(I437,$E$6))&gt;0.00000001,1,0),0),IF(ISNUMBER(J437),IF(ABS(J437-ROUND(J437,$E$6))&gt;0.00000001,1,0),0),IF(ISNUMBER(M437),IF(ABS(M437-ROUND(M437,$E$6))&gt;0.00000001,1,0),0))&gt;0,1,0),0)</f>
        <v>0</v>
      </c>
      <c r="AA437" s="0" t="n">
        <f>IF(COUNTA(B437:L437)=0,0,IF(OR(AND(ISNUMBER(F437),F437&lt;0),AND(U437=1,OR(SUM(IF(ISNUMBER(G437),IF(G437=0,1,0),0),IF(ISNUMBER(H437),IF(H437=0,1,0),0),IF(ISNUMBER(I437),IF(I437=0,1,0),0),IF(ISNUMBER(J437),IF(J437=0,1,0),0))&gt;0,COUNTIFS(G437:J437,"&lt;0")&gt;0)),AND(P437="DIMENSIONES",U437=1,OR(AND(S437="m",COUNT(H437:J437)&lt;&gt;1),AND(S437="m²",COUNT(H437:J437)&lt;&gt;2,Y437=0),AND(S437="m³",COUNT(H437:J437)&lt;&gt;3),AND(S437="ud",COUNT(H437:J437)&gt;0))),AND(P437="DIRECTA",OR(S437="m",S437="m²",S437="m³"))),1,0))</f>
        <v>0</v>
      </c>
      <c r="AB437" s="0">
        <f>IF(LEN(TRIM(E437&amp;""))&gt;0,E437,IF(R437&gt;0,INDEX($E$13:$E$512,R437),""))</f>
      </c>
      <c r="AC437" s="0">
        <f>UPPER(SUBSTITUTE(SUBSTITUTE(SUBSTITUTE(SUBSTITUTE(SUBSTITUTE(TRIM(AB437),"²","2"),"³","3"),"^",""),".","")," ",""))</f>
      </c>
    </row>
    <row r="438" ht="35" customHeight="1">
      <c r="B438" s="35"/>
      <c r="C438" s="35"/>
      <c r="D438" s="37"/>
      <c r="E438" s="35"/>
      <c r="F438" s="38"/>
      <c r="G438" s="38"/>
      <c r="H438" s="38"/>
      <c r="I438" s="38"/>
      <c r="J438" s="38"/>
      <c r="K438" s="35"/>
      <c r="L438" s="35"/>
      <c r="M438" s="39">
        <f>IF(U438&lt;&gt;1,"",IF(P438="DIRECTA",G438,IF(ISNUMBER(G438),G438,1)*IF(ISNUMBER(H438),H438,1)*IF(ISNUMBER(I438),I438,1)*IF(ISNUMBER(J438),J438,1)))</f>
      </c>
      <c r="N438" s="30">
        <f>IF(COUNTA(B438:L438)=0,"",IF(X438=0,IF(P438="CABECERA","VERDE · Fila descriptiva; la suma usa las líneas del ID","VERDE · Datos numéricos interpretables"),IF(X438=2,"ROJO · ","ÁMBAR · ")&amp;IF(NOT(IF(ISNUMBER($E$6),AND($E$6&gt;=0,$E$6&lt;=6,$E$6=INT($E$6)),FALSE)),"Indicamos entre 0 y 6 decimales en E6. ","")&amp;IF(O438=0,"Falta un ID numérico. ","")&amp;IF(R438=0,"Faltan capítulo, código, unidad o total numérico del ID. ","")&amp;IF(T438&gt;0,"Los datos o el total del ID se contradicen. ","")&amp;IF(AND(P438&lt;&gt;"DIMENSIONES",P438&lt;&gt;"DIRECTA",P438&lt;&gt;"SIN LÍNEAS",P438&lt;&gt;"CABECERA"),"Tipo de fila no reconocido. ","")&amp;IF(AND(OR(P438="SIN LÍNEAS",P438="CABECERA"),COUNTA(G438:J438)&gt;0),"La fila dice que no mide, pero contiene medidas. ","")&amp;IF(AND(OR(P438="DIRECTA",P438="DIMENSIONES"),U438=0),"Línea incompleta o con medidas no numéricas. ","")&amp;IF(P438="SIN LÍNEAS","No constan medidas de esta fila. ","")&amp;IF(Y438&gt;0,"Parece m³: tres dimensiones bajo m². ","")&amp;IF(AND(AB438&lt;&gt;"",SUMPRODUCT(--('LÉEME'!$B$65:$B$86=AC438))&lt;&gt;1),"Revisamos el significado de la unidad. ","")&amp;IF(Z438&gt;0,"Más precisión que los decimales indicados: cotejamos el original. ","")&amp;IF(AA438&gt;0,"Revisamos dimensiones, cantidad directa, ceros o deducción. ","")))</f>
      </c>
      <c r="O438" s="0" t="n">
        <f>IF(ISNUMBER(K438),IF(AND(K438&gt;0,K438=INT(K438),K438&lt;=999999),K438,0),0)</f>
        <v>0</v>
      </c>
      <c r="P438" s="0">
        <f>IF(COUNTA(B438:L438)=0,"",IF(L438="",IF(COUNTA(G438:J438)&gt;0,"DIMENSIONES","SIN LÍNEAS"),UPPER(TRIM(L438))))</f>
      </c>
      <c r="Q438" s="0">
        <f>IF(AND(O438&gt;0,LEN(TRIM(B438&amp;""))&gt;0,LEN(TRIM(C438&amp;""))&gt;0,LEN(TRIM(E438&amp;""))&gt;0,ISNUMBER(F438)),O438,"")</f>
      </c>
      <c r="R438" s="0" t="n">
        <f>IF(O438=0,0,IF(COUNTIFS($Q$13:$Q$512,O438)&gt;0,MATCH(O438,$Q$13:$Q$512,0),0))</f>
        <v>0</v>
      </c>
      <c r="S438" s="0">
        <f>IF(AB438="","",IF(SUMPRODUCT(--('LÉEME'!$B$65:$B$86=AC438))=1,INDEX('LÉEME'!$C$65:$C$86,MATCH(AC438,'LÉEME'!$B$65:$B$86,0)),UPPER(TRIM(AB438))))</f>
      </c>
      <c r="T438" s="0" t="n">
        <f>IF(R438=0,0,IF(OR(AND(LEN(TRIM(B438&amp;""))&gt;0,UPPER(TRIM(B438&amp;""))&lt;&gt;UPPER(TRIM(INDEX($B$13:$B$512,R438)&amp;""))),AND(LEN(TRIM(C438&amp;""))&gt;0,UPPER(TRIM(C438&amp;""))&lt;&gt;UPPER(TRIM(INDEX($C$13:$C$512,R438)&amp;""))),AND(LEN(TRIM(E438&amp;""))&gt;0,S438&lt;&gt;INDEX($S$13:$S$512,R438)),AND(F438&lt;&gt;"",NOT(ISNUMBER(F438)))),1,IF(ISNUMBER(F438),IF(ABS(F438-INDEX($F$13:$F$512,R438))&gt;0.00000001,1,0),0)))</f>
        <v>0</v>
      </c>
      <c r="U438" s="0" t="n">
        <f>IF(P438="DIRECTA",IF(AND(ISNUMBER(G438),COUNTA(H438:J438)=0),1,0),IF(P438="DIMENSIONES",IF(AND(COUNT(G438:J438)&gt;0,COUNTA(G438:J438)=COUNT(G438:J438)),1,0),0))</f>
        <v>0</v>
      </c>
      <c r="V438" s="0" t="n">
        <f>IF(O438=0,0,IF(COUNTIFS($O$13:O438,O438)=1,1,0))</f>
        <v>0</v>
      </c>
      <c r="W438" s="0">
        <f>IF(V438=1,COUNTIFS($V$13:V438,1),"")</f>
      </c>
      <c r="X438" s="0">
        <f>IF(COUNTA(B438:L438)=0,"",IF(OR(NOT(IF(ISNUMBER($E$6),AND($E$6&gt;=0,$E$6&lt;=6,$E$6=INT($E$6)),FALSE)),O438=0,R438=0,T438&gt;0,AND(P438&lt;&gt;"DIMENSIONES",P438&lt;&gt;"DIRECTA",P438&lt;&gt;"SIN LÍNEAS",P438&lt;&gt;"CABECERA"),AND(OR(P438="DIRECTA",P438="DIMENSIONES"),U438=0),AND(OR(P438="SIN LÍNEAS",P438="CABECERA"),COUNTA(G438:J438)&gt;0)),2,IF(OR(P438="SIN LÍNEAS",Y438&gt;0,Z438&gt;0,AA438&gt;0,SUMPRODUCT(--('LÉEME'!$B$65:$B$86=AC438))&lt;&gt;1),1,0)))</f>
      </c>
      <c r="Y438" s="0" t="n">
        <f>IF(AND(P438="DIMENSIONES",S438="m²",COUNT(H438:J438)=3),1,0)</f>
        <v>0</v>
      </c>
      <c r="Z438" s="0" t="n">
        <f>IF(IF(ISNUMBER($E$6),AND($E$6&gt;=0,$E$6&lt;=6,$E$6=INT($E$6)),FALSE),IF(SUM(IF(ISNUMBER(F438),IF(ABS(F438-ROUND(F438,$E$6))&gt;0.00000001,1,0),0),IF(ISNUMBER(G438),IF(ABS(G438-ROUND(G438,$E$6))&gt;0.00000001,1,0),0),IF(ISNUMBER(H438),IF(ABS(H438-ROUND(H438,$E$6))&gt;0.00000001,1,0),0),IF(ISNUMBER(I438),IF(ABS(I438-ROUND(I438,$E$6))&gt;0.00000001,1,0),0),IF(ISNUMBER(J438),IF(ABS(J438-ROUND(J438,$E$6))&gt;0.00000001,1,0),0),IF(ISNUMBER(M438),IF(ABS(M438-ROUND(M438,$E$6))&gt;0.00000001,1,0),0))&gt;0,1,0),0)</f>
        <v>0</v>
      </c>
      <c r="AA438" s="0" t="n">
        <f>IF(COUNTA(B438:L438)=0,0,IF(OR(AND(ISNUMBER(F438),F438&lt;0),AND(U438=1,OR(SUM(IF(ISNUMBER(G438),IF(G438=0,1,0),0),IF(ISNUMBER(H438),IF(H438=0,1,0),0),IF(ISNUMBER(I438),IF(I438=0,1,0),0),IF(ISNUMBER(J438),IF(J438=0,1,0),0))&gt;0,COUNTIFS(G438:J438,"&lt;0")&gt;0)),AND(P438="DIMENSIONES",U438=1,OR(AND(S438="m",COUNT(H438:J438)&lt;&gt;1),AND(S438="m²",COUNT(H438:J438)&lt;&gt;2,Y438=0),AND(S438="m³",COUNT(H438:J438)&lt;&gt;3),AND(S438="ud",COUNT(H438:J438)&gt;0))),AND(P438="DIRECTA",OR(S438="m",S438="m²",S438="m³"))),1,0))</f>
        <v>0</v>
      </c>
      <c r="AB438" s="0">
        <f>IF(LEN(TRIM(E438&amp;""))&gt;0,E438,IF(R438&gt;0,INDEX($E$13:$E$512,R438),""))</f>
      </c>
      <c r="AC438" s="0">
        <f>UPPER(SUBSTITUTE(SUBSTITUTE(SUBSTITUTE(SUBSTITUTE(SUBSTITUTE(TRIM(AB438),"²","2"),"³","3"),"^",""),".","")," ",""))</f>
      </c>
    </row>
    <row r="439" ht="35" customHeight="1">
      <c r="B439" s="35"/>
      <c r="C439" s="35"/>
      <c r="D439" s="37"/>
      <c r="E439" s="35"/>
      <c r="F439" s="38"/>
      <c r="G439" s="38"/>
      <c r="H439" s="38"/>
      <c r="I439" s="38"/>
      <c r="J439" s="38"/>
      <c r="K439" s="35"/>
      <c r="L439" s="35"/>
      <c r="M439" s="39">
        <f>IF(U439&lt;&gt;1,"",IF(P439="DIRECTA",G439,IF(ISNUMBER(G439),G439,1)*IF(ISNUMBER(H439),H439,1)*IF(ISNUMBER(I439),I439,1)*IF(ISNUMBER(J439),J439,1)))</f>
      </c>
      <c r="N439" s="30">
        <f>IF(COUNTA(B439:L439)=0,"",IF(X439=0,IF(P439="CABECERA","VERDE · Fila descriptiva; la suma usa las líneas del ID","VERDE · Datos numéricos interpretables"),IF(X439=2,"ROJO · ","ÁMBAR · ")&amp;IF(NOT(IF(ISNUMBER($E$6),AND($E$6&gt;=0,$E$6&lt;=6,$E$6=INT($E$6)),FALSE)),"Indicamos entre 0 y 6 decimales en E6. ","")&amp;IF(O439=0,"Falta un ID numérico. ","")&amp;IF(R439=0,"Faltan capítulo, código, unidad o total numérico del ID. ","")&amp;IF(T439&gt;0,"Los datos o el total del ID se contradicen. ","")&amp;IF(AND(P439&lt;&gt;"DIMENSIONES",P439&lt;&gt;"DIRECTA",P439&lt;&gt;"SIN LÍNEAS",P439&lt;&gt;"CABECERA"),"Tipo de fila no reconocido. ","")&amp;IF(AND(OR(P439="SIN LÍNEAS",P439="CABECERA"),COUNTA(G439:J439)&gt;0),"La fila dice que no mide, pero contiene medidas. ","")&amp;IF(AND(OR(P439="DIRECTA",P439="DIMENSIONES"),U439=0),"Línea incompleta o con medidas no numéricas. ","")&amp;IF(P439="SIN LÍNEAS","No constan medidas de esta fila. ","")&amp;IF(Y439&gt;0,"Parece m³: tres dimensiones bajo m². ","")&amp;IF(AND(AB439&lt;&gt;"",SUMPRODUCT(--('LÉEME'!$B$65:$B$86=AC439))&lt;&gt;1),"Revisamos el significado de la unidad. ","")&amp;IF(Z439&gt;0,"Más precisión que los decimales indicados: cotejamos el original. ","")&amp;IF(AA439&gt;0,"Revisamos dimensiones, cantidad directa, ceros o deducción. ","")))</f>
      </c>
      <c r="O439" s="0" t="n">
        <f>IF(ISNUMBER(K439),IF(AND(K439&gt;0,K439=INT(K439),K439&lt;=999999),K439,0),0)</f>
        <v>0</v>
      </c>
      <c r="P439" s="0">
        <f>IF(COUNTA(B439:L439)=0,"",IF(L439="",IF(COUNTA(G439:J439)&gt;0,"DIMENSIONES","SIN LÍNEAS"),UPPER(TRIM(L439))))</f>
      </c>
      <c r="Q439" s="0">
        <f>IF(AND(O439&gt;0,LEN(TRIM(B439&amp;""))&gt;0,LEN(TRIM(C439&amp;""))&gt;0,LEN(TRIM(E439&amp;""))&gt;0,ISNUMBER(F439)),O439,"")</f>
      </c>
      <c r="R439" s="0" t="n">
        <f>IF(O439=0,0,IF(COUNTIFS($Q$13:$Q$512,O439)&gt;0,MATCH(O439,$Q$13:$Q$512,0),0))</f>
        <v>0</v>
      </c>
      <c r="S439" s="0">
        <f>IF(AB439="","",IF(SUMPRODUCT(--('LÉEME'!$B$65:$B$86=AC439))=1,INDEX('LÉEME'!$C$65:$C$86,MATCH(AC439,'LÉEME'!$B$65:$B$86,0)),UPPER(TRIM(AB439))))</f>
      </c>
      <c r="T439" s="0" t="n">
        <f>IF(R439=0,0,IF(OR(AND(LEN(TRIM(B439&amp;""))&gt;0,UPPER(TRIM(B439&amp;""))&lt;&gt;UPPER(TRIM(INDEX($B$13:$B$512,R439)&amp;""))),AND(LEN(TRIM(C439&amp;""))&gt;0,UPPER(TRIM(C439&amp;""))&lt;&gt;UPPER(TRIM(INDEX($C$13:$C$512,R439)&amp;""))),AND(LEN(TRIM(E439&amp;""))&gt;0,S439&lt;&gt;INDEX($S$13:$S$512,R439)),AND(F439&lt;&gt;"",NOT(ISNUMBER(F439)))),1,IF(ISNUMBER(F439),IF(ABS(F439-INDEX($F$13:$F$512,R439))&gt;0.00000001,1,0),0)))</f>
        <v>0</v>
      </c>
      <c r="U439" s="0" t="n">
        <f>IF(P439="DIRECTA",IF(AND(ISNUMBER(G439),COUNTA(H439:J439)=0),1,0),IF(P439="DIMENSIONES",IF(AND(COUNT(G439:J439)&gt;0,COUNTA(G439:J439)=COUNT(G439:J439)),1,0),0))</f>
        <v>0</v>
      </c>
      <c r="V439" s="0" t="n">
        <f>IF(O439=0,0,IF(COUNTIFS($O$13:O439,O439)=1,1,0))</f>
        <v>0</v>
      </c>
      <c r="W439" s="0">
        <f>IF(V439=1,COUNTIFS($V$13:V439,1),"")</f>
      </c>
      <c r="X439" s="0">
        <f>IF(COUNTA(B439:L439)=0,"",IF(OR(NOT(IF(ISNUMBER($E$6),AND($E$6&gt;=0,$E$6&lt;=6,$E$6=INT($E$6)),FALSE)),O439=0,R439=0,T439&gt;0,AND(P439&lt;&gt;"DIMENSIONES",P439&lt;&gt;"DIRECTA",P439&lt;&gt;"SIN LÍNEAS",P439&lt;&gt;"CABECERA"),AND(OR(P439="DIRECTA",P439="DIMENSIONES"),U439=0),AND(OR(P439="SIN LÍNEAS",P439="CABECERA"),COUNTA(G439:J439)&gt;0)),2,IF(OR(P439="SIN LÍNEAS",Y439&gt;0,Z439&gt;0,AA439&gt;0,SUMPRODUCT(--('LÉEME'!$B$65:$B$86=AC439))&lt;&gt;1),1,0)))</f>
      </c>
      <c r="Y439" s="0" t="n">
        <f>IF(AND(P439="DIMENSIONES",S439="m²",COUNT(H439:J439)=3),1,0)</f>
        <v>0</v>
      </c>
      <c r="Z439" s="0" t="n">
        <f>IF(IF(ISNUMBER($E$6),AND($E$6&gt;=0,$E$6&lt;=6,$E$6=INT($E$6)),FALSE),IF(SUM(IF(ISNUMBER(F439),IF(ABS(F439-ROUND(F439,$E$6))&gt;0.00000001,1,0),0),IF(ISNUMBER(G439),IF(ABS(G439-ROUND(G439,$E$6))&gt;0.00000001,1,0),0),IF(ISNUMBER(H439),IF(ABS(H439-ROUND(H439,$E$6))&gt;0.00000001,1,0),0),IF(ISNUMBER(I439),IF(ABS(I439-ROUND(I439,$E$6))&gt;0.00000001,1,0),0),IF(ISNUMBER(J439),IF(ABS(J439-ROUND(J439,$E$6))&gt;0.00000001,1,0),0),IF(ISNUMBER(M439),IF(ABS(M439-ROUND(M439,$E$6))&gt;0.00000001,1,0),0))&gt;0,1,0),0)</f>
        <v>0</v>
      </c>
      <c r="AA439" s="0" t="n">
        <f>IF(COUNTA(B439:L439)=0,0,IF(OR(AND(ISNUMBER(F439),F439&lt;0),AND(U439=1,OR(SUM(IF(ISNUMBER(G439),IF(G439=0,1,0),0),IF(ISNUMBER(H439),IF(H439=0,1,0),0),IF(ISNUMBER(I439),IF(I439=0,1,0),0),IF(ISNUMBER(J439),IF(J439=0,1,0),0))&gt;0,COUNTIFS(G439:J439,"&lt;0")&gt;0)),AND(P439="DIMENSIONES",U439=1,OR(AND(S439="m",COUNT(H439:J439)&lt;&gt;1),AND(S439="m²",COUNT(H439:J439)&lt;&gt;2,Y439=0),AND(S439="m³",COUNT(H439:J439)&lt;&gt;3),AND(S439="ud",COUNT(H439:J439)&gt;0))),AND(P439="DIRECTA",OR(S439="m",S439="m²",S439="m³"))),1,0))</f>
        <v>0</v>
      </c>
      <c r="AB439" s="0">
        <f>IF(LEN(TRIM(E439&amp;""))&gt;0,E439,IF(R439&gt;0,INDEX($E$13:$E$512,R439),""))</f>
      </c>
      <c r="AC439" s="0">
        <f>UPPER(SUBSTITUTE(SUBSTITUTE(SUBSTITUTE(SUBSTITUTE(SUBSTITUTE(TRIM(AB439),"²","2"),"³","3"),"^",""),".","")," ",""))</f>
      </c>
    </row>
    <row r="440" ht="35" customHeight="1">
      <c r="B440" s="35"/>
      <c r="C440" s="35"/>
      <c r="D440" s="37"/>
      <c r="E440" s="35"/>
      <c r="F440" s="38"/>
      <c r="G440" s="38"/>
      <c r="H440" s="38"/>
      <c r="I440" s="38"/>
      <c r="J440" s="38"/>
      <c r="K440" s="35"/>
      <c r="L440" s="35"/>
      <c r="M440" s="39">
        <f>IF(U440&lt;&gt;1,"",IF(P440="DIRECTA",G440,IF(ISNUMBER(G440),G440,1)*IF(ISNUMBER(H440),H440,1)*IF(ISNUMBER(I440),I440,1)*IF(ISNUMBER(J440),J440,1)))</f>
      </c>
      <c r="N440" s="30">
        <f>IF(COUNTA(B440:L440)=0,"",IF(X440=0,IF(P440="CABECERA","VERDE · Fila descriptiva; la suma usa las líneas del ID","VERDE · Datos numéricos interpretables"),IF(X440=2,"ROJO · ","ÁMBAR · ")&amp;IF(NOT(IF(ISNUMBER($E$6),AND($E$6&gt;=0,$E$6&lt;=6,$E$6=INT($E$6)),FALSE)),"Indicamos entre 0 y 6 decimales en E6. ","")&amp;IF(O440=0,"Falta un ID numérico. ","")&amp;IF(R440=0,"Faltan capítulo, código, unidad o total numérico del ID. ","")&amp;IF(T440&gt;0,"Los datos o el total del ID se contradicen. ","")&amp;IF(AND(P440&lt;&gt;"DIMENSIONES",P440&lt;&gt;"DIRECTA",P440&lt;&gt;"SIN LÍNEAS",P440&lt;&gt;"CABECERA"),"Tipo de fila no reconocido. ","")&amp;IF(AND(OR(P440="SIN LÍNEAS",P440="CABECERA"),COUNTA(G440:J440)&gt;0),"La fila dice que no mide, pero contiene medidas. ","")&amp;IF(AND(OR(P440="DIRECTA",P440="DIMENSIONES"),U440=0),"Línea incompleta o con medidas no numéricas. ","")&amp;IF(P440="SIN LÍNEAS","No constan medidas de esta fila. ","")&amp;IF(Y440&gt;0,"Parece m³: tres dimensiones bajo m². ","")&amp;IF(AND(AB440&lt;&gt;"",SUMPRODUCT(--('LÉEME'!$B$65:$B$86=AC440))&lt;&gt;1),"Revisamos el significado de la unidad. ","")&amp;IF(Z440&gt;0,"Más precisión que los decimales indicados: cotejamos el original. ","")&amp;IF(AA440&gt;0,"Revisamos dimensiones, cantidad directa, ceros o deducción. ","")))</f>
      </c>
      <c r="O440" s="0" t="n">
        <f>IF(ISNUMBER(K440),IF(AND(K440&gt;0,K440=INT(K440),K440&lt;=999999),K440,0),0)</f>
        <v>0</v>
      </c>
      <c r="P440" s="0">
        <f>IF(COUNTA(B440:L440)=0,"",IF(L440="",IF(COUNTA(G440:J440)&gt;0,"DIMENSIONES","SIN LÍNEAS"),UPPER(TRIM(L440))))</f>
      </c>
      <c r="Q440" s="0">
        <f>IF(AND(O440&gt;0,LEN(TRIM(B440&amp;""))&gt;0,LEN(TRIM(C440&amp;""))&gt;0,LEN(TRIM(E440&amp;""))&gt;0,ISNUMBER(F440)),O440,"")</f>
      </c>
      <c r="R440" s="0" t="n">
        <f>IF(O440=0,0,IF(COUNTIFS($Q$13:$Q$512,O440)&gt;0,MATCH(O440,$Q$13:$Q$512,0),0))</f>
        <v>0</v>
      </c>
      <c r="S440" s="0">
        <f>IF(AB440="","",IF(SUMPRODUCT(--('LÉEME'!$B$65:$B$86=AC440))=1,INDEX('LÉEME'!$C$65:$C$86,MATCH(AC440,'LÉEME'!$B$65:$B$86,0)),UPPER(TRIM(AB440))))</f>
      </c>
      <c r="T440" s="0" t="n">
        <f>IF(R440=0,0,IF(OR(AND(LEN(TRIM(B440&amp;""))&gt;0,UPPER(TRIM(B440&amp;""))&lt;&gt;UPPER(TRIM(INDEX($B$13:$B$512,R440)&amp;""))),AND(LEN(TRIM(C440&amp;""))&gt;0,UPPER(TRIM(C440&amp;""))&lt;&gt;UPPER(TRIM(INDEX($C$13:$C$512,R440)&amp;""))),AND(LEN(TRIM(E440&amp;""))&gt;0,S440&lt;&gt;INDEX($S$13:$S$512,R440)),AND(F440&lt;&gt;"",NOT(ISNUMBER(F440)))),1,IF(ISNUMBER(F440),IF(ABS(F440-INDEX($F$13:$F$512,R440))&gt;0.00000001,1,0),0)))</f>
        <v>0</v>
      </c>
      <c r="U440" s="0" t="n">
        <f>IF(P440="DIRECTA",IF(AND(ISNUMBER(G440),COUNTA(H440:J440)=0),1,0),IF(P440="DIMENSIONES",IF(AND(COUNT(G440:J440)&gt;0,COUNTA(G440:J440)=COUNT(G440:J440)),1,0),0))</f>
        <v>0</v>
      </c>
      <c r="V440" s="0" t="n">
        <f>IF(O440=0,0,IF(COUNTIFS($O$13:O440,O440)=1,1,0))</f>
        <v>0</v>
      </c>
      <c r="W440" s="0">
        <f>IF(V440=1,COUNTIFS($V$13:V440,1),"")</f>
      </c>
      <c r="X440" s="0">
        <f>IF(COUNTA(B440:L440)=0,"",IF(OR(NOT(IF(ISNUMBER($E$6),AND($E$6&gt;=0,$E$6&lt;=6,$E$6=INT($E$6)),FALSE)),O440=0,R440=0,T440&gt;0,AND(P440&lt;&gt;"DIMENSIONES",P440&lt;&gt;"DIRECTA",P440&lt;&gt;"SIN LÍNEAS",P440&lt;&gt;"CABECERA"),AND(OR(P440="DIRECTA",P440="DIMENSIONES"),U440=0),AND(OR(P440="SIN LÍNEAS",P440="CABECERA"),COUNTA(G440:J440)&gt;0)),2,IF(OR(P440="SIN LÍNEAS",Y440&gt;0,Z440&gt;0,AA440&gt;0,SUMPRODUCT(--('LÉEME'!$B$65:$B$86=AC440))&lt;&gt;1),1,0)))</f>
      </c>
      <c r="Y440" s="0" t="n">
        <f>IF(AND(P440="DIMENSIONES",S440="m²",COUNT(H440:J440)=3),1,0)</f>
        <v>0</v>
      </c>
      <c r="Z440" s="0" t="n">
        <f>IF(IF(ISNUMBER($E$6),AND($E$6&gt;=0,$E$6&lt;=6,$E$6=INT($E$6)),FALSE),IF(SUM(IF(ISNUMBER(F440),IF(ABS(F440-ROUND(F440,$E$6))&gt;0.00000001,1,0),0),IF(ISNUMBER(G440),IF(ABS(G440-ROUND(G440,$E$6))&gt;0.00000001,1,0),0),IF(ISNUMBER(H440),IF(ABS(H440-ROUND(H440,$E$6))&gt;0.00000001,1,0),0),IF(ISNUMBER(I440),IF(ABS(I440-ROUND(I440,$E$6))&gt;0.00000001,1,0),0),IF(ISNUMBER(J440),IF(ABS(J440-ROUND(J440,$E$6))&gt;0.00000001,1,0),0),IF(ISNUMBER(M440),IF(ABS(M440-ROUND(M440,$E$6))&gt;0.00000001,1,0),0))&gt;0,1,0),0)</f>
        <v>0</v>
      </c>
      <c r="AA440" s="0" t="n">
        <f>IF(COUNTA(B440:L440)=0,0,IF(OR(AND(ISNUMBER(F440),F440&lt;0),AND(U440=1,OR(SUM(IF(ISNUMBER(G440),IF(G440=0,1,0),0),IF(ISNUMBER(H440),IF(H440=0,1,0),0),IF(ISNUMBER(I440),IF(I440=0,1,0),0),IF(ISNUMBER(J440),IF(J440=0,1,0),0))&gt;0,COUNTIFS(G440:J440,"&lt;0")&gt;0)),AND(P440="DIMENSIONES",U440=1,OR(AND(S440="m",COUNT(H440:J440)&lt;&gt;1),AND(S440="m²",COUNT(H440:J440)&lt;&gt;2,Y440=0),AND(S440="m³",COUNT(H440:J440)&lt;&gt;3),AND(S440="ud",COUNT(H440:J440)&gt;0))),AND(P440="DIRECTA",OR(S440="m",S440="m²",S440="m³"))),1,0))</f>
        <v>0</v>
      </c>
      <c r="AB440" s="0">
        <f>IF(LEN(TRIM(E440&amp;""))&gt;0,E440,IF(R440&gt;0,INDEX($E$13:$E$512,R440),""))</f>
      </c>
      <c r="AC440" s="0">
        <f>UPPER(SUBSTITUTE(SUBSTITUTE(SUBSTITUTE(SUBSTITUTE(SUBSTITUTE(TRIM(AB440),"²","2"),"³","3"),"^",""),".","")," ",""))</f>
      </c>
    </row>
    <row r="441" ht="35" customHeight="1">
      <c r="B441" s="35"/>
      <c r="C441" s="35"/>
      <c r="D441" s="37"/>
      <c r="E441" s="35"/>
      <c r="F441" s="38"/>
      <c r="G441" s="38"/>
      <c r="H441" s="38"/>
      <c r="I441" s="38"/>
      <c r="J441" s="38"/>
      <c r="K441" s="35"/>
      <c r="L441" s="35"/>
      <c r="M441" s="39">
        <f>IF(U441&lt;&gt;1,"",IF(P441="DIRECTA",G441,IF(ISNUMBER(G441),G441,1)*IF(ISNUMBER(H441),H441,1)*IF(ISNUMBER(I441),I441,1)*IF(ISNUMBER(J441),J441,1)))</f>
      </c>
      <c r="N441" s="30">
        <f>IF(COUNTA(B441:L441)=0,"",IF(X441=0,IF(P441="CABECERA","VERDE · Fila descriptiva; la suma usa las líneas del ID","VERDE · Datos numéricos interpretables"),IF(X441=2,"ROJO · ","ÁMBAR · ")&amp;IF(NOT(IF(ISNUMBER($E$6),AND($E$6&gt;=0,$E$6&lt;=6,$E$6=INT($E$6)),FALSE)),"Indicamos entre 0 y 6 decimales en E6. ","")&amp;IF(O441=0,"Falta un ID numérico. ","")&amp;IF(R441=0,"Faltan capítulo, código, unidad o total numérico del ID. ","")&amp;IF(T441&gt;0,"Los datos o el total del ID se contradicen. ","")&amp;IF(AND(P441&lt;&gt;"DIMENSIONES",P441&lt;&gt;"DIRECTA",P441&lt;&gt;"SIN LÍNEAS",P441&lt;&gt;"CABECERA"),"Tipo de fila no reconocido. ","")&amp;IF(AND(OR(P441="SIN LÍNEAS",P441="CABECERA"),COUNTA(G441:J441)&gt;0),"La fila dice que no mide, pero contiene medidas. ","")&amp;IF(AND(OR(P441="DIRECTA",P441="DIMENSIONES"),U441=0),"Línea incompleta o con medidas no numéricas. ","")&amp;IF(P441="SIN LÍNEAS","No constan medidas de esta fila. ","")&amp;IF(Y441&gt;0,"Parece m³: tres dimensiones bajo m². ","")&amp;IF(AND(AB441&lt;&gt;"",SUMPRODUCT(--('LÉEME'!$B$65:$B$86=AC441))&lt;&gt;1),"Revisamos el significado de la unidad. ","")&amp;IF(Z441&gt;0,"Más precisión que los decimales indicados: cotejamos el original. ","")&amp;IF(AA441&gt;0,"Revisamos dimensiones, cantidad directa, ceros o deducción. ","")))</f>
      </c>
      <c r="O441" s="0" t="n">
        <f>IF(ISNUMBER(K441),IF(AND(K441&gt;0,K441=INT(K441),K441&lt;=999999),K441,0),0)</f>
        <v>0</v>
      </c>
      <c r="P441" s="0">
        <f>IF(COUNTA(B441:L441)=0,"",IF(L441="",IF(COUNTA(G441:J441)&gt;0,"DIMENSIONES","SIN LÍNEAS"),UPPER(TRIM(L441))))</f>
      </c>
      <c r="Q441" s="0">
        <f>IF(AND(O441&gt;0,LEN(TRIM(B441&amp;""))&gt;0,LEN(TRIM(C441&amp;""))&gt;0,LEN(TRIM(E441&amp;""))&gt;0,ISNUMBER(F441)),O441,"")</f>
      </c>
      <c r="R441" s="0" t="n">
        <f>IF(O441=0,0,IF(COUNTIFS($Q$13:$Q$512,O441)&gt;0,MATCH(O441,$Q$13:$Q$512,0),0))</f>
        <v>0</v>
      </c>
      <c r="S441" s="0">
        <f>IF(AB441="","",IF(SUMPRODUCT(--('LÉEME'!$B$65:$B$86=AC441))=1,INDEX('LÉEME'!$C$65:$C$86,MATCH(AC441,'LÉEME'!$B$65:$B$86,0)),UPPER(TRIM(AB441))))</f>
      </c>
      <c r="T441" s="0" t="n">
        <f>IF(R441=0,0,IF(OR(AND(LEN(TRIM(B441&amp;""))&gt;0,UPPER(TRIM(B441&amp;""))&lt;&gt;UPPER(TRIM(INDEX($B$13:$B$512,R441)&amp;""))),AND(LEN(TRIM(C441&amp;""))&gt;0,UPPER(TRIM(C441&amp;""))&lt;&gt;UPPER(TRIM(INDEX($C$13:$C$512,R441)&amp;""))),AND(LEN(TRIM(E441&amp;""))&gt;0,S441&lt;&gt;INDEX($S$13:$S$512,R441)),AND(F441&lt;&gt;"",NOT(ISNUMBER(F441)))),1,IF(ISNUMBER(F441),IF(ABS(F441-INDEX($F$13:$F$512,R441))&gt;0.00000001,1,0),0)))</f>
        <v>0</v>
      </c>
      <c r="U441" s="0" t="n">
        <f>IF(P441="DIRECTA",IF(AND(ISNUMBER(G441),COUNTA(H441:J441)=0),1,0),IF(P441="DIMENSIONES",IF(AND(COUNT(G441:J441)&gt;0,COUNTA(G441:J441)=COUNT(G441:J441)),1,0),0))</f>
        <v>0</v>
      </c>
      <c r="V441" s="0" t="n">
        <f>IF(O441=0,0,IF(COUNTIFS($O$13:O441,O441)=1,1,0))</f>
        <v>0</v>
      </c>
      <c r="W441" s="0">
        <f>IF(V441=1,COUNTIFS($V$13:V441,1),"")</f>
      </c>
      <c r="X441" s="0">
        <f>IF(COUNTA(B441:L441)=0,"",IF(OR(NOT(IF(ISNUMBER($E$6),AND($E$6&gt;=0,$E$6&lt;=6,$E$6=INT($E$6)),FALSE)),O441=0,R441=0,T441&gt;0,AND(P441&lt;&gt;"DIMENSIONES",P441&lt;&gt;"DIRECTA",P441&lt;&gt;"SIN LÍNEAS",P441&lt;&gt;"CABECERA"),AND(OR(P441="DIRECTA",P441="DIMENSIONES"),U441=0),AND(OR(P441="SIN LÍNEAS",P441="CABECERA"),COUNTA(G441:J441)&gt;0)),2,IF(OR(P441="SIN LÍNEAS",Y441&gt;0,Z441&gt;0,AA441&gt;0,SUMPRODUCT(--('LÉEME'!$B$65:$B$86=AC441))&lt;&gt;1),1,0)))</f>
      </c>
      <c r="Y441" s="0" t="n">
        <f>IF(AND(P441="DIMENSIONES",S441="m²",COUNT(H441:J441)=3),1,0)</f>
        <v>0</v>
      </c>
      <c r="Z441" s="0" t="n">
        <f>IF(IF(ISNUMBER($E$6),AND($E$6&gt;=0,$E$6&lt;=6,$E$6=INT($E$6)),FALSE),IF(SUM(IF(ISNUMBER(F441),IF(ABS(F441-ROUND(F441,$E$6))&gt;0.00000001,1,0),0),IF(ISNUMBER(G441),IF(ABS(G441-ROUND(G441,$E$6))&gt;0.00000001,1,0),0),IF(ISNUMBER(H441),IF(ABS(H441-ROUND(H441,$E$6))&gt;0.00000001,1,0),0),IF(ISNUMBER(I441),IF(ABS(I441-ROUND(I441,$E$6))&gt;0.00000001,1,0),0),IF(ISNUMBER(J441),IF(ABS(J441-ROUND(J441,$E$6))&gt;0.00000001,1,0),0),IF(ISNUMBER(M441),IF(ABS(M441-ROUND(M441,$E$6))&gt;0.00000001,1,0),0))&gt;0,1,0),0)</f>
        <v>0</v>
      </c>
      <c r="AA441" s="0" t="n">
        <f>IF(COUNTA(B441:L441)=0,0,IF(OR(AND(ISNUMBER(F441),F441&lt;0),AND(U441=1,OR(SUM(IF(ISNUMBER(G441),IF(G441=0,1,0),0),IF(ISNUMBER(H441),IF(H441=0,1,0),0),IF(ISNUMBER(I441),IF(I441=0,1,0),0),IF(ISNUMBER(J441),IF(J441=0,1,0),0))&gt;0,COUNTIFS(G441:J441,"&lt;0")&gt;0)),AND(P441="DIMENSIONES",U441=1,OR(AND(S441="m",COUNT(H441:J441)&lt;&gt;1),AND(S441="m²",COUNT(H441:J441)&lt;&gt;2,Y441=0),AND(S441="m³",COUNT(H441:J441)&lt;&gt;3),AND(S441="ud",COUNT(H441:J441)&gt;0))),AND(P441="DIRECTA",OR(S441="m",S441="m²",S441="m³"))),1,0))</f>
        <v>0</v>
      </c>
      <c r="AB441" s="0">
        <f>IF(LEN(TRIM(E441&amp;""))&gt;0,E441,IF(R441&gt;0,INDEX($E$13:$E$512,R441),""))</f>
      </c>
      <c r="AC441" s="0">
        <f>UPPER(SUBSTITUTE(SUBSTITUTE(SUBSTITUTE(SUBSTITUTE(SUBSTITUTE(TRIM(AB441),"²","2"),"³","3"),"^",""),".","")," ",""))</f>
      </c>
    </row>
    <row r="442" ht="35" customHeight="1">
      <c r="B442" s="35"/>
      <c r="C442" s="35"/>
      <c r="D442" s="37"/>
      <c r="E442" s="35"/>
      <c r="F442" s="38"/>
      <c r="G442" s="38"/>
      <c r="H442" s="38"/>
      <c r="I442" s="38"/>
      <c r="J442" s="38"/>
      <c r="K442" s="35"/>
      <c r="L442" s="35"/>
      <c r="M442" s="39">
        <f>IF(U442&lt;&gt;1,"",IF(P442="DIRECTA",G442,IF(ISNUMBER(G442),G442,1)*IF(ISNUMBER(H442),H442,1)*IF(ISNUMBER(I442),I442,1)*IF(ISNUMBER(J442),J442,1)))</f>
      </c>
      <c r="N442" s="30">
        <f>IF(COUNTA(B442:L442)=0,"",IF(X442=0,IF(P442="CABECERA","VERDE · Fila descriptiva; la suma usa las líneas del ID","VERDE · Datos numéricos interpretables"),IF(X442=2,"ROJO · ","ÁMBAR · ")&amp;IF(NOT(IF(ISNUMBER($E$6),AND($E$6&gt;=0,$E$6&lt;=6,$E$6=INT($E$6)),FALSE)),"Indicamos entre 0 y 6 decimales en E6. ","")&amp;IF(O442=0,"Falta un ID numérico. ","")&amp;IF(R442=0,"Faltan capítulo, código, unidad o total numérico del ID. ","")&amp;IF(T442&gt;0,"Los datos o el total del ID se contradicen. ","")&amp;IF(AND(P442&lt;&gt;"DIMENSIONES",P442&lt;&gt;"DIRECTA",P442&lt;&gt;"SIN LÍNEAS",P442&lt;&gt;"CABECERA"),"Tipo de fila no reconocido. ","")&amp;IF(AND(OR(P442="SIN LÍNEAS",P442="CABECERA"),COUNTA(G442:J442)&gt;0),"La fila dice que no mide, pero contiene medidas. ","")&amp;IF(AND(OR(P442="DIRECTA",P442="DIMENSIONES"),U442=0),"Línea incompleta o con medidas no numéricas. ","")&amp;IF(P442="SIN LÍNEAS","No constan medidas de esta fila. ","")&amp;IF(Y442&gt;0,"Parece m³: tres dimensiones bajo m². ","")&amp;IF(AND(AB442&lt;&gt;"",SUMPRODUCT(--('LÉEME'!$B$65:$B$86=AC442))&lt;&gt;1),"Revisamos el significado de la unidad. ","")&amp;IF(Z442&gt;0,"Más precisión que los decimales indicados: cotejamos el original. ","")&amp;IF(AA442&gt;0,"Revisamos dimensiones, cantidad directa, ceros o deducción. ","")))</f>
      </c>
      <c r="O442" s="0" t="n">
        <f>IF(ISNUMBER(K442),IF(AND(K442&gt;0,K442=INT(K442),K442&lt;=999999),K442,0),0)</f>
        <v>0</v>
      </c>
      <c r="P442" s="0">
        <f>IF(COUNTA(B442:L442)=0,"",IF(L442="",IF(COUNTA(G442:J442)&gt;0,"DIMENSIONES","SIN LÍNEAS"),UPPER(TRIM(L442))))</f>
      </c>
      <c r="Q442" s="0">
        <f>IF(AND(O442&gt;0,LEN(TRIM(B442&amp;""))&gt;0,LEN(TRIM(C442&amp;""))&gt;0,LEN(TRIM(E442&amp;""))&gt;0,ISNUMBER(F442)),O442,"")</f>
      </c>
      <c r="R442" s="0" t="n">
        <f>IF(O442=0,0,IF(COUNTIFS($Q$13:$Q$512,O442)&gt;0,MATCH(O442,$Q$13:$Q$512,0),0))</f>
        <v>0</v>
      </c>
      <c r="S442" s="0">
        <f>IF(AB442="","",IF(SUMPRODUCT(--('LÉEME'!$B$65:$B$86=AC442))=1,INDEX('LÉEME'!$C$65:$C$86,MATCH(AC442,'LÉEME'!$B$65:$B$86,0)),UPPER(TRIM(AB442))))</f>
      </c>
      <c r="T442" s="0" t="n">
        <f>IF(R442=0,0,IF(OR(AND(LEN(TRIM(B442&amp;""))&gt;0,UPPER(TRIM(B442&amp;""))&lt;&gt;UPPER(TRIM(INDEX($B$13:$B$512,R442)&amp;""))),AND(LEN(TRIM(C442&amp;""))&gt;0,UPPER(TRIM(C442&amp;""))&lt;&gt;UPPER(TRIM(INDEX($C$13:$C$512,R442)&amp;""))),AND(LEN(TRIM(E442&amp;""))&gt;0,S442&lt;&gt;INDEX($S$13:$S$512,R442)),AND(F442&lt;&gt;"",NOT(ISNUMBER(F442)))),1,IF(ISNUMBER(F442),IF(ABS(F442-INDEX($F$13:$F$512,R442))&gt;0.00000001,1,0),0)))</f>
        <v>0</v>
      </c>
      <c r="U442" s="0" t="n">
        <f>IF(P442="DIRECTA",IF(AND(ISNUMBER(G442),COUNTA(H442:J442)=0),1,0),IF(P442="DIMENSIONES",IF(AND(COUNT(G442:J442)&gt;0,COUNTA(G442:J442)=COUNT(G442:J442)),1,0),0))</f>
        <v>0</v>
      </c>
      <c r="V442" s="0" t="n">
        <f>IF(O442=0,0,IF(COUNTIFS($O$13:O442,O442)=1,1,0))</f>
        <v>0</v>
      </c>
      <c r="W442" s="0">
        <f>IF(V442=1,COUNTIFS($V$13:V442,1),"")</f>
      </c>
      <c r="X442" s="0">
        <f>IF(COUNTA(B442:L442)=0,"",IF(OR(NOT(IF(ISNUMBER($E$6),AND($E$6&gt;=0,$E$6&lt;=6,$E$6=INT($E$6)),FALSE)),O442=0,R442=0,T442&gt;0,AND(P442&lt;&gt;"DIMENSIONES",P442&lt;&gt;"DIRECTA",P442&lt;&gt;"SIN LÍNEAS",P442&lt;&gt;"CABECERA"),AND(OR(P442="DIRECTA",P442="DIMENSIONES"),U442=0),AND(OR(P442="SIN LÍNEAS",P442="CABECERA"),COUNTA(G442:J442)&gt;0)),2,IF(OR(P442="SIN LÍNEAS",Y442&gt;0,Z442&gt;0,AA442&gt;0,SUMPRODUCT(--('LÉEME'!$B$65:$B$86=AC442))&lt;&gt;1),1,0)))</f>
      </c>
      <c r="Y442" s="0" t="n">
        <f>IF(AND(P442="DIMENSIONES",S442="m²",COUNT(H442:J442)=3),1,0)</f>
        <v>0</v>
      </c>
      <c r="Z442" s="0" t="n">
        <f>IF(IF(ISNUMBER($E$6),AND($E$6&gt;=0,$E$6&lt;=6,$E$6=INT($E$6)),FALSE),IF(SUM(IF(ISNUMBER(F442),IF(ABS(F442-ROUND(F442,$E$6))&gt;0.00000001,1,0),0),IF(ISNUMBER(G442),IF(ABS(G442-ROUND(G442,$E$6))&gt;0.00000001,1,0),0),IF(ISNUMBER(H442),IF(ABS(H442-ROUND(H442,$E$6))&gt;0.00000001,1,0),0),IF(ISNUMBER(I442),IF(ABS(I442-ROUND(I442,$E$6))&gt;0.00000001,1,0),0),IF(ISNUMBER(J442),IF(ABS(J442-ROUND(J442,$E$6))&gt;0.00000001,1,0),0),IF(ISNUMBER(M442),IF(ABS(M442-ROUND(M442,$E$6))&gt;0.00000001,1,0),0))&gt;0,1,0),0)</f>
        <v>0</v>
      </c>
      <c r="AA442" s="0" t="n">
        <f>IF(COUNTA(B442:L442)=0,0,IF(OR(AND(ISNUMBER(F442),F442&lt;0),AND(U442=1,OR(SUM(IF(ISNUMBER(G442),IF(G442=0,1,0),0),IF(ISNUMBER(H442),IF(H442=0,1,0),0),IF(ISNUMBER(I442),IF(I442=0,1,0),0),IF(ISNUMBER(J442),IF(J442=0,1,0),0))&gt;0,COUNTIFS(G442:J442,"&lt;0")&gt;0)),AND(P442="DIMENSIONES",U442=1,OR(AND(S442="m",COUNT(H442:J442)&lt;&gt;1),AND(S442="m²",COUNT(H442:J442)&lt;&gt;2,Y442=0),AND(S442="m³",COUNT(H442:J442)&lt;&gt;3),AND(S442="ud",COUNT(H442:J442)&gt;0))),AND(P442="DIRECTA",OR(S442="m",S442="m²",S442="m³"))),1,0))</f>
        <v>0</v>
      </c>
      <c r="AB442" s="0">
        <f>IF(LEN(TRIM(E442&amp;""))&gt;0,E442,IF(R442&gt;0,INDEX($E$13:$E$512,R442),""))</f>
      </c>
      <c r="AC442" s="0">
        <f>UPPER(SUBSTITUTE(SUBSTITUTE(SUBSTITUTE(SUBSTITUTE(SUBSTITUTE(TRIM(AB442),"²","2"),"³","3"),"^",""),".","")," ",""))</f>
      </c>
    </row>
    <row r="443" ht="35" customHeight="1">
      <c r="B443" s="35"/>
      <c r="C443" s="35"/>
      <c r="D443" s="37"/>
      <c r="E443" s="35"/>
      <c r="F443" s="38"/>
      <c r="G443" s="38"/>
      <c r="H443" s="38"/>
      <c r="I443" s="38"/>
      <c r="J443" s="38"/>
      <c r="K443" s="35"/>
      <c r="L443" s="35"/>
      <c r="M443" s="39">
        <f>IF(U443&lt;&gt;1,"",IF(P443="DIRECTA",G443,IF(ISNUMBER(G443),G443,1)*IF(ISNUMBER(H443),H443,1)*IF(ISNUMBER(I443),I443,1)*IF(ISNUMBER(J443),J443,1)))</f>
      </c>
      <c r="N443" s="30">
        <f>IF(COUNTA(B443:L443)=0,"",IF(X443=0,IF(P443="CABECERA","VERDE · Fila descriptiva; la suma usa las líneas del ID","VERDE · Datos numéricos interpretables"),IF(X443=2,"ROJO · ","ÁMBAR · ")&amp;IF(NOT(IF(ISNUMBER($E$6),AND($E$6&gt;=0,$E$6&lt;=6,$E$6=INT($E$6)),FALSE)),"Indicamos entre 0 y 6 decimales en E6. ","")&amp;IF(O443=0,"Falta un ID numérico. ","")&amp;IF(R443=0,"Faltan capítulo, código, unidad o total numérico del ID. ","")&amp;IF(T443&gt;0,"Los datos o el total del ID se contradicen. ","")&amp;IF(AND(P443&lt;&gt;"DIMENSIONES",P443&lt;&gt;"DIRECTA",P443&lt;&gt;"SIN LÍNEAS",P443&lt;&gt;"CABECERA"),"Tipo de fila no reconocido. ","")&amp;IF(AND(OR(P443="SIN LÍNEAS",P443="CABECERA"),COUNTA(G443:J443)&gt;0),"La fila dice que no mide, pero contiene medidas. ","")&amp;IF(AND(OR(P443="DIRECTA",P443="DIMENSIONES"),U443=0),"Línea incompleta o con medidas no numéricas. ","")&amp;IF(P443="SIN LÍNEAS","No constan medidas de esta fila. ","")&amp;IF(Y443&gt;0,"Parece m³: tres dimensiones bajo m². ","")&amp;IF(AND(AB443&lt;&gt;"",SUMPRODUCT(--('LÉEME'!$B$65:$B$86=AC443))&lt;&gt;1),"Revisamos el significado de la unidad. ","")&amp;IF(Z443&gt;0,"Más precisión que los decimales indicados: cotejamos el original. ","")&amp;IF(AA443&gt;0,"Revisamos dimensiones, cantidad directa, ceros o deducción. ","")))</f>
      </c>
      <c r="O443" s="0" t="n">
        <f>IF(ISNUMBER(K443),IF(AND(K443&gt;0,K443=INT(K443),K443&lt;=999999),K443,0),0)</f>
        <v>0</v>
      </c>
      <c r="P443" s="0">
        <f>IF(COUNTA(B443:L443)=0,"",IF(L443="",IF(COUNTA(G443:J443)&gt;0,"DIMENSIONES","SIN LÍNEAS"),UPPER(TRIM(L443))))</f>
      </c>
      <c r="Q443" s="0">
        <f>IF(AND(O443&gt;0,LEN(TRIM(B443&amp;""))&gt;0,LEN(TRIM(C443&amp;""))&gt;0,LEN(TRIM(E443&amp;""))&gt;0,ISNUMBER(F443)),O443,"")</f>
      </c>
      <c r="R443" s="0" t="n">
        <f>IF(O443=0,0,IF(COUNTIFS($Q$13:$Q$512,O443)&gt;0,MATCH(O443,$Q$13:$Q$512,0),0))</f>
        <v>0</v>
      </c>
      <c r="S443" s="0">
        <f>IF(AB443="","",IF(SUMPRODUCT(--('LÉEME'!$B$65:$B$86=AC443))=1,INDEX('LÉEME'!$C$65:$C$86,MATCH(AC443,'LÉEME'!$B$65:$B$86,0)),UPPER(TRIM(AB443))))</f>
      </c>
      <c r="T443" s="0" t="n">
        <f>IF(R443=0,0,IF(OR(AND(LEN(TRIM(B443&amp;""))&gt;0,UPPER(TRIM(B443&amp;""))&lt;&gt;UPPER(TRIM(INDEX($B$13:$B$512,R443)&amp;""))),AND(LEN(TRIM(C443&amp;""))&gt;0,UPPER(TRIM(C443&amp;""))&lt;&gt;UPPER(TRIM(INDEX($C$13:$C$512,R443)&amp;""))),AND(LEN(TRIM(E443&amp;""))&gt;0,S443&lt;&gt;INDEX($S$13:$S$512,R443)),AND(F443&lt;&gt;"",NOT(ISNUMBER(F443)))),1,IF(ISNUMBER(F443),IF(ABS(F443-INDEX($F$13:$F$512,R443))&gt;0.00000001,1,0),0)))</f>
        <v>0</v>
      </c>
      <c r="U443" s="0" t="n">
        <f>IF(P443="DIRECTA",IF(AND(ISNUMBER(G443),COUNTA(H443:J443)=0),1,0),IF(P443="DIMENSIONES",IF(AND(COUNT(G443:J443)&gt;0,COUNTA(G443:J443)=COUNT(G443:J443)),1,0),0))</f>
        <v>0</v>
      </c>
      <c r="V443" s="0" t="n">
        <f>IF(O443=0,0,IF(COUNTIFS($O$13:O443,O443)=1,1,0))</f>
        <v>0</v>
      </c>
      <c r="W443" s="0">
        <f>IF(V443=1,COUNTIFS($V$13:V443,1),"")</f>
      </c>
      <c r="X443" s="0">
        <f>IF(COUNTA(B443:L443)=0,"",IF(OR(NOT(IF(ISNUMBER($E$6),AND($E$6&gt;=0,$E$6&lt;=6,$E$6=INT($E$6)),FALSE)),O443=0,R443=0,T443&gt;0,AND(P443&lt;&gt;"DIMENSIONES",P443&lt;&gt;"DIRECTA",P443&lt;&gt;"SIN LÍNEAS",P443&lt;&gt;"CABECERA"),AND(OR(P443="DIRECTA",P443="DIMENSIONES"),U443=0),AND(OR(P443="SIN LÍNEAS",P443="CABECERA"),COUNTA(G443:J443)&gt;0)),2,IF(OR(P443="SIN LÍNEAS",Y443&gt;0,Z443&gt;0,AA443&gt;0,SUMPRODUCT(--('LÉEME'!$B$65:$B$86=AC443))&lt;&gt;1),1,0)))</f>
      </c>
      <c r="Y443" s="0" t="n">
        <f>IF(AND(P443="DIMENSIONES",S443="m²",COUNT(H443:J443)=3),1,0)</f>
        <v>0</v>
      </c>
      <c r="Z443" s="0" t="n">
        <f>IF(IF(ISNUMBER($E$6),AND($E$6&gt;=0,$E$6&lt;=6,$E$6=INT($E$6)),FALSE),IF(SUM(IF(ISNUMBER(F443),IF(ABS(F443-ROUND(F443,$E$6))&gt;0.00000001,1,0),0),IF(ISNUMBER(G443),IF(ABS(G443-ROUND(G443,$E$6))&gt;0.00000001,1,0),0),IF(ISNUMBER(H443),IF(ABS(H443-ROUND(H443,$E$6))&gt;0.00000001,1,0),0),IF(ISNUMBER(I443),IF(ABS(I443-ROUND(I443,$E$6))&gt;0.00000001,1,0),0),IF(ISNUMBER(J443),IF(ABS(J443-ROUND(J443,$E$6))&gt;0.00000001,1,0),0),IF(ISNUMBER(M443),IF(ABS(M443-ROUND(M443,$E$6))&gt;0.00000001,1,0),0))&gt;0,1,0),0)</f>
        <v>0</v>
      </c>
      <c r="AA443" s="0" t="n">
        <f>IF(COUNTA(B443:L443)=0,0,IF(OR(AND(ISNUMBER(F443),F443&lt;0),AND(U443=1,OR(SUM(IF(ISNUMBER(G443),IF(G443=0,1,0),0),IF(ISNUMBER(H443),IF(H443=0,1,0),0),IF(ISNUMBER(I443),IF(I443=0,1,0),0),IF(ISNUMBER(J443),IF(J443=0,1,0),0))&gt;0,COUNTIFS(G443:J443,"&lt;0")&gt;0)),AND(P443="DIMENSIONES",U443=1,OR(AND(S443="m",COUNT(H443:J443)&lt;&gt;1),AND(S443="m²",COUNT(H443:J443)&lt;&gt;2,Y443=0),AND(S443="m³",COUNT(H443:J443)&lt;&gt;3),AND(S443="ud",COUNT(H443:J443)&gt;0))),AND(P443="DIRECTA",OR(S443="m",S443="m²",S443="m³"))),1,0))</f>
        <v>0</v>
      </c>
      <c r="AB443" s="0">
        <f>IF(LEN(TRIM(E443&amp;""))&gt;0,E443,IF(R443&gt;0,INDEX($E$13:$E$512,R443),""))</f>
      </c>
      <c r="AC443" s="0">
        <f>UPPER(SUBSTITUTE(SUBSTITUTE(SUBSTITUTE(SUBSTITUTE(SUBSTITUTE(TRIM(AB443),"²","2"),"³","3"),"^",""),".","")," ",""))</f>
      </c>
    </row>
    <row r="444" ht="35" customHeight="1">
      <c r="B444" s="35"/>
      <c r="C444" s="35"/>
      <c r="D444" s="37"/>
      <c r="E444" s="35"/>
      <c r="F444" s="38"/>
      <c r="G444" s="38"/>
      <c r="H444" s="38"/>
      <c r="I444" s="38"/>
      <c r="J444" s="38"/>
      <c r="K444" s="35"/>
      <c r="L444" s="35"/>
      <c r="M444" s="39">
        <f>IF(U444&lt;&gt;1,"",IF(P444="DIRECTA",G444,IF(ISNUMBER(G444),G444,1)*IF(ISNUMBER(H444),H444,1)*IF(ISNUMBER(I444),I444,1)*IF(ISNUMBER(J444),J444,1)))</f>
      </c>
      <c r="N444" s="30">
        <f>IF(COUNTA(B444:L444)=0,"",IF(X444=0,IF(P444="CABECERA","VERDE · Fila descriptiva; la suma usa las líneas del ID","VERDE · Datos numéricos interpretables"),IF(X444=2,"ROJO · ","ÁMBAR · ")&amp;IF(NOT(IF(ISNUMBER($E$6),AND($E$6&gt;=0,$E$6&lt;=6,$E$6=INT($E$6)),FALSE)),"Indicamos entre 0 y 6 decimales en E6. ","")&amp;IF(O444=0,"Falta un ID numérico. ","")&amp;IF(R444=0,"Faltan capítulo, código, unidad o total numérico del ID. ","")&amp;IF(T444&gt;0,"Los datos o el total del ID se contradicen. ","")&amp;IF(AND(P444&lt;&gt;"DIMENSIONES",P444&lt;&gt;"DIRECTA",P444&lt;&gt;"SIN LÍNEAS",P444&lt;&gt;"CABECERA"),"Tipo de fila no reconocido. ","")&amp;IF(AND(OR(P444="SIN LÍNEAS",P444="CABECERA"),COUNTA(G444:J444)&gt;0),"La fila dice que no mide, pero contiene medidas. ","")&amp;IF(AND(OR(P444="DIRECTA",P444="DIMENSIONES"),U444=0),"Línea incompleta o con medidas no numéricas. ","")&amp;IF(P444="SIN LÍNEAS","No constan medidas de esta fila. ","")&amp;IF(Y444&gt;0,"Parece m³: tres dimensiones bajo m². ","")&amp;IF(AND(AB444&lt;&gt;"",SUMPRODUCT(--('LÉEME'!$B$65:$B$86=AC444))&lt;&gt;1),"Revisamos el significado de la unidad. ","")&amp;IF(Z444&gt;0,"Más precisión que los decimales indicados: cotejamos el original. ","")&amp;IF(AA444&gt;0,"Revisamos dimensiones, cantidad directa, ceros o deducción. ","")))</f>
      </c>
      <c r="O444" s="0" t="n">
        <f>IF(ISNUMBER(K444),IF(AND(K444&gt;0,K444=INT(K444),K444&lt;=999999),K444,0),0)</f>
        <v>0</v>
      </c>
      <c r="P444" s="0">
        <f>IF(COUNTA(B444:L444)=0,"",IF(L444="",IF(COUNTA(G444:J444)&gt;0,"DIMENSIONES","SIN LÍNEAS"),UPPER(TRIM(L444))))</f>
      </c>
      <c r="Q444" s="0">
        <f>IF(AND(O444&gt;0,LEN(TRIM(B444&amp;""))&gt;0,LEN(TRIM(C444&amp;""))&gt;0,LEN(TRIM(E444&amp;""))&gt;0,ISNUMBER(F444)),O444,"")</f>
      </c>
      <c r="R444" s="0" t="n">
        <f>IF(O444=0,0,IF(COUNTIFS($Q$13:$Q$512,O444)&gt;0,MATCH(O444,$Q$13:$Q$512,0),0))</f>
        <v>0</v>
      </c>
      <c r="S444" s="0">
        <f>IF(AB444="","",IF(SUMPRODUCT(--('LÉEME'!$B$65:$B$86=AC444))=1,INDEX('LÉEME'!$C$65:$C$86,MATCH(AC444,'LÉEME'!$B$65:$B$86,0)),UPPER(TRIM(AB444))))</f>
      </c>
      <c r="T444" s="0" t="n">
        <f>IF(R444=0,0,IF(OR(AND(LEN(TRIM(B444&amp;""))&gt;0,UPPER(TRIM(B444&amp;""))&lt;&gt;UPPER(TRIM(INDEX($B$13:$B$512,R444)&amp;""))),AND(LEN(TRIM(C444&amp;""))&gt;0,UPPER(TRIM(C444&amp;""))&lt;&gt;UPPER(TRIM(INDEX($C$13:$C$512,R444)&amp;""))),AND(LEN(TRIM(E444&amp;""))&gt;0,S444&lt;&gt;INDEX($S$13:$S$512,R444)),AND(F444&lt;&gt;"",NOT(ISNUMBER(F444)))),1,IF(ISNUMBER(F444),IF(ABS(F444-INDEX($F$13:$F$512,R444))&gt;0.00000001,1,0),0)))</f>
        <v>0</v>
      </c>
      <c r="U444" s="0" t="n">
        <f>IF(P444="DIRECTA",IF(AND(ISNUMBER(G444),COUNTA(H444:J444)=0),1,0),IF(P444="DIMENSIONES",IF(AND(COUNT(G444:J444)&gt;0,COUNTA(G444:J444)=COUNT(G444:J444)),1,0),0))</f>
        <v>0</v>
      </c>
      <c r="V444" s="0" t="n">
        <f>IF(O444=0,0,IF(COUNTIFS($O$13:O444,O444)=1,1,0))</f>
        <v>0</v>
      </c>
      <c r="W444" s="0">
        <f>IF(V444=1,COUNTIFS($V$13:V444,1),"")</f>
      </c>
      <c r="X444" s="0">
        <f>IF(COUNTA(B444:L444)=0,"",IF(OR(NOT(IF(ISNUMBER($E$6),AND($E$6&gt;=0,$E$6&lt;=6,$E$6=INT($E$6)),FALSE)),O444=0,R444=0,T444&gt;0,AND(P444&lt;&gt;"DIMENSIONES",P444&lt;&gt;"DIRECTA",P444&lt;&gt;"SIN LÍNEAS",P444&lt;&gt;"CABECERA"),AND(OR(P444="DIRECTA",P444="DIMENSIONES"),U444=0),AND(OR(P444="SIN LÍNEAS",P444="CABECERA"),COUNTA(G444:J444)&gt;0)),2,IF(OR(P444="SIN LÍNEAS",Y444&gt;0,Z444&gt;0,AA444&gt;0,SUMPRODUCT(--('LÉEME'!$B$65:$B$86=AC444))&lt;&gt;1),1,0)))</f>
      </c>
      <c r="Y444" s="0" t="n">
        <f>IF(AND(P444="DIMENSIONES",S444="m²",COUNT(H444:J444)=3),1,0)</f>
        <v>0</v>
      </c>
      <c r="Z444" s="0" t="n">
        <f>IF(IF(ISNUMBER($E$6),AND($E$6&gt;=0,$E$6&lt;=6,$E$6=INT($E$6)),FALSE),IF(SUM(IF(ISNUMBER(F444),IF(ABS(F444-ROUND(F444,$E$6))&gt;0.00000001,1,0),0),IF(ISNUMBER(G444),IF(ABS(G444-ROUND(G444,$E$6))&gt;0.00000001,1,0),0),IF(ISNUMBER(H444),IF(ABS(H444-ROUND(H444,$E$6))&gt;0.00000001,1,0),0),IF(ISNUMBER(I444),IF(ABS(I444-ROUND(I444,$E$6))&gt;0.00000001,1,0),0),IF(ISNUMBER(J444),IF(ABS(J444-ROUND(J444,$E$6))&gt;0.00000001,1,0),0),IF(ISNUMBER(M444),IF(ABS(M444-ROUND(M444,$E$6))&gt;0.00000001,1,0),0))&gt;0,1,0),0)</f>
        <v>0</v>
      </c>
      <c r="AA444" s="0" t="n">
        <f>IF(COUNTA(B444:L444)=0,0,IF(OR(AND(ISNUMBER(F444),F444&lt;0),AND(U444=1,OR(SUM(IF(ISNUMBER(G444),IF(G444=0,1,0),0),IF(ISNUMBER(H444),IF(H444=0,1,0),0),IF(ISNUMBER(I444),IF(I444=0,1,0),0),IF(ISNUMBER(J444),IF(J444=0,1,0),0))&gt;0,COUNTIFS(G444:J444,"&lt;0")&gt;0)),AND(P444="DIMENSIONES",U444=1,OR(AND(S444="m",COUNT(H444:J444)&lt;&gt;1),AND(S444="m²",COUNT(H444:J444)&lt;&gt;2,Y444=0),AND(S444="m³",COUNT(H444:J444)&lt;&gt;3),AND(S444="ud",COUNT(H444:J444)&gt;0))),AND(P444="DIRECTA",OR(S444="m",S444="m²",S444="m³"))),1,0))</f>
        <v>0</v>
      </c>
      <c r="AB444" s="0">
        <f>IF(LEN(TRIM(E444&amp;""))&gt;0,E444,IF(R444&gt;0,INDEX($E$13:$E$512,R444),""))</f>
      </c>
      <c r="AC444" s="0">
        <f>UPPER(SUBSTITUTE(SUBSTITUTE(SUBSTITUTE(SUBSTITUTE(SUBSTITUTE(TRIM(AB444),"²","2"),"³","3"),"^",""),".","")," ",""))</f>
      </c>
    </row>
    <row r="445" ht="35" customHeight="1">
      <c r="B445" s="35"/>
      <c r="C445" s="35"/>
      <c r="D445" s="37"/>
      <c r="E445" s="35"/>
      <c r="F445" s="38"/>
      <c r="G445" s="38"/>
      <c r="H445" s="38"/>
      <c r="I445" s="38"/>
      <c r="J445" s="38"/>
      <c r="K445" s="35"/>
      <c r="L445" s="35"/>
      <c r="M445" s="39">
        <f>IF(U445&lt;&gt;1,"",IF(P445="DIRECTA",G445,IF(ISNUMBER(G445),G445,1)*IF(ISNUMBER(H445),H445,1)*IF(ISNUMBER(I445),I445,1)*IF(ISNUMBER(J445),J445,1)))</f>
      </c>
      <c r="N445" s="30">
        <f>IF(COUNTA(B445:L445)=0,"",IF(X445=0,IF(P445="CABECERA","VERDE · Fila descriptiva; la suma usa las líneas del ID","VERDE · Datos numéricos interpretables"),IF(X445=2,"ROJO · ","ÁMBAR · ")&amp;IF(NOT(IF(ISNUMBER($E$6),AND($E$6&gt;=0,$E$6&lt;=6,$E$6=INT($E$6)),FALSE)),"Indicamos entre 0 y 6 decimales en E6. ","")&amp;IF(O445=0,"Falta un ID numérico. ","")&amp;IF(R445=0,"Faltan capítulo, código, unidad o total numérico del ID. ","")&amp;IF(T445&gt;0,"Los datos o el total del ID se contradicen. ","")&amp;IF(AND(P445&lt;&gt;"DIMENSIONES",P445&lt;&gt;"DIRECTA",P445&lt;&gt;"SIN LÍNEAS",P445&lt;&gt;"CABECERA"),"Tipo de fila no reconocido. ","")&amp;IF(AND(OR(P445="SIN LÍNEAS",P445="CABECERA"),COUNTA(G445:J445)&gt;0),"La fila dice que no mide, pero contiene medidas. ","")&amp;IF(AND(OR(P445="DIRECTA",P445="DIMENSIONES"),U445=0),"Línea incompleta o con medidas no numéricas. ","")&amp;IF(P445="SIN LÍNEAS","No constan medidas de esta fila. ","")&amp;IF(Y445&gt;0,"Parece m³: tres dimensiones bajo m². ","")&amp;IF(AND(AB445&lt;&gt;"",SUMPRODUCT(--('LÉEME'!$B$65:$B$86=AC445))&lt;&gt;1),"Revisamos el significado de la unidad. ","")&amp;IF(Z445&gt;0,"Más precisión que los decimales indicados: cotejamos el original. ","")&amp;IF(AA445&gt;0,"Revisamos dimensiones, cantidad directa, ceros o deducción. ","")))</f>
      </c>
      <c r="O445" s="0" t="n">
        <f>IF(ISNUMBER(K445),IF(AND(K445&gt;0,K445=INT(K445),K445&lt;=999999),K445,0),0)</f>
        <v>0</v>
      </c>
      <c r="P445" s="0">
        <f>IF(COUNTA(B445:L445)=0,"",IF(L445="",IF(COUNTA(G445:J445)&gt;0,"DIMENSIONES","SIN LÍNEAS"),UPPER(TRIM(L445))))</f>
      </c>
      <c r="Q445" s="0">
        <f>IF(AND(O445&gt;0,LEN(TRIM(B445&amp;""))&gt;0,LEN(TRIM(C445&amp;""))&gt;0,LEN(TRIM(E445&amp;""))&gt;0,ISNUMBER(F445)),O445,"")</f>
      </c>
      <c r="R445" s="0" t="n">
        <f>IF(O445=0,0,IF(COUNTIFS($Q$13:$Q$512,O445)&gt;0,MATCH(O445,$Q$13:$Q$512,0),0))</f>
        <v>0</v>
      </c>
      <c r="S445" s="0">
        <f>IF(AB445="","",IF(SUMPRODUCT(--('LÉEME'!$B$65:$B$86=AC445))=1,INDEX('LÉEME'!$C$65:$C$86,MATCH(AC445,'LÉEME'!$B$65:$B$86,0)),UPPER(TRIM(AB445))))</f>
      </c>
      <c r="T445" s="0" t="n">
        <f>IF(R445=0,0,IF(OR(AND(LEN(TRIM(B445&amp;""))&gt;0,UPPER(TRIM(B445&amp;""))&lt;&gt;UPPER(TRIM(INDEX($B$13:$B$512,R445)&amp;""))),AND(LEN(TRIM(C445&amp;""))&gt;0,UPPER(TRIM(C445&amp;""))&lt;&gt;UPPER(TRIM(INDEX($C$13:$C$512,R445)&amp;""))),AND(LEN(TRIM(E445&amp;""))&gt;0,S445&lt;&gt;INDEX($S$13:$S$512,R445)),AND(F445&lt;&gt;"",NOT(ISNUMBER(F445)))),1,IF(ISNUMBER(F445),IF(ABS(F445-INDEX($F$13:$F$512,R445))&gt;0.00000001,1,0),0)))</f>
        <v>0</v>
      </c>
      <c r="U445" s="0" t="n">
        <f>IF(P445="DIRECTA",IF(AND(ISNUMBER(G445),COUNTA(H445:J445)=0),1,0),IF(P445="DIMENSIONES",IF(AND(COUNT(G445:J445)&gt;0,COUNTA(G445:J445)=COUNT(G445:J445)),1,0),0))</f>
        <v>0</v>
      </c>
      <c r="V445" s="0" t="n">
        <f>IF(O445=0,0,IF(COUNTIFS($O$13:O445,O445)=1,1,0))</f>
        <v>0</v>
      </c>
      <c r="W445" s="0">
        <f>IF(V445=1,COUNTIFS($V$13:V445,1),"")</f>
      </c>
      <c r="X445" s="0">
        <f>IF(COUNTA(B445:L445)=0,"",IF(OR(NOT(IF(ISNUMBER($E$6),AND($E$6&gt;=0,$E$6&lt;=6,$E$6=INT($E$6)),FALSE)),O445=0,R445=0,T445&gt;0,AND(P445&lt;&gt;"DIMENSIONES",P445&lt;&gt;"DIRECTA",P445&lt;&gt;"SIN LÍNEAS",P445&lt;&gt;"CABECERA"),AND(OR(P445="DIRECTA",P445="DIMENSIONES"),U445=0),AND(OR(P445="SIN LÍNEAS",P445="CABECERA"),COUNTA(G445:J445)&gt;0)),2,IF(OR(P445="SIN LÍNEAS",Y445&gt;0,Z445&gt;0,AA445&gt;0,SUMPRODUCT(--('LÉEME'!$B$65:$B$86=AC445))&lt;&gt;1),1,0)))</f>
      </c>
      <c r="Y445" s="0" t="n">
        <f>IF(AND(P445="DIMENSIONES",S445="m²",COUNT(H445:J445)=3),1,0)</f>
        <v>0</v>
      </c>
      <c r="Z445" s="0" t="n">
        <f>IF(IF(ISNUMBER($E$6),AND($E$6&gt;=0,$E$6&lt;=6,$E$6=INT($E$6)),FALSE),IF(SUM(IF(ISNUMBER(F445),IF(ABS(F445-ROUND(F445,$E$6))&gt;0.00000001,1,0),0),IF(ISNUMBER(G445),IF(ABS(G445-ROUND(G445,$E$6))&gt;0.00000001,1,0),0),IF(ISNUMBER(H445),IF(ABS(H445-ROUND(H445,$E$6))&gt;0.00000001,1,0),0),IF(ISNUMBER(I445),IF(ABS(I445-ROUND(I445,$E$6))&gt;0.00000001,1,0),0),IF(ISNUMBER(J445),IF(ABS(J445-ROUND(J445,$E$6))&gt;0.00000001,1,0),0),IF(ISNUMBER(M445),IF(ABS(M445-ROUND(M445,$E$6))&gt;0.00000001,1,0),0))&gt;0,1,0),0)</f>
        <v>0</v>
      </c>
      <c r="AA445" s="0" t="n">
        <f>IF(COUNTA(B445:L445)=0,0,IF(OR(AND(ISNUMBER(F445),F445&lt;0),AND(U445=1,OR(SUM(IF(ISNUMBER(G445),IF(G445=0,1,0),0),IF(ISNUMBER(H445),IF(H445=0,1,0),0),IF(ISNUMBER(I445),IF(I445=0,1,0),0),IF(ISNUMBER(J445),IF(J445=0,1,0),0))&gt;0,COUNTIFS(G445:J445,"&lt;0")&gt;0)),AND(P445="DIMENSIONES",U445=1,OR(AND(S445="m",COUNT(H445:J445)&lt;&gt;1),AND(S445="m²",COUNT(H445:J445)&lt;&gt;2,Y445=0),AND(S445="m³",COUNT(H445:J445)&lt;&gt;3),AND(S445="ud",COUNT(H445:J445)&gt;0))),AND(P445="DIRECTA",OR(S445="m",S445="m²",S445="m³"))),1,0))</f>
        <v>0</v>
      </c>
      <c r="AB445" s="0">
        <f>IF(LEN(TRIM(E445&amp;""))&gt;0,E445,IF(R445&gt;0,INDEX($E$13:$E$512,R445),""))</f>
      </c>
      <c r="AC445" s="0">
        <f>UPPER(SUBSTITUTE(SUBSTITUTE(SUBSTITUTE(SUBSTITUTE(SUBSTITUTE(TRIM(AB445),"²","2"),"³","3"),"^",""),".","")," ",""))</f>
      </c>
    </row>
    <row r="446" ht="35" customHeight="1">
      <c r="B446" s="35"/>
      <c r="C446" s="35"/>
      <c r="D446" s="37"/>
      <c r="E446" s="35"/>
      <c r="F446" s="38"/>
      <c r="G446" s="38"/>
      <c r="H446" s="38"/>
      <c r="I446" s="38"/>
      <c r="J446" s="38"/>
      <c r="K446" s="35"/>
      <c r="L446" s="35"/>
      <c r="M446" s="39">
        <f>IF(U446&lt;&gt;1,"",IF(P446="DIRECTA",G446,IF(ISNUMBER(G446),G446,1)*IF(ISNUMBER(H446),H446,1)*IF(ISNUMBER(I446),I446,1)*IF(ISNUMBER(J446),J446,1)))</f>
      </c>
      <c r="N446" s="30">
        <f>IF(COUNTA(B446:L446)=0,"",IF(X446=0,IF(P446="CABECERA","VERDE · Fila descriptiva; la suma usa las líneas del ID","VERDE · Datos numéricos interpretables"),IF(X446=2,"ROJO · ","ÁMBAR · ")&amp;IF(NOT(IF(ISNUMBER($E$6),AND($E$6&gt;=0,$E$6&lt;=6,$E$6=INT($E$6)),FALSE)),"Indicamos entre 0 y 6 decimales en E6. ","")&amp;IF(O446=0,"Falta un ID numérico. ","")&amp;IF(R446=0,"Faltan capítulo, código, unidad o total numérico del ID. ","")&amp;IF(T446&gt;0,"Los datos o el total del ID se contradicen. ","")&amp;IF(AND(P446&lt;&gt;"DIMENSIONES",P446&lt;&gt;"DIRECTA",P446&lt;&gt;"SIN LÍNEAS",P446&lt;&gt;"CABECERA"),"Tipo de fila no reconocido. ","")&amp;IF(AND(OR(P446="SIN LÍNEAS",P446="CABECERA"),COUNTA(G446:J446)&gt;0),"La fila dice que no mide, pero contiene medidas. ","")&amp;IF(AND(OR(P446="DIRECTA",P446="DIMENSIONES"),U446=0),"Línea incompleta o con medidas no numéricas. ","")&amp;IF(P446="SIN LÍNEAS","No constan medidas de esta fila. ","")&amp;IF(Y446&gt;0,"Parece m³: tres dimensiones bajo m². ","")&amp;IF(AND(AB446&lt;&gt;"",SUMPRODUCT(--('LÉEME'!$B$65:$B$86=AC446))&lt;&gt;1),"Revisamos el significado de la unidad. ","")&amp;IF(Z446&gt;0,"Más precisión que los decimales indicados: cotejamos el original. ","")&amp;IF(AA446&gt;0,"Revisamos dimensiones, cantidad directa, ceros o deducción. ","")))</f>
      </c>
      <c r="O446" s="0" t="n">
        <f>IF(ISNUMBER(K446),IF(AND(K446&gt;0,K446=INT(K446),K446&lt;=999999),K446,0),0)</f>
        <v>0</v>
      </c>
      <c r="P446" s="0">
        <f>IF(COUNTA(B446:L446)=0,"",IF(L446="",IF(COUNTA(G446:J446)&gt;0,"DIMENSIONES","SIN LÍNEAS"),UPPER(TRIM(L446))))</f>
      </c>
      <c r="Q446" s="0">
        <f>IF(AND(O446&gt;0,LEN(TRIM(B446&amp;""))&gt;0,LEN(TRIM(C446&amp;""))&gt;0,LEN(TRIM(E446&amp;""))&gt;0,ISNUMBER(F446)),O446,"")</f>
      </c>
      <c r="R446" s="0" t="n">
        <f>IF(O446=0,0,IF(COUNTIFS($Q$13:$Q$512,O446)&gt;0,MATCH(O446,$Q$13:$Q$512,0),0))</f>
        <v>0</v>
      </c>
      <c r="S446" s="0">
        <f>IF(AB446="","",IF(SUMPRODUCT(--('LÉEME'!$B$65:$B$86=AC446))=1,INDEX('LÉEME'!$C$65:$C$86,MATCH(AC446,'LÉEME'!$B$65:$B$86,0)),UPPER(TRIM(AB446))))</f>
      </c>
      <c r="T446" s="0" t="n">
        <f>IF(R446=0,0,IF(OR(AND(LEN(TRIM(B446&amp;""))&gt;0,UPPER(TRIM(B446&amp;""))&lt;&gt;UPPER(TRIM(INDEX($B$13:$B$512,R446)&amp;""))),AND(LEN(TRIM(C446&amp;""))&gt;0,UPPER(TRIM(C446&amp;""))&lt;&gt;UPPER(TRIM(INDEX($C$13:$C$512,R446)&amp;""))),AND(LEN(TRIM(E446&amp;""))&gt;0,S446&lt;&gt;INDEX($S$13:$S$512,R446)),AND(F446&lt;&gt;"",NOT(ISNUMBER(F446)))),1,IF(ISNUMBER(F446),IF(ABS(F446-INDEX($F$13:$F$512,R446))&gt;0.00000001,1,0),0)))</f>
        <v>0</v>
      </c>
      <c r="U446" s="0" t="n">
        <f>IF(P446="DIRECTA",IF(AND(ISNUMBER(G446),COUNTA(H446:J446)=0),1,0),IF(P446="DIMENSIONES",IF(AND(COUNT(G446:J446)&gt;0,COUNTA(G446:J446)=COUNT(G446:J446)),1,0),0))</f>
        <v>0</v>
      </c>
      <c r="V446" s="0" t="n">
        <f>IF(O446=0,0,IF(COUNTIFS($O$13:O446,O446)=1,1,0))</f>
        <v>0</v>
      </c>
      <c r="W446" s="0">
        <f>IF(V446=1,COUNTIFS($V$13:V446,1),"")</f>
      </c>
      <c r="X446" s="0">
        <f>IF(COUNTA(B446:L446)=0,"",IF(OR(NOT(IF(ISNUMBER($E$6),AND($E$6&gt;=0,$E$6&lt;=6,$E$6=INT($E$6)),FALSE)),O446=0,R446=0,T446&gt;0,AND(P446&lt;&gt;"DIMENSIONES",P446&lt;&gt;"DIRECTA",P446&lt;&gt;"SIN LÍNEAS",P446&lt;&gt;"CABECERA"),AND(OR(P446="DIRECTA",P446="DIMENSIONES"),U446=0),AND(OR(P446="SIN LÍNEAS",P446="CABECERA"),COUNTA(G446:J446)&gt;0)),2,IF(OR(P446="SIN LÍNEAS",Y446&gt;0,Z446&gt;0,AA446&gt;0,SUMPRODUCT(--('LÉEME'!$B$65:$B$86=AC446))&lt;&gt;1),1,0)))</f>
      </c>
      <c r="Y446" s="0" t="n">
        <f>IF(AND(P446="DIMENSIONES",S446="m²",COUNT(H446:J446)=3),1,0)</f>
        <v>0</v>
      </c>
      <c r="Z446" s="0" t="n">
        <f>IF(IF(ISNUMBER($E$6),AND($E$6&gt;=0,$E$6&lt;=6,$E$6=INT($E$6)),FALSE),IF(SUM(IF(ISNUMBER(F446),IF(ABS(F446-ROUND(F446,$E$6))&gt;0.00000001,1,0),0),IF(ISNUMBER(G446),IF(ABS(G446-ROUND(G446,$E$6))&gt;0.00000001,1,0),0),IF(ISNUMBER(H446),IF(ABS(H446-ROUND(H446,$E$6))&gt;0.00000001,1,0),0),IF(ISNUMBER(I446),IF(ABS(I446-ROUND(I446,$E$6))&gt;0.00000001,1,0),0),IF(ISNUMBER(J446),IF(ABS(J446-ROUND(J446,$E$6))&gt;0.00000001,1,0),0),IF(ISNUMBER(M446),IF(ABS(M446-ROUND(M446,$E$6))&gt;0.00000001,1,0),0))&gt;0,1,0),0)</f>
        <v>0</v>
      </c>
      <c r="AA446" s="0" t="n">
        <f>IF(COUNTA(B446:L446)=0,0,IF(OR(AND(ISNUMBER(F446),F446&lt;0),AND(U446=1,OR(SUM(IF(ISNUMBER(G446),IF(G446=0,1,0),0),IF(ISNUMBER(H446),IF(H446=0,1,0),0),IF(ISNUMBER(I446),IF(I446=0,1,0),0),IF(ISNUMBER(J446),IF(J446=0,1,0),0))&gt;0,COUNTIFS(G446:J446,"&lt;0")&gt;0)),AND(P446="DIMENSIONES",U446=1,OR(AND(S446="m",COUNT(H446:J446)&lt;&gt;1),AND(S446="m²",COUNT(H446:J446)&lt;&gt;2,Y446=0),AND(S446="m³",COUNT(H446:J446)&lt;&gt;3),AND(S446="ud",COUNT(H446:J446)&gt;0))),AND(P446="DIRECTA",OR(S446="m",S446="m²",S446="m³"))),1,0))</f>
        <v>0</v>
      </c>
      <c r="AB446" s="0">
        <f>IF(LEN(TRIM(E446&amp;""))&gt;0,E446,IF(R446&gt;0,INDEX($E$13:$E$512,R446),""))</f>
      </c>
      <c r="AC446" s="0">
        <f>UPPER(SUBSTITUTE(SUBSTITUTE(SUBSTITUTE(SUBSTITUTE(SUBSTITUTE(TRIM(AB446),"²","2"),"³","3"),"^",""),".","")," ",""))</f>
      </c>
    </row>
    <row r="447" ht="35" customHeight="1">
      <c r="B447" s="35"/>
      <c r="C447" s="35"/>
      <c r="D447" s="37"/>
      <c r="E447" s="35"/>
      <c r="F447" s="38"/>
      <c r="G447" s="38"/>
      <c r="H447" s="38"/>
      <c r="I447" s="38"/>
      <c r="J447" s="38"/>
      <c r="K447" s="35"/>
      <c r="L447" s="35"/>
      <c r="M447" s="39">
        <f>IF(U447&lt;&gt;1,"",IF(P447="DIRECTA",G447,IF(ISNUMBER(G447),G447,1)*IF(ISNUMBER(H447),H447,1)*IF(ISNUMBER(I447),I447,1)*IF(ISNUMBER(J447),J447,1)))</f>
      </c>
      <c r="N447" s="30">
        <f>IF(COUNTA(B447:L447)=0,"",IF(X447=0,IF(P447="CABECERA","VERDE · Fila descriptiva; la suma usa las líneas del ID","VERDE · Datos numéricos interpretables"),IF(X447=2,"ROJO · ","ÁMBAR · ")&amp;IF(NOT(IF(ISNUMBER($E$6),AND($E$6&gt;=0,$E$6&lt;=6,$E$6=INT($E$6)),FALSE)),"Indicamos entre 0 y 6 decimales en E6. ","")&amp;IF(O447=0,"Falta un ID numérico. ","")&amp;IF(R447=0,"Faltan capítulo, código, unidad o total numérico del ID. ","")&amp;IF(T447&gt;0,"Los datos o el total del ID se contradicen. ","")&amp;IF(AND(P447&lt;&gt;"DIMENSIONES",P447&lt;&gt;"DIRECTA",P447&lt;&gt;"SIN LÍNEAS",P447&lt;&gt;"CABECERA"),"Tipo de fila no reconocido. ","")&amp;IF(AND(OR(P447="SIN LÍNEAS",P447="CABECERA"),COUNTA(G447:J447)&gt;0),"La fila dice que no mide, pero contiene medidas. ","")&amp;IF(AND(OR(P447="DIRECTA",P447="DIMENSIONES"),U447=0),"Línea incompleta o con medidas no numéricas. ","")&amp;IF(P447="SIN LÍNEAS","No constan medidas de esta fila. ","")&amp;IF(Y447&gt;0,"Parece m³: tres dimensiones bajo m². ","")&amp;IF(AND(AB447&lt;&gt;"",SUMPRODUCT(--('LÉEME'!$B$65:$B$86=AC447))&lt;&gt;1),"Revisamos el significado de la unidad. ","")&amp;IF(Z447&gt;0,"Más precisión que los decimales indicados: cotejamos el original. ","")&amp;IF(AA447&gt;0,"Revisamos dimensiones, cantidad directa, ceros o deducción. ","")))</f>
      </c>
      <c r="O447" s="0" t="n">
        <f>IF(ISNUMBER(K447),IF(AND(K447&gt;0,K447=INT(K447),K447&lt;=999999),K447,0),0)</f>
        <v>0</v>
      </c>
      <c r="P447" s="0">
        <f>IF(COUNTA(B447:L447)=0,"",IF(L447="",IF(COUNTA(G447:J447)&gt;0,"DIMENSIONES","SIN LÍNEAS"),UPPER(TRIM(L447))))</f>
      </c>
      <c r="Q447" s="0">
        <f>IF(AND(O447&gt;0,LEN(TRIM(B447&amp;""))&gt;0,LEN(TRIM(C447&amp;""))&gt;0,LEN(TRIM(E447&amp;""))&gt;0,ISNUMBER(F447)),O447,"")</f>
      </c>
      <c r="R447" s="0" t="n">
        <f>IF(O447=0,0,IF(COUNTIFS($Q$13:$Q$512,O447)&gt;0,MATCH(O447,$Q$13:$Q$512,0),0))</f>
        <v>0</v>
      </c>
      <c r="S447" s="0">
        <f>IF(AB447="","",IF(SUMPRODUCT(--('LÉEME'!$B$65:$B$86=AC447))=1,INDEX('LÉEME'!$C$65:$C$86,MATCH(AC447,'LÉEME'!$B$65:$B$86,0)),UPPER(TRIM(AB447))))</f>
      </c>
      <c r="T447" s="0" t="n">
        <f>IF(R447=0,0,IF(OR(AND(LEN(TRIM(B447&amp;""))&gt;0,UPPER(TRIM(B447&amp;""))&lt;&gt;UPPER(TRIM(INDEX($B$13:$B$512,R447)&amp;""))),AND(LEN(TRIM(C447&amp;""))&gt;0,UPPER(TRIM(C447&amp;""))&lt;&gt;UPPER(TRIM(INDEX($C$13:$C$512,R447)&amp;""))),AND(LEN(TRIM(E447&amp;""))&gt;0,S447&lt;&gt;INDEX($S$13:$S$512,R447)),AND(F447&lt;&gt;"",NOT(ISNUMBER(F447)))),1,IF(ISNUMBER(F447),IF(ABS(F447-INDEX($F$13:$F$512,R447))&gt;0.00000001,1,0),0)))</f>
        <v>0</v>
      </c>
      <c r="U447" s="0" t="n">
        <f>IF(P447="DIRECTA",IF(AND(ISNUMBER(G447),COUNTA(H447:J447)=0),1,0),IF(P447="DIMENSIONES",IF(AND(COUNT(G447:J447)&gt;0,COUNTA(G447:J447)=COUNT(G447:J447)),1,0),0))</f>
        <v>0</v>
      </c>
      <c r="V447" s="0" t="n">
        <f>IF(O447=0,0,IF(COUNTIFS($O$13:O447,O447)=1,1,0))</f>
        <v>0</v>
      </c>
      <c r="W447" s="0">
        <f>IF(V447=1,COUNTIFS($V$13:V447,1),"")</f>
      </c>
      <c r="X447" s="0">
        <f>IF(COUNTA(B447:L447)=0,"",IF(OR(NOT(IF(ISNUMBER($E$6),AND($E$6&gt;=0,$E$6&lt;=6,$E$6=INT($E$6)),FALSE)),O447=0,R447=0,T447&gt;0,AND(P447&lt;&gt;"DIMENSIONES",P447&lt;&gt;"DIRECTA",P447&lt;&gt;"SIN LÍNEAS",P447&lt;&gt;"CABECERA"),AND(OR(P447="DIRECTA",P447="DIMENSIONES"),U447=0),AND(OR(P447="SIN LÍNEAS",P447="CABECERA"),COUNTA(G447:J447)&gt;0)),2,IF(OR(P447="SIN LÍNEAS",Y447&gt;0,Z447&gt;0,AA447&gt;0,SUMPRODUCT(--('LÉEME'!$B$65:$B$86=AC447))&lt;&gt;1),1,0)))</f>
      </c>
      <c r="Y447" s="0" t="n">
        <f>IF(AND(P447="DIMENSIONES",S447="m²",COUNT(H447:J447)=3),1,0)</f>
        <v>0</v>
      </c>
      <c r="Z447" s="0" t="n">
        <f>IF(IF(ISNUMBER($E$6),AND($E$6&gt;=0,$E$6&lt;=6,$E$6=INT($E$6)),FALSE),IF(SUM(IF(ISNUMBER(F447),IF(ABS(F447-ROUND(F447,$E$6))&gt;0.00000001,1,0),0),IF(ISNUMBER(G447),IF(ABS(G447-ROUND(G447,$E$6))&gt;0.00000001,1,0),0),IF(ISNUMBER(H447),IF(ABS(H447-ROUND(H447,$E$6))&gt;0.00000001,1,0),0),IF(ISNUMBER(I447),IF(ABS(I447-ROUND(I447,$E$6))&gt;0.00000001,1,0),0),IF(ISNUMBER(J447),IF(ABS(J447-ROUND(J447,$E$6))&gt;0.00000001,1,0),0),IF(ISNUMBER(M447),IF(ABS(M447-ROUND(M447,$E$6))&gt;0.00000001,1,0),0))&gt;0,1,0),0)</f>
        <v>0</v>
      </c>
      <c r="AA447" s="0" t="n">
        <f>IF(COUNTA(B447:L447)=0,0,IF(OR(AND(ISNUMBER(F447),F447&lt;0),AND(U447=1,OR(SUM(IF(ISNUMBER(G447),IF(G447=0,1,0),0),IF(ISNUMBER(H447),IF(H447=0,1,0),0),IF(ISNUMBER(I447),IF(I447=0,1,0),0),IF(ISNUMBER(J447),IF(J447=0,1,0),0))&gt;0,COUNTIFS(G447:J447,"&lt;0")&gt;0)),AND(P447="DIMENSIONES",U447=1,OR(AND(S447="m",COUNT(H447:J447)&lt;&gt;1),AND(S447="m²",COUNT(H447:J447)&lt;&gt;2,Y447=0),AND(S447="m³",COUNT(H447:J447)&lt;&gt;3),AND(S447="ud",COUNT(H447:J447)&gt;0))),AND(P447="DIRECTA",OR(S447="m",S447="m²",S447="m³"))),1,0))</f>
        <v>0</v>
      </c>
      <c r="AB447" s="0">
        <f>IF(LEN(TRIM(E447&amp;""))&gt;0,E447,IF(R447&gt;0,INDEX($E$13:$E$512,R447),""))</f>
      </c>
      <c r="AC447" s="0">
        <f>UPPER(SUBSTITUTE(SUBSTITUTE(SUBSTITUTE(SUBSTITUTE(SUBSTITUTE(TRIM(AB447),"²","2"),"³","3"),"^",""),".","")," ",""))</f>
      </c>
    </row>
    <row r="448" ht="35" customHeight="1">
      <c r="B448" s="35"/>
      <c r="C448" s="35"/>
      <c r="D448" s="37"/>
      <c r="E448" s="35"/>
      <c r="F448" s="38"/>
      <c r="G448" s="38"/>
      <c r="H448" s="38"/>
      <c r="I448" s="38"/>
      <c r="J448" s="38"/>
      <c r="K448" s="35"/>
      <c r="L448" s="35"/>
      <c r="M448" s="39">
        <f>IF(U448&lt;&gt;1,"",IF(P448="DIRECTA",G448,IF(ISNUMBER(G448),G448,1)*IF(ISNUMBER(H448),H448,1)*IF(ISNUMBER(I448),I448,1)*IF(ISNUMBER(J448),J448,1)))</f>
      </c>
      <c r="N448" s="30">
        <f>IF(COUNTA(B448:L448)=0,"",IF(X448=0,IF(P448="CABECERA","VERDE · Fila descriptiva; la suma usa las líneas del ID","VERDE · Datos numéricos interpretables"),IF(X448=2,"ROJO · ","ÁMBAR · ")&amp;IF(NOT(IF(ISNUMBER($E$6),AND($E$6&gt;=0,$E$6&lt;=6,$E$6=INT($E$6)),FALSE)),"Indicamos entre 0 y 6 decimales en E6. ","")&amp;IF(O448=0,"Falta un ID numérico. ","")&amp;IF(R448=0,"Faltan capítulo, código, unidad o total numérico del ID. ","")&amp;IF(T448&gt;0,"Los datos o el total del ID se contradicen. ","")&amp;IF(AND(P448&lt;&gt;"DIMENSIONES",P448&lt;&gt;"DIRECTA",P448&lt;&gt;"SIN LÍNEAS",P448&lt;&gt;"CABECERA"),"Tipo de fila no reconocido. ","")&amp;IF(AND(OR(P448="SIN LÍNEAS",P448="CABECERA"),COUNTA(G448:J448)&gt;0),"La fila dice que no mide, pero contiene medidas. ","")&amp;IF(AND(OR(P448="DIRECTA",P448="DIMENSIONES"),U448=0),"Línea incompleta o con medidas no numéricas. ","")&amp;IF(P448="SIN LÍNEAS","No constan medidas de esta fila. ","")&amp;IF(Y448&gt;0,"Parece m³: tres dimensiones bajo m². ","")&amp;IF(AND(AB448&lt;&gt;"",SUMPRODUCT(--('LÉEME'!$B$65:$B$86=AC448))&lt;&gt;1),"Revisamos el significado de la unidad. ","")&amp;IF(Z448&gt;0,"Más precisión que los decimales indicados: cotejamos el original. ","")&amp;IF(AA448&gt;0,"Revisamos dimensiones, cantidad directa, ceros o deducción. ","")))</f>
      </c>
      <c r="O448" s="0" t="n">
        <f>IF(ISNUMBER(K448),IF(AND(K448&gt;0,K448=INT(K448),K448&lt;=999999),K448,0),0)</f>
        <v>0</v>
      </c>
      <c r="P448" s="0">
        <f>IF(COUNTA(B448:L448)=0,"",IF(L448="",IF(COUNTA(G448:J448)&gt;0,"DIMENSIONES","SIN LÍNEAS"),UPPER(TRIM(L448))))</f>
      </c>
      <c r="Q448" s="0">
        <f>IF(AND(O448&gt;0,LEN(TRIM(B448&amp;""))&gt;0,LEN(TRIM(C448&amp;""))&gt;0,LEN(TRIM(E448&amp;""))&gt;0,ISNUMBER(F448)),O448,"")</f>
      </c>
      <c r="R448" s="0" t="n">
        <f>IF(O448=0,0,IF(COUNTIFS($Q$13:$Q$512,O448)&gt;0,MATCH(O448,$Q$13:$Q$512,0),0))</f>
        <v>0</v>
      </c>
      <c r="S448" s="0">
        <f>IF(AB448="","",IF(SUMPRODUCT(--('LÉEME'!$B$65:$B$86=AC448))=1,INDEX('LÉEME'!$C$65:$C$86,MATCH(AC448,'LÉEME'!$B$65:$B$86,0)),UPPER(TRIM(AB448))))</f>
      </c>
      <c r="T448" s="0" t="n">
        <f>IF(R448=0,0,IF(OR(AND(LEN(TRIM(B448&amp;""))&gt;0,UPPER(TRIM(B448&amp;""))&lt;&gt;UPPER(TRIM(INDEX($B$13:$B$512,R448)&amp;""))),AND(LEN(TRIM(C448&amp;""))&gt;0,UPPER(TRIM(C448&amp;""))&lt;&gt;UPPER(TRIM(INDEX($C$13:$C$512,R448)&amp;""))),AND(LEN(TRIM(E448&amp;""))&gt;0,S448&lt;&gt;INDEX($S$13:$S$512,R448)),AND(F448&lt;&gt;"",NOT(ISNUMBER(F448)))),1,IF(ISNUMBER(F448),IF(ABS(F448-INDEX($F$13:$F$512,R448))&gt;0.00000001,1,0),0)))</f>
        <v>0</v>
      </c>
      <c r="U448" s="0" t="n">
        <f>IF(P448="DIRECTA",IF(AND(ISNUMBER(G448),COUNTA(H448:J448)=0),1,0),IF(P448="DIMENSIONES",IF(AND(COUNT(G448:J448)&gt;0,COUNTA(G448:J448)=COUNT(G448:J448)),1,0),0))</f>
        <v>0</v>
      </c>
      <c r="V448" s="0" t="n">
        <f>IF(O448=0,0,IF(COUNTIFS($O$13:O448,O448)=1,1,0))</f>
        <v>0</v>
      </c>
      <c r="W448" s="0">
        <f>IF(V448=1,COUNTIFS($V$13:V448,1),"")</f>
      </c>
      <c r="X448" s="0">
        <f>IF(COUNTA(B448:L448)=0,"",IF(OR(NOT(IF(ISNUMBER($E$6),AND($E$6&gt;=0,$E$6&lt;=6,$E$6=INT($E$6)),FALSE)),O448=0,R448=0,T448&gt;0,AND(P448&lt;&gt;"DIMENSIONES",P448&lt;&gt;"DIRECTA",P448&lt;&gt;"SIN LÍNEAS",P448&lt;&gt;"CABECERA"),AND(OR(P448="DIRECTA",P448="DIMENSIONES"),U448=0),AND(OR(P448="SIN LÍNEAS",P448="CABECERA"),COUNTA(G448:J448)&gt;0)),2,IF(OR(P448="SIN LÍNEAS",Y448&gt;0,Z448&gt;0,AA448&gt;0,SUMPRODUCT(--('LÉEME'!$B$65:$B$86=AC448))&lt;&gt;1),1,0)))</f>
      </c>
      <c r="Y448" s="0" t="n">
        <f>IF(AND(P448="DIMENSIONES",S448="m²",COUNT(H448:J448)=3),1,0)</f>
        <v>0</v>
      </c>
      <c r="Z448" s="0" t="n">
        <f>IF(IF(ISNUMBER($E$6),AND($E$6&gt;=0,$E$6&lt;=6,$E$6=INT($E$6)),FALSE),IF(SUM(IF(ISNUMBER(F448),IF(ABS(F448-ROUND(F448,$E$6))&gt;0.00000001,1,0),0),IF(ISNUMBER(G448),IF(ABS(G448-ROUND(G448,$E$6))&gt;0.00000001,1,0),0),IF(ISNUMBER(H448),IF(ABS(H448-ROUND(H448,$E$6))&gt;0.00000001,1,0),0),IF(ISNUMBER(I448),IF(ABS(I448-ROUND(I448,$E$6))&gt;0.00000001,1,0),0),IF(ISNUMBER(J448),IF(ABS(J448-ROUND(J448,$E$6))&gt;0.00000001,1,0),0),IF(ISNUMBER(M448),IF(ABS(M448-ROUND(M448,$E$6))&gt;0.00000001,1,0),0))&gt;0,1,0),0)</f>
        <v>0</v>
      </c>
      <c r="AA448" s="0" t="n">
        <f>IF(COUNTA(B448:L448)=0,0,IF(OR(AND(ISNUMBER(F448),F448&lt;0),AND(U448=1,OR(SUM(IF(ISNUMBER(G448),IF(G448=0,1,0),0),IF(ISNUMBER(H448),IF(H448=0,1,0),0),IF(ISNUMBER(I448),IF(I448=0,1,0),0),IF(ISNUMBER(J448),IF(J448=0,1,0),0))&gt;0,COUNTIFS(G448:J448,"&lt;0")&gt;0)),AND(P448="DIMENSIONES",U448=1,OR(AND(S448="m",COUNT(H448:J448)&lt;&gt;1),AND(S448="m²",COUNT(H448:J448)&lt;&gt;2,Y448=0),AND(S448="m³",COUNT(H448:J448)&lt;&gt;3),AND(S448="ud",COUNT(H448:J448)&gt;0))),AND(P448="DIRECTA",OR(S448="m",S448="m²",S448="m³"))),1,0))</f>
        <v>0</v>
      </c>
      <c r="AB448" s="0">
        <f>IF(LEN(TRIM(E448&amp;""))&gt;0,E448,IF(R448&gt;0,INDEX($E$13:$E$512,R448),""))</f>
      </c>
      <c r="AC448" s="0">
        <f>UPPER(SUBSTITUTE(SUBSTITUTE(SUBSTITUTE(SUBSTITUTE(SUBSTITUTE(TRIM(AB448),"²","2"),"³","3"),"^",""),".","")," ",""))</f>
      </c>
    </row>
    <row r="449" ht="35" customHeight="1">
      <c r="B449" s="35"/>
      <c r="C449" s="35"/>
      <c r="D449" s="37"/>
      <c r="E449" s="35"/>
      <c r="F449" s="38"/>
      <c r="G449" s="38"/>
      <c r="H449" s="38"/>
      <c r="I449" s="38"/>
      <c r="J449" s="38"/>
      <c r="K449" s="35"/>
      <c r="L449" s="35"/>
      <c r="M449" s="39">
        <f>IF(U449&lt;&gt;1,"",IF(P449="DIRECTA",G449,IF(ISNUMBER(G449),G449,1)*IF(ISNUMBER(H449),H449,1)*IF(ISNUMBER(I449),I449,1)*IF(ISNUMBER(J449),J449,1)))</f>
      </c>
      <c r="N449" s="30">
        <f>IF(COUNTA(B449:L449)=0,"",IF(X449=0,IF(P449="CABECERA","VERDE · Fila descriptiva; la suma usa las líneas del ID","VERDE · Datos numéricos interpretables"),IF(X449=2,"ROJO · ","ÁMBAR · ")&amp;IF(NOT(IF(ISNUMBER($E$6),AND($E$6&gt;=0,$E$6&lt;=6,$E$6=INT($E$6)),FALSE)),"Indicamos entre 0 y 6 decimales en E6. ","")&amp;IF(O449=0,"Falta un ID numérico. ","")&amp;IF(R449=0,"Faltan capítulo, código, unidad o total numérico del ID. ","")&amp;IF(T449&gt;0,"Los datos o el total del ID se contradicen. ","")&amp;IF(AND(P449&lt;&gt;"DIMENSIONES",P449&lt;&gt;"DIRECTA",P449&lt;&gt;"SIN LÍNEAS",P449&lt;&gt;"CABECERA"),"Tipo de fila no reconocido. ","")&amp;IF(AND(OR(P449="SIN LÍNEAS",P449="CABECERA"),COUNTA(G449:J449)&gt;0),"La fila dice que no mide, pero contiene medidas. ","")&amp;IF(AND(OR(P449="DIRECTA",P449="DIMENSIONES"),U449=0),"Línea incompleta o con medidas no numéricas. ","")&amp;IF(P449="SIN LÍNEAS","No constan medidas de esta fila. ","")&amp;IF(Y449&gt;0,"Parece m³: tres dimensiones bajo m². ","")&amp;IF(AND(AB449&lt;&gt;"",SUMPRODUCT(--('LÉEME'!$B$65:$B$86=AC449))&lt;&gt;1),"Revisamos el significado de la unidad. ","")&amp;IF(Z449&gt;0,"Más precisión que los decimales indicados: cotejamos el original. ","")&amp;IF(AA449&gt;0,"Revisamos dimensiones, cantidad directa, ceros o deducción. ","")))</f>
      </c>
      <c r="O449" s="0" t="n">
        <f>IF(ISNUMBER(K449),IF(AND(K449&gt;0,K449=INT(K449),K449&lt;=999999),K449,0),0)</f>
        <v>0</v>
      </c>
      <c r="P449" s="0">
        <f>IF(COUNTA(B449:L449)=0,"",IF(L449="",IF(COUNTA(G449:J449)&gt;0,"DIMENSIONES","SIN LÍNEAS"),UPPER(TRIM(L449))))</f>
      </c>
      <c r="Q449" s="0">
        <f>IF(AND(O449&gt;0,LEN(TRIM(B449&amp;""))&gt;0,LEN(TRIM(C449&amp;""))&gt;0,LEN(TRIM(E449&amp;""))&gt;0,ISNUMBER(F449)),O449,"")</f>
      </c>
      <c r="R449" s="0" t="n">
        <f>IF(O449=0,0,IF(COUNTIFS($Q$13:$Q$512,O449)&gt;0,MATCH(O449,$Q$13:$Q$512,0),0))</f>
        <v>0</v>
      </c>
      <c r="S449" s="0">
        <f>IF(AB449="","",IF(SUMPRODUCT(--('LÉEME'!$B$65:$B$86=AC449))=1,INDEX('LÉEME'!$C$65:$C$86,MATCH(AC449,'LÉEME'!$B$65:$B$86,0)),UPPER(TRIM(AB449))))</f>
      </c>
      <c r="T449" s="0" t="n">
        <f>IF(R449=0,0,IF(OR(AND(LEN(TRIM(B449&amp;""))&gt;0,UPPER(TRIM(B449&amp;""))&lt;&gt;UPPER(TRIM(INDEX($B$13:$B$512,R449)&amp;""))),AND(LEN(TRIM(C449&amp;""))&gt;0,UPPER(TRIM(C449&amp;""))&lt;&gt;UPPER(TRIM(INDEX($C$13:$C$512,R449)&amp;""))),AND(LEN(TRIM(E449&amp;""))&gt;0,S449&lt;&gt;INDEX($S$13:$S$512,R449)),AND(F449&lt;&gt;"",NOT(ISNUMBER(F449)))),1,IF(ISNUMBER(F449),IF(ABS(F449-INDEX($F$13:$F$512,R449))&gt;0.00000001,1,0),0)))</f>
        <v>0</v>
      </c>
      <c r="U449" s="0" t="n">
        <f>IF(P449="DIRECTA",IF(AND(ISNUMBER(G449),COUNTA(H449:J449)=0),1,0),IF(P449="DIMENSIONES",IF(AND(COUNT(G449:J449)&gt;0,COUNTA(G449:J449)=COUNT(G449:J449)),1,0),0))</f>
        <v>0</v>
      </c>
      <c r="V449" s="0" t="n">
        <f>IF(O449=0,0,IF(COUNTIFS($O$13:O449,O449)=1,1,0))</f>
        <v>0</v>
      </c>
      <c r="W449" s="0">
        <f>IF(V449=1,COUNTIFS($V$13:V449,1),"")</f>
      </c>
      <c r="X449" s="0">
        <f>IF(COUNTA(B449:L449)=0,"",IF(OR(NOT(IF(ISNUMBER($E$6),AND($E$6&gt;=0,$E$6&lt;=6,$E$6=INT($E$6)),FALSE)),O449=0,R449=0,T449&gt;0,AND(P449&lt;&gt;"DIMENSIONES",P449&lt;&gt;"DIRECTA",P449&lt;&gt;"SIN LÍNEAS",P449&lt;&gt;"CABECERA"),AND(OR(P449="DIRECTA",P449="DIMENSIONES"),U449=0),AND(OR(P449="SIN LÍNEAS",P449="CABECERA"),COUNTA(G449:J449)&gt;0)),2,IF(OR(P449="SIN LÍNEAS",Y449&gt;0,Z449&gt;0,AA449&gt;0,SUMPRODUCT(--('LÉEME'!$B$65:$B$86=AC449))&lt;&gt;1),1,0)))</f>
      </c>
      <c r="Y449" s="0" t="n">
        <f>IF(AND(P449="DIMENSIONES",S449="m²",COUNT(H449:J449)=3),1,0)</f>
        <v>0</v>
      </c>
      <c r="Z449" s="0" t="n">
        <f>IF(IF(ISNUMBER($E$6),AND($E$6&gt;=0,$E$6&lt;=6,$E$6=INT($E$6)),FALSE),IF(SUM(IF(ISNUMBER(F449),IF(ABS(F449-ROUND(F449,$E$6))&gt;0.00000001,1,0),0),IF(ISNUMBER(G449),IF(ABS(G449-ROUND(G449,$E$6))&gt;0.00000001,1,0),0),IF(ISNUMBER(H449),IF(ABS(H449-ROUND(H449,$E$6))&gt;0.00000001,1,0),0),IF(ISNUMBER(I449),IF(ABS(I449-ROUND(I449,$E$6))&gt;0.00000001,1,0),0),IF(ISNUMBER(J449),IF(ABS(J449-ROUND(J449,$E$6))&gt;0.00000001,1,0),0),IF(ISNUMBER(M449),IF(ABS(M449-ROUND(M449,$E$6))&gt;0.00000001,1,0),0))&gt;0,1,0),0)</f>
        <v>0</v>
      </c>
      <c r="AA449" s="0" t="n">
        <f>IF(COUNTA(B449:L449)=0,0,IF(OR(AND(ISNUMBER(F449),F449&lt;0),AND(U449=1,OR(SUM(IF(ISNUMBER(G449),IF(G449=0,1,0),0),IF(ISNUMBER(H449),IF(H449=0,1,0),0),IF(ISNUMBER(I449),IF(I449=0,1,0),0),IF(ISNUMBER(J449),IF(J449=0,1,0),0))&gt;0,COUNTIFS(G449:J449,"&lt;0")&gt;0)),AND(P449="DIMENSIONES",U449=1,OR(AND(S449="m",COUNT(H449:J449)&lt;&gt;1),AND(S449="m²",COUNT(H449:J449)&lt;&gt;2,Y449=0),AND(S449="m³",COUNT(H449:J449)&lt;&gt;3),AND(S449="ud",COUNT(H449:J449)&gt;0))),AND(P449="DIRECTA",OR(S449="m",S449="m²",S449="m³"))),1,0))</f>
        <v>0</v>
      </c>
      <c r="AB449" s="0">
        <f>IF(LEN(TRIM(E449&amp;""))&gt;0,E449,IF(R449&gt;0,INDEX($E$13:$E$512,R449),""))</f>
      </c>
      <c r="AC449" s="0">
        <f>UPPER(SUBSTITUTE(SUBSTITUTE(SUBSTITUTE(SUBSTITUTE(SUBSTITUTE(TRIM(AB449),"²","2"),"³","3"),"^",""),".","")," ",""))</f>
      </c>
    </row>
    <row r="450" ht="35" customHeight="1">
      <c r="B450" s="35"/>
      <c r="C450" s="35"/>
      <c r="D450" s="37"/>
      <c r="E450" s="35"/>
      <c r="F450" s="38"/>
      <c r="G450" s="38"/>
      <c r="H450" s="38"/>
      <c r="I450" s="38"/>
      <c r="J450" s="38"/>
      <c r="K450" s="35"/>
      <c r="L450" s="35"/>
      <c r="M450" s="39">
        <f>IF(U450&lt;&gt;1,"",IF(P450="DIRECTA",G450,IF(ISNUMBER(G450),G450,1)*IF(ISNUMBER(H450),H450,1)*IF(ISNUMBER(I450),I450,1)*IF(ISNUMBER(J450),J450,1)))</f>
      </c>
      <c r="N450" s="30">
        <f>IF(COUNTA(B450:L450)=0,"",IF(X450=0,IF(P450="CABECERA","VERDE · Fila descriptiva; la suma usa las líneas del ID","VERDE · Datos numéricos interpretables"),IF(X450=2,"ROJO · ","ÁMBAR · ")&amp;IF(NOT(IF(ISNUMBER($E$6),AND($E$6&gt;=0,$E$6&lt;=6,$E$6=INT($E$6)),FALSE)),"Indicamos entre 0 y 6 decimales en E6. ","")&amp;IF(O450=0,"Falta un ID numérico. ","")&amp;IF(R450=0,"Faltan capítulo, código, unidad o total numérico del ID. ","")&amp;IF(T450&gt;0,"Los datos o el total del ID se contradicen. ","")&amp;IF(AND(P450&lt;&gt;"DIMENSIONES",P450&lt;&gt;"DIRECTA",P450&lt;&gt;"SIN LÍNEAS",P450&lt;&gt;"CABECERA"),"Tipo de fila no reconocido. ","")&amp;IF(AND(OR(P450="SIN LÍNEAS",P450="CABECERA"),COUNTA(G450:J450)&gt;0),"La fila dice que no mide, pero contiene medidas. ","")&amp;IF(AND(OR(P450="DIRECTA",P450="DIMENSIONES"),U450=0),"Línea incompleta o con medidas no numéricas. ","")&amp;IF(P450="SIN LÍNEAS","No constan medidas de esta fila. ","")&amp;IF(Y450&gt;0,"Parece m³: tres dimensiones bajo m². ","")&amp;IF(AND(AB450&lt;&gt;"",SUMPRODUCT(--('LÉEME'!$B$65:$B$86=AC450))&lt;&gt;1),"Revisamos el significado de la unidad. ","")&amp;IF(Z450&gt;0,"Más precisión que los decimales indicados: cotejamos el original. ","")&amp;IF(AA450&gt;0,"Revisamos dimensiones, cantidad directa, ceros o deducción. ","")))</f>
      </c>
      <c r="O450" s="0" t="n">
        <f>IF(ISNUMBER(K450),IF(AND(K450&gt;0,K450=INT(K450),K450&lt;=999999),K450,0),0)</f>
        <v>0</v>
      </c>
      <c r="P450" s="0">
        <f>IF(COUNTA(B450:L450)=0,"",IF(L450="",IF(COUNTA(G450:J450)&gt;0,"DIMENSIONES","SIN LÍNEAS"),UPPER(TRIM(L450))))</f>
      </c>
      <c r="Q450" s="0">
        <f>IF(AND(O450&gt;0,LEN(TRIM(B450&amp;""))&gt;0,LEN(TRIM(C450&amp;""))&gt;0,LEN(TRIM(E450&amp;""))&gt;0,ISNUMBER(F450)),O450,"")</f>
      </c>
      <c r="R450" s="0" t="n">
        <f>IF(O450=0,0,IF(COUNTIFS($Q$13:$Q$512,O450)&gt;0,MATCH(O450,$Q$13:$Q$512,0),0))</f>
        <v>0</v>
      </c>
      <c r="S450" s="0">
        <f>IF(AB450="","",IF(SUMPRODUCT(--('LÉEME'!$B$65:$B$86=AC450))=1,INDEX('LÉEME'!$C$65:$C$86,MATCH(AC450,'LÉEME'!$B$65:$B$86,0)),UPPER(TRIM(AB450))))</f>
      </c>
      <c r="T450" s="0" t="n">
        <f>IF(R450=0,0,IF(OR(AND(LEN(TRIM(B450&amp;""))&gt;0,UPPER(TRIM(B450&amp;""))&lt;&gt;UPPER(TRIM(INDEX($B$13:$B$512,R450)&amp;""))),AND(LEN(TRIM(C450&amp;""))&gt;0,UPPER(TRIM(C450&amp;""))&lt;&gt;UPPER(TRIM(INDEX($C$13:$C$512,R450)&amp;""))),AND(LEN(TRIM(E450&amp;""))&gt;0,S450&lt;&gt;INDEX($S$13:$S$512,R450)),AND(F450&lt;&gt;"",NOT(ISNUMBER(F450)))),1,IF(ISNUMBER(F450),IF(ABS(F450-INDEX($F$13:$F$512,R450))&gt;0.00000001,1,0),0)))</f>
        <v>0</v>
      </c>
      <c r="U450" s="0" t="n">
        <f>IF(P450="DIRECTA",IF(AND(ISNUMBER(G450),COUNTA(H450:J450)=0),1,0),IF(P450="DIMENSIONES",IF(AND(COUNT(G450:J450)&gt;0,COUNTA(G450:J450)=COUNT(G450:J450)),1,0),0))</f>
        <v>0</v>
      </c>
      <c r="V450" s="0" t="n">
        <f>IF(O450=0,0,IF(COUNTIFS($O$13:O450,O450)=1,1,0))</f>
        <v>0</v>
      </c>
      <c r="W450" s="0">
        <f>IF(V450=1,COUNTIFS($V$13:V450,1),"")</f>
      </c>
      <c r="X450" s="0">
        <f>IF(COUNTA(B450:L450)=0,"",IF(OR(NOT(IF(ISNUMBER($E$6),AND($E$6&gt;=0,$E$6&lt;=6,$E$6=INT($E$6)),FALSE)),O450=0,R450=0,T450&gt;0,AND(P450&lt;&gt;"DIMENSIONES",P450&lt;&gt;"DIRECTA",P450&lt;&gt;"SIN LÍNEAS",P450&lt;&gt;"CABECERA"),AND(OR(P450="DIRECTA",P450="DIMENSIONES"),U450=0),AND(OR(P450="SIN LÍNEAS",P450="CABECERA"),COUNTA(G450:J450)&gt;0)),2,IF(OR(P450="SIN LÍNEAS",Y450&gt;0,Z450&gt;0,AA450&gt;0,SUMPRODUCT(--('LÉEME'!$B$65:$B$86=AC450))&lt;&gt;1),1,0)))</f>
      </c>
      <c r="Y450" s="0" t="n">
        <f>IF(AND(P450="DIMENSIONES",S450="m²",COUNT(H450:J450)=3),1,0)</f>
        <v>0</v>
      </c>
      <c r="Z450" s="0" t="n">
        <f>IF(IF(ISNUMBER($E$6),AND($E$6&gt;=0,$E$6&lt;=6,$E$6=INT($E$6)),FALSE),IF(SUM(IF(ISNUMBER(F450),IF(ABS(F450-ROUND(F450,$E$6))&gt;0.00000001,1,0),0),IF(ISNUMBER(G450),IF(ABS(G450-ROUND(G450,$E$6))&gt;0.00000001,1,0),0),IF(ISNUMBER(H450),IF(ABS(H450-ROUND(H450,$E$6))&gt;0.00000001,1,0),0),IF(ISNUMBER(I450),IF(ABS(I450-ROUND(I450,$E$6))&gt;0.00000001,1,0),0),IF(ISNUMBER(J450),IF(ABS(J450-ROUND(J450,$E$6))&gt;0.00000001,1,0),0),IF(ISNUMBER(M450),IF(ABS(M450-ROUND(M450,$E$6))&gt;0.00000001,1,0),0))&gt;0,1,0),0)</f>
        <v>0</v>
      </c>
      <c r="AA450" s="0" t="n">
        <f>IF(COUNTA(B450:L450)=0,0,IF(OR(AND(ISNUMBER(F450),F450&lt;0),AND(U450=1,OR(SUM(IF(ISNUMBER(G450),IF(G450=0,1,0),0),IF(ISNUMBER(H450),IF(H450=0,1,0),0),IF(ISNUMBER(I450),IF(I450=0,1,0),0),IF(ISNUMBER(J450),IF(J450=0,1,0),0))&gt;0,COUNTIFS(G450:J450,"&lt;0")&gt;0)),AND(P450="DIMENSIONES",U450=1,OR(AND(S450="m",COUNT(H450:J450)&lt;&gt;1),AND(S450="m²",COUNT(H450:J450)&lt;&gt;2,Y450=0),AND(S450="m³",COUNT(H450:J450)&lt;&gt;3),AND(S450="ud",COUNT(H450:J450)&gt;0))),AND(P450="DIRECTA",OR(S450="m",S450="m²",S450="m³"))),1,0))</f>
        <v>0</v>
      </c>
      <c r="AB450" s="0">
        <f>IF(LEN(TRIM(E450&amp;""))&gt;0,E450,IF(R450&gt;0,INDEX($E$13:$E$512,R450),""))</f>
      </c>
      <c r="AC450" s="0">
        <f>UPPER(SUBSTITUTE(SUBSTITUTE(SUBSTITUTE(SUBSTITUTE(SUBSTITUTE(TRIM(AB450),"²","2"),"³","3"),"^",""),".","")," ",""))</f>
      </c>
    </row>
    <row r="451" ht="35" customHeight="1">
      <c r="B451" s="35"/>
      <c r="C451" s="35"/>
      <c r="D451" s="37"/>
      <c r="E451" s="35"/>
      <c r="F451" s="38"/>
      <c r="G451" s="38"/>
      <c r="H451" s="38"/>
      <c r="I451" s="38"/>
      <c r="J451" s="38"/>
      <c r="K451" s="35"/>
      <c r="L451" s="35"/>
      <c r="M451" s="39">
        <f>IF(U451&lt;&gt;1,"",IF(P451="DIRECTA",G451,IF(ISNUMBER(G451),G451,1)*IF(ISNUMBER(H451),H451,1)*IF(ISNUMBER(I451),I451,1)*IF(ISNUMBER(J451),J451,1)))</f>
      </c>
      <c r="N451" s="30">
        <f>IF(COUNTA(B451:L451)=0,"",IF(X451=0,IF(P451="CABECERA","VERDE · Fila descriptiva; la suma usa las líneas del ID","VERDE · Datos numéricos interpretables"),IF(X451=2,"ROJO · ","ÁMBAR · ")&amp;IF(NOT(IF(ISNUMBER($E$6),AND($E$6&gt;=0,$E$6&lt;=6,$E$6=INT($E$6)),FALSE)),"Indicamos entre 0 y 6 decimales en E6. ","")&amp;IF(O451=0,"Falta un ID numérico. ","")&amp;IF(R451=0,"Faltan capítulo, código, unidad o total numérico del ID. ","")&amp;IF(T451&gt;0,"Los datos o el total del ID se contradicen. ","")&amp;IF(AND(P451&lt;&gt;"DIMENSIONES",P451&lt;&gt;"DIRECTA",P451&lt;&gt;"SIN LÍNEAS",P451&lt;&gt;"CABECERA"),"Tipo de fila no reconocido. ","")&amp;IF(AND(OR(P451="SIN LÍNEAS",P451="CABECERA"),COUNTA(G451:J451)&gt;0),"La fila dice que no mide, pero contiene medidas. ","")&amp;IF(AND(OR(P451="DIRECTA",P451="DIMENSIONES"),U451=0),"Línea incompleta o con medidas no numéricas. ","")&amp;IF(P451="SIN LÍNEAS","No constan medidas de esta fila. ","")&amp;IF(Y451&gt;0,"Parece m³: tres dimensiones bajo m². ","")&amp;IF(AND(AB451&lt;&gt;"",SUMPRODUCT(--('LÉEME'!$B$65:$B$86=AC451))&lt;&gt;1),"Revisamos el significado de la unidad. ","")&amp;IF(Z451&gt;0,"Más precisión que los decimales indicados: cotejamos el original. ","")&amp;IF(AA451&gt;0,"Revisamos dimensiones, cantidad directa, ceros o deducción. ","")))</f>
      </c>
      <c r="O451" s="0" t="n">
        <f>IF(ISNUMBER(K451),IF(AND(K451&gt;0,K451=INT(K451),K451&lt;=999999),K451,0),0)</f>
        <v>0</v>
      </c>
      <c r="P451" s="0">
        <f>IF(COUNTA(B451:L451)=0,"",IF(L451="",IF(COUNTA(G451:J451)&gt;0,"DIMENSIONES","SIN LÍNEAS"),UPPER(TRIM(L451))))</f>
      </c>
      <c r="Q451" s="0">
        <f>IF(AND(O451&gt;0,LEN(TRIM(B451&amp;""))&gt;0,LEN(TRIM(C451&amp;""))&gt;0,LEN(TRIM(E451&amp;""))&gt;0,ISNUMBER(F451)),O451,"")</f>
      </c>
      <c r="R451" s="0" t="n">
        <f>IF(O451=0,0,IF(COUNTIFS($Q$13:$Q$512,O451)&gt;0,MATCH(O451,$Q$13:$Q$512,0),0))</f>
        <v>0</v>
      </c>
      <c r="S451" s="0">
        <f>IF(AB451="","",IF(SUMPRODUCT(--('LÉEME'!$B$65:$B$86=AC451))=1,INDEX('LÉEME'!$C$65:$C$86,MATCH(AC451,'LÉEME'!$B$65:$B$86,0)),UPPER(TRIM(AB451))))</f>
      </c>
      <c r="T451" s="0" t="n">
        <f>IF(R451=0,0,IF(OR(AND(LEN(TRIM(B451&amp;""))&gt;0,UPPER(TRIM(B451&amp;""))&lt;&gt;UPPER(TRIM(INDEX($B$13:$B$512,R451)&amp;""))),AND(LEN(TRIM(C451&amp;""))&gt;0,UPPER(TRIM(C451&amp;""))&lt;&gt;UPPER(TRIM(INDEX($C$13:$C$512,R451)&amp;""))),AND(LEN(TRIM(E451&amp;""))&gt;0,S451&lt;&gt;INDEX($S$13:$S$512,R451)),AND(F451&lt;&gt;"",NOT(ISNUMBER(F451)))),1,IF(ISNUMBER(F451),IF(ABS(F451-INDEX($F$13:$F$512,R451))&gt;0.00000001,1,0),0)))</f>
        <v>0</v>
      </c>
      <c r="U451" s="0" t="n">
        <f>IF(P451="DIRECTA",IF(AND(ISNUMBER(G451),COUNTA(H451:J451)=0),1,0),IF(P451="DIMENSIONES",IF(AND(COUNT(G451:J451)&gt;0,COUNTA(G451:J451)=COUNT(G451:J451)),1,0),0))</f>
        <v>0</v>
      </c>
      <c r="V451" s="0" t="n">
        <f>IF(O451=0,0,IF(COUNTIFS($O$13:O451,O451)=1,1,0))</f>
        <v>0</v>
      </c>
      <c r="W451" s="0">
        <f>IF(V451=1,COUNTIFS($V$13:V451,1),"")</f>
      </c>
      <c r="X451" s="0">
        <f>IF(COUNTA(B451:L451)=0,"",IF(OR(NOT(IF(ISNUMBER($E$6),AND($E$6&gt;=0,$E$6&lt;=6,$E$6=INT($E$6)),FALSE)),O451=0,R451=0,T451&gt;0,AND(P451&lt;&gt;"DIMENSIONES",P451&lt;&gt;"DIRECTA",P451&lt;&gt;"SIN LÍNEAS",P451&lt;&gt;"CABECERA"),AND(OR(P451="DIRECTA",P451="DIMENSIONES"),U451=0),AND(OR(P451="SIN LÍNEAS",P451="CABECERA"),COUNTA(G451:J451)&gt;0)),2,IF(OR(P451="SIN LÍNEAS",Y451&gt;0,Z451&gt;0,AA451&gt;0,SUMPRODUCT(--('LÉEME'!$B$65:$B$86=AC451))&lt;&gt;1),1,0)))</f>
      </c>
      <c r="Y451" s="0" t="n">
        <f>IF(AND(P451="DIMENSIONES",S451="m²",COUNT(H451:J451)=3),1,0)</f>
        <v>0</v>
      </c>
      <c r="Z451" s="0" t="n">
        <f>IF(IF(ISNUMBER($E$6),AND($E$6&gt;=0,$E$6&lt;=6,$E$6=INT($E$6)),FALSE),IF(SUM(IF(ISNUMBER(F451),IF(ABS(F451-ROUND(F451,$E$6))&gt;0.00000001,1,0),0),IF(ISNUMBER(G451),IF(ABS(G451-ROUND(G451,$E$6))&gt;0.00000001,1,0),0),IF(ISNUMBER(H451),IF(ABS(H451-ROUND(H451,$E$6))&gt;0.00000001,1,0),0),IF(ISNUMBER(I451),IF(ABS(I451-ROUND(I451,$E$6))&gt;0.00000001,1,0),0),IF(ISNUMBER(J451),IF(ABS(J451-ROUND(J451,$E$6))&gt;0.00000001,1,0),0),IF(ISNUMBER(M451),IF(ABS(M451-ROUND(M451,$E$6))&gt;0.00000001,1,0),0))&gt;0,1,0),0)</f>
        <v>0</v>
      </c>
      <c r="AA451" s="0" t="n">
        <f>IF(COUNTA(B451:L451)=0,0,IF(OR(AND(ISNUMBER(F451),F451&lt;0),AND(U451=1,OR(SUM(IF(ISNUMBER(G451),IF(G451=0,1,0),0),IF(ISNUMBER(H451),IF(H451=0,1,0),0),IF(ISNUMBER(I451),IF(I451=0,1,0),0),IF(ISNUMBER(J451),IF(J451=0,1,0),0))&gt;0,COUNTIFS(G451:J451,"&lt;0")&gt;0)),AND(P451="DIMENSIONES",U451=1,OR(AND(S451="m",COUNT(H451:J451)&lt;&gt;1),AND(S451="m²",COUNT(H451:J451)&lt;&gt;2,Y451=0),AND(S451="m³",COUNT(H451:J451)&lt;&gt;3),AND(S451="ud",COUNT(H451:J451)&gt;0))),AND(P451="DIRECTA",OR(S451="m",S451="m²",S451="m³"))),1,0))</f>
        <v>0</v>
      </c>
      <c r="AB451" s="0">
        <f>IF(LEN(TRIM(E451&amp;""))&gt;0,E451,IF(R451&gt;0,INDEX($E$13:$E$512,R451),""))</f>
      </c>
      <c r="AC451" s="0">
        <f>UPPER(SUBSTITUTE(SUBSTITUTE(SUBSTITUTE(SUBSTITUTE(SUBSTITUTE(TRIM(AB451),"²","2"),"³","3"),"^",""),".","")," ",""))</f>
      </c>
    </row>
    <row r="452" ht="35" customHeight="1">
      <c r="B452" s="35"/>
      <c r="C452" s="35"/>
      <c r="D452" s="37"/>
      <c r="E452" s="35"/>
      <c r="F452" s="38"/>
      <c r="G452" s="38"/>
      <c r="H452" s="38"/>
      <c r="I452" s="38"/>
      <c r="J452" s="38"/>
      <c r="K452" s="35"/>
      <c r="L452" s="35"/>
      <c r="M452" s="39">
        <f>IF(U452&lt;&gt;1,"",IF(P452="DIRECTA",G452,IF(ISNUMBER(G452),G452,1)*IF(ISNUMBER(H452),H452,1)*IF(ISNUMBER(I452),I452,1)*IF(ISNUMBER(J452),J452,1)))</f>
      </c>
      <c r="N452" s="30">
        <f>IF(COUNTA(B452:L452)=0,"",IF(X452=0,IF(P452="CABECERA","VERDE · Fila descriptiva; la suma usa las líneas del ID","VERDE · Datos numéricos interpretables"),IF(X452=2,"ROJO · ","ÁMBAR · ")&amp;IF(NOT(IF(ISNUMBER($E$6),AND($E$6&gt;=0,$E$6&lt;=6,$E$6=INT($E$6)),FALSE)),"Indicamos entre 0 y 6 decimales en E6. ","")&amp;IF(O452=0,"Falta un ID numérico. ","")&amp;IF(R452=0,"Faltan capítulo, código, unidad o total numérico del ID. ","")&amp;IF(T452&gt;0,"Los datos o el total del ID se contradicen. ","")&amp;IF(AND(P452&lt;&gt;"DIMENSIONES",P452&lt;&gt;"DIRECTA",P452&lt;&gt;"SIN LÍNEAS",P452&lt;&gt;"CABECERA"),"Tipo de fila no reconocido. ","")&amp;IF(AND(OR(P452="SIN LÍNEAS",P452="CABECERA"),COUNTA(G452:J452)&gt;0),"La fila dice que no mide, pero contiene medidas. ","")&amp;IF(AND(OR(P452="DIRECTA",P452="DIMENSIONES"),U452=0),"Línea incompleta o con medidas no numéricas. ","")&amp;IF(P452="SIN LÍNEAS","No constan medidas de esta fila. ","")&amp;IF(Y452&gt;0,"Parece m³: tres dimensiones bajo m². ","")&amp;IF(AND(AB452&lt;&gt;"",SUMPRODUCT(--('LÉEME'!$B$65:$B$86=AC452))&lt;&gt;1),"Revisamos el significado de la unidad. ","")&amp;IF(Z452&gt;0,"Más precisión que los decimales indicados: cotejamos el original. ","")&amp;IF(AA452&gt;0,"Revisamos dimensiones, cantidad directa, ceros o deducción. ","")))</f>
      </c>
      <c r="O452" s="0" t="n">
        <f>IF(ISNUMBER(K452),IF(AND(K452&gt;0,K452=INT(K452),K452&lt;=999999),K452,0),0)</f>
        <v>0</v>
      </c>
      <c r="P452" s="0">
        <f>IF(COUNTA(B452:L452)=0,"",IF(L452="",IF(COUNTA(G452:J452)&gt;0,"DIMENSIONES","SIN LÍNEAS"),UPPER(TRIM(L452))))</f>
      </c>
      <c r="Q452" s="0">
        <f>IF(AND(O452&gt;0,LEN(TRIM(B452&amp;""))&gt;0,LEN(TRIM(C452&amp;""))&gt;0,LEN(TRIM(E452&amp;""))&gt;0,ISNUMBER(F452)),O452,"")</f>
      </c>
      <c r="R452" s="0" t="n">
        <f>IF(O452=0,0,IF(COUNTIFS($Q$13:$Q$512,O452)&gt;0,MATCH(O452,$Q$13:$Q$512,0),0))</f>
        <v>0</v>
      </c>
      <c r="S452" s="0">
        <f>IF(AB452="","",IF(SUMPRODUCT(--('LÉEME'!$B$65:$B$86=AC452))=1,INDEX('LÉEME'!$C$65:$C$86,MATCH(AC452,'LÉEME'!$B$65:$B$86,0)),UPPER(TRIM(AB452))))</f>
      </c>
      <c r="T452" s="0" t="n">
        <f>IF(R452=0,0,IF(OR(AND(LEN(TRIM(B452&amp;""))&gt;0,UPPER(TRIM(B452&amp;""))&lt;&gt;UPPER(TRIM(INDEX($B$13:$B$512,R452)&amp;""))),AND(LEN(TRIM(C452&amp;""))&gt;0,UPPER(TRIM(C452&amp;""))&lt;&gt;UPPER(TRIM(INDEX($C$13:$C$512,R452)&amp;""))),AND(LEN(TRIM(E452&amp;""))&gt;0,S452&lt;&gt;INDEX($S$13:$S$512,R452)),AND(F452&lt;&gt;"",NOT(ISNUMBER(F452)))),1,IF(ISNUMBER(F452),IF(ABS(F452-INDEX($F$13:$F$512,R452))&gt;0.00000001,1,0),0)))</f>
        <v>0</v>
      </c>
      <c r="U452" s="0" t="n">
        <f>IF(P452="DIRECTA",IF(AND(ISNUMBER(G452),COUNTA(H452:J452)=0),1,0),IF(P452="DIMENSIONES",IF(AND(COUNT(G452:J452)&gt;0,COUNTA(G452:J452)=COUNT(G452:J452)),1,0),0))</f>
        <v>0</v>
      </c>
      <c r="V452" s="0" t="n">
        <f>IF(O452=0,0,IF(COUNTIFS($O$13:O452,O452)=1,1,0))</f>
        <v>0</v>
      </c>
      <c r="W452" s="0">
        <f>IF(V452=1,COUNTIFS($V$13:V452,1),"")</f>
      </c>
      <c r="X452" s="0">
        <f>IF(COUNTA(B452:L452)=0,"",IF(OR(NOT(IF(ISNUMBER($E$6),AND($E$6&gt;=0,$E$6&lt;=6,$E$6=INT($E$6)),FALSE)),O452=0,R452=0,T452&gt;0,AND(P452&lt;&gt;"DIMENSIONES",P452&lt;&gt;"DIRECTA",P452&lt;&gt;"SIN LÍNEAS",P452&lt;&gt;"CABECERA"),AND(OR(P452="DIRECTA",P452="DIMENSIONES"),U452=0),AND(OR(P452="SIN LÍNEAS",P452="CABECERA"),COUNTA(G452:J452)&gt;0)),2,IF(OR(P452="SIN LÍNEAS",Y452&gt;0,Z452&gt;0,AA452&gt;0,SUMPRODUCT(--('LÉEME'!$B$65:$B$86=AC452))&lt;&gt;1),1,0)))</f>
      </c>
      <c r="Y452" s="0" t="n">
        <f>IF(AND(P452="DIMENSIONES",S452="m²",COUNT(H452:J452)=3),1,0)</f>
        <v>0</v>
      </c>
      <c r="Z452" s="0" t="n">
        <f>IF(IF(ISNUMBER($E$6),AND($E$6&gt;=0,$E$6&lt;=6,$E$6=INT($E$6)),FALSE),IF(SUM(IF(ISNUMBER(F452),IF(ABS(F452-ROUND(F452,$E$6))&gt;0.00000001,1,0),0),IF(ISNUMBER(G452),IF(ABS(G452-ROUND(G452,$E$6))&gt;0.00000001,1,0),0),IF(ISNUMBER(H452),IF(ABS(H452-ROUND(H452,$E$6))&gt;0.00000001,1,0),0),IF(ISNUMBER(I452),IF(ABS(I452-ROUND(I452,$E$6))&gt;0.00000001,1,0),0),IF(ISNUMBER(J452),IF(ABS(J452-ROUND(J452,$E$6))&gt;0.00000001,1,0),0),IF(ISNUMBER(M452),IF(ABS(M452-ROUND(M452,$E$6))&gt;0.00000001,1,0),0))&gt;0,1,0),0)</f>
        <v>0</v>
      </c>
      <c r="AA452" s="0" t="n">
        <f>IF(COUNTA(B452:L452)=0,0,IF(OR(AND(ISNUMBER(F452),F452&lt;0),AND(U452=1,OR(SUM(IF(ISNUMBER(G452),IF(G452=0,1,0),0),IF(ISNUMBER(H452),IF(H452=0,1,0),0),IF(ISNUMBER(I452),IF(I452=0,1,0),0),IF(ISNUMBER(J452),IF(J452=0,1,0),0))&gt;0,COUNTIFS(G452:J452,"&lt;0")&gt;0)),AND(P452="DIMENSIONES",U452=1,OR(AND(S452="m",COUNT(H452:J452)&lt;&gt;1),AND(S452="m²",COUNT(H452:J452)&lt;&gt;2,Y452=0),AND(S452="m³",COUNT(H452:J452)&lt;&gt;3),AND(S452="ud",COUNT(H452:J452)&gt;0))),AND(P452="DIRECTA",OR(S452="m",S452="m²",S452="m³"))),1,0))</f>
        <v>0</v>
      </c>
      <c r="AB452" s="0">
        <f>IF(LEN(TRIM(E452&amp;""))&gt;0,E452,IF(R452&gt;0,INDEX($E$13:$E$512,R452),""))</f>
      </c>
      <c r="AC452" s="0">
        <f>UPPER(SUBSTITUTE(SUBSTITUTE(SUBSTITUTE(SUBSTITUTE(SUBSTITUTE(TRIM(AB452),"²","2"),"³","3"),"^",""),".","")," ",""))</f>
      </c>
    </row>
    <row r="453" ht="35" customHeight="1">
      <c r="B453" s="35"/>
      <c r="C453" s="35"/>
      <c r="D453" s="37"/>
      <c r="E453" s="35"/>
      <c r="F453" s="38"/>
      <c r="G453" s="38"/>
      <c r="H453" s="38"/>
      <c r="I453" s="38"/>
      <c r="J453" s="38"/>
      <c r="K453" s="35"/>
      <c r="L453" s="35"/>
      <c r="M453" s="39">
        <f>IF(U453&lt;&gt;1,"",IF(P453="DIRECTA",G453,IF(ISNUMBER(G453),G453,1)*IF(ISNUMBER(H453),H453,1)*IF(ISNUMBER(I453),I453,1)*IF(ISNUMBER(J453),J453,1)))</f>
      </c>
      <c r="N453" s="30">
        <f>IF(COUNTA(B453:L453)=0,"",IF(X453=0,IF(P453="CABECERA","VERDE · Fila descriptiva; la suma usa las líneas del ID","VERDE · Datos numéricos interpretables"),IF(X453=2,"ROJO · ","ÁMBAR · ")&amp;IF(NOT(IF(ISNUMBER($E$6),AND($E$6&gt;=0,$E$6&lt;=6,$E$6=INT($E$6)),FALSE)),"Indicamos entre 0 y 6 decimales en E6. ","")&amp;IF(O453=0,"Falta un ID numérico. ","")&amp;IF(R453=0,"Faltan capítulo, código, unidad o total numérico del ID. ","")&amp;IF(T453&gt;0,"Los datos o el total del ID se contradicen. ","")&amp;IF(AND(P453&lt;&gt;"DIMENSIONES",P453&lt;&gt;"DIRECTA",P453&lt;&gt;"SIN LÍNEAS",P453&lt;&gt;"CABECERA"),"Tipo de fila no reconocido. ","")&amp;IF(AND(OR(P453="SIN LÍNEAS",P453="CABECERA"),COUNTA(G453:J453)&gt;0),"La fila dice que no mide, pero contiene medidas. ","")&amp;IF(AND(OR(P453="DIRECTA",P453="DIMENSIONES"),U453=0),"Línea incompleta o con medidas no numéricas. ","")&amp;IF(P453="SIN LÍNEAS","No constan medidas de esta fila. ","")&amp;IF(Y453&gt;0,"Parece m³: tres dimensiones bajo m². ","")&amp;IF(AND(AB453&lt;&gt;"",SUMPRODUCT(--('LÉEME'!$B$65:$B$86=AC453))&lt;&gt;1),"Revisamos el significado de la unidad. ","")&amp;IF(Z453&gt;0,"Más precisión que los decimales indicados: cotejamos el original. ","")&amp;IF(AA453&gt;0,"Revisamos dimensiones, cantidad directa, ceros o deducción. ","")))</f>
      </c>
      <c r="O453" s="0" t="n">
        <f>IF(ISNUMBER(K453),IF(AND(K453&gt;0,K453=INT(K453),K453&lt;=999999),K453,0),0)</f>
        <v>0</v>
      </c>
      <c r="P453" s="0">
        <f>IF(COUNTA(B453:L453)=0,"",IF(L453="",IF(COUNTA(G453:J453)&gt;0,"DIMENSIONES","SIN LÍNEAS"),UPPER(TRIM(L453))))</f>
      </c>
      <c r="Q453" s="0">
        <f>IF(AND(O453&gt;0,LEN(TRIM(B453&amp;""))&gt;0,LEN(TRIM(C453&amp;""))&gt;0,LEN(TRIM(E453&amp;""))&gt;0,ISNUMBER(F453)),O453,"")</f>
      </c>
      <c r="R453" s="0" t="n">
        <f>IF(O453=0,0,IF(COUNTIFS($Q$13:$Q$512,O453)&gt;0,MATCH(O453,$Q$13:$Q$512,0),0))</f>
        <v>0</v>
      </c>
      <c r="S453" s="0">
        <f>IF(AB453="","",IF(SUMPRODUCT(--('LÉEME'!$B$65:$B$86=AC453))=1,INDEX('LÉEME'!$C$65:$C$86,MATCH(AC453,'LÉEME'!$B$65:$B$86,0)),UPPER(TRIM(AB453))))</f>
      </c>
      <c r="T453" s="0" t="n">
        <f>IF(R453=0,0,IF(OR(AND(LEN(TRIM(B453&amp;""))&gt;0,UPPER(TRIM(B453&amp;""))&lt;&gt;UPPER(TRIM(INDEX($B$13:$B$512,R453)&amp;""))),AND(LEN(TRIM(C453&amp;""))&gt;0,UPPER(TRIM(C453&amp;""))&lt;&gt;UPPER(TRIM(INDEX($C$13:$C$512,R453)&amp;""))),AND(LEN(TRIM(E453&amp;""))&gt;0,S453&lt;&gt;INDEX($S$13:$S$512,R453)),AND(F453&lt;&gt;"",NOT(ISNUMBER(F453)))),1,IF(ISNUMBER(F453),IF(ABS(F453-INDEX($F$13:$F$512,R453))&gt;0.00000001,1,0),0)))</f>
        <v>0</v>
      </c>
      <c r="U453" s="0" t="n">
        <f>IF(P453="DIRECTA",IF(AND(ISNUMBER(G453),COUNTA(H453:J453)=0),1,0),IF(P453="DIMENSIONES",IF(AND(COUNT(G453:J453)&gt;0,COUNTA(G453:J453)=COUNT(G453:J453)),1,0),0))</f>
        <v>0</v>
      </c>
      <c r="V453" s="0" t="n">
        <f>IF(O453=0,0,IF(COUNTIFS($O$13:O453,O453)=1,1,0))</f>
        <v>0</v>
      </c>
      <c r="W453" s="0">
        <f>IF(V453=1,COUNTIFS($V$13:V453,1),"")</f>
      </c>
      <c r="X453" s="0">
        <f>IF(COUNTA(B453:L453)=0,"",IF(OR(NOT(IF(ISNUMBER($E$6),AND($E$6&gt;=0,$E$6&lt;=6,$E$6=INT($E$6)),FALSE)),O453=0,R453=0,T453&gt;0,AND(P453&lt;&gt;"DIMENSIONES",P453&lt;&gt;"DIRECTA",P453&lt;&gt;"SIN LÍNEAS",P453&lt;&gt;"CABECERA"),AND(OR(P453="DIRECTA",P453="DIMENSIONES"),U453=0),AND(OR(P453="SIN LÍNEAS",P453="CABECERA"),COUNTA(G453:J453)&gt;0)),2,IF(OR(P453="SIN LÍNEAS",Y453&gt;0,Z453&gt;0,AA453&gt;0,SUMPRODUCT(--('LÉEME'!$B$65:$B$86=AC453))&lt;&gt;1),1,0)))</f>
      </c>
      <c r="Y453" s="0" t="n">
        <f>IF(AND(P453="DIMENSIONES",S453="m²",COUNT(H453:J453)=3),1,0)</f>
        <v>0</v>
      </c>
      <c r="Z453" s="0" t="n">
        <f>IF(IF(ISNUMBER($E$6),AND($E$6&gt;=0,$E$6&lt;=6,$E$6=INT($E$6)),FALSE),IF(SUM(IF(ISNUMBER(F453),IF(ABS(F453-ROUND(F453,$E$6))&gt;0.00000001,1,0),0),IF(ISNUMBER(G453),IF(ABS(G453-ROUND(G453,$E$6))&gt;0.00000001,1,0),0),IF(ISNUMBER(H453),IF(ABS(H453-ROUND(H453,$E$6))&gt;0.00000001,1,0),0),IF(ISNUMBER(I453),IF(ABS(I453-ROUND(I453,$E$6))&gt;0.00000001,1,0),0),IF(ISNUMBER(J453),IF(ABS(J453-ROUND(J453,$E$6))&gt;0.00000001,1,0),0),IF(ISNUMBER(M453),IF(ABS(M453-ROUND(M453,$E$6))&gt;0.00000001,1,0),0))&gt;0,1,0),0)</f>
        <v>0</v>
      </c>
      <c r="AA453" s="0" t="n">
        <f>IF(COUNTA(B453:L453)=0,0,IF(OR(AND(ISNUMBER(F453),F453&lt;0),AND(U453=1,OR(SUM(IF(ISNUMBER(G453),IF(G453=0,1,0),0),IF(ISNUMBER(H453),IF(H453=0,1,0),0),IF(ISNUMBER(I453),IF(I453=0,1,0),0),IF(ISNUMBER(J453),IF(J453=0,1,0),0))&gt;0,COUNTIFS(G453:J453,"&lt;0")&gt;0)),AND(P453="DIMENSIONES",U453=1,OR(AND(S453="m",COUNT(H453:J453)&lt;&gt;1),AND(S453="m²",COUNT(H453:J453)&lt;&gt;2,Y453=0),AND(S453="m³",COUNT(H453:J453)&lt;&gt;3),AND(S453="ud",COUNT(H453:J453)&gt;0))),AND(P453="DIRECTA",OR(S453="m",S453="m²",S453="m³"))),1,0))</f>
        <v>0</v>
      </c>
      <c r="AB453" s="0">
        <f>IF(LEN(TRIM(E453&amp;""))&gt;0,E453,IF(R453&gt;0,INDEX($E$13:$E$512,R453),""))</f>
      </c>
      <c r="AC453" s="0">
        <f>UPPER(SUBSTITUTE(SUBSTITUTE(SUBSTITUTE(SUBSTITUTE(SUBSTITUTE(TRIM(AB453),"²","2"),"³","3"),"^",""),".","")," ",""))</f>
      </c>
    </row>
    <row r="454" ht="35" customHeight="1">
      <c r="B454" s="35"/>
      <c r="C454" s="35"/>
      <c r="D454" s="37"/>
      <c r="E454" s="35"/>
      <c r="F454" s="38"/>
      <c r="G454" s="38"/>
      <c r="H454" s="38"/>
      <c r="I454" s="38"/>
      <c r="J454" s="38"/>
      <c r="K454" s="35"/>
      <c r="L454" s="35"/>
      <c r="M454" s="39">
        <f>IF(U454&lt;&gt;1,"",IF(P454="DIRECTA",G454,IF(ISNUMBER(G454),G454,1)*IF(ISNUMBER(H454),H454,1)*IF(ISNUMBER(I454),I454,1)*IF(ISNUMBER(J454),J454,1)))</f>
      </c>
      <c r="N454" s="30">
        <f>IF(COUNTA(B454:L454)=0,"",IF(X454=0,IF(P454="CABECERA","VERDE · Fila descriptiva; la suma usa las líneas del ID","VERDE · Datos numéricos interpretables"),IF(X454=2,"ROJO · ","ÁMBAR · ")&amp;IF(NOT(IF(ISNUMBER($E$6),AND($E$6&gt;=0,$E$6&lt;=6,$E$6=INT($E$6)),FALSE)),"Indicamos entre 0 y 6 decimales en E6. ","")&amp;IF(O454=0,"Falta un ID numérico. ","")&amp;IF(R454=0,"Faltan capítulo, código, unidad o total numérico del ID. ","")&amp;IF(T454&gt;0,"Los datos o el total del ID se contradicen. ","")&amp;IF(AND(P454&lt;&gt;"DIMENSIONES",P454&lt;&gt;"DIRECTA",P454&lt;&gt;"SIN LÍNEAS",P454&lt;&gt;"CABECERA"),"Tipo de fila no reconocido. ","")&amp;IF(AND(OR(P454="SIN LÍNEAS",P454="CABECERA"),COUNTA(G454:J454)&gt;0),"La fila dice que no mide, pero contiene medidas. ","")&amp;IF(AND(OR(P454="DIRECTA",P454="DIMENSIONES"),U454=0),"Línea incompleta o con medidas no numéricas. ","")&amp;IF(P454="SIN LÍNEAS","No constan medidas de esta fila. ","")&amp;IF(Y454&gt;0,"Parece m³: tres dimensiones bajo m². ","")&amp;IF(AND(AB454&lt;&gt;"",SUMPRODUCT(--('LÉEME'!$B$65:$B$86=AC454))&lt;&gt;1),"Revisamos el significado de la unidad. ","")&amp;IF(Z454&gt;0,"Más precisión que los decimales indicados: cotejamos el original. ","")&amp;IF(AA454&gt;0,"Revisamos dimensiones, cantidad directa, ceros o deducción. ","")))</f>
      </c>
      <c r="O454" s="0" t="n">
        <f>IF(ISNUMBER(K454),IF(AND(K454&gt;0,K454=INT(K454),K454&lt;=999999),K454,0),0)</f>
        <v>0</v>
      </c>
      <c r="P454" s="0">
        <f>IF(COUNTA(B454:L454)=0,"",IF(L454="",IF(COUNTA(G454:J454)&gt;0,"DIMENSIONES","SIN LÍNEAS"),UPPER(TRIM(L454))))</f>
      </c>
      <c r="Q454" s="0">
        <f>IF(AND(O454&gt;0,LEN(TRIM(B454&amp;""))&gt;0,LEN(TRIM(C454&amp;""))&gt;0,LEN(TRIM(E454&amp;""))&gt;0,ISNUMBER(F454)),O454,"")</f>
      </c>
      <c r="R454" s="0" t="n">
        <f>IF(O454=0,0,IF(COUNTIFS($Q$13:$Q$512,O454)&gt;0,MATCH(O454,$Q$13:$Q$512,0),0))</f>
        <v>0</v>
      </c>
      <c r="S454" s="0">
        <f>IF(AB454="","",IF(SUMPRODUCT(--('LÉEME'!$B$65:$B$86=AC454))=1,INDEX('LÉEME'!$C$65:$C$86,MATCH(AC454,'LÉEME'!$B$65:$B$86,0)),UPPER(TRIM(AB454))))</f>
      </c>
      <c r="T454" s="0" t="n">
        <f>IF(R454=0,0,IF(OR(AND(LEN(TRIM(B454&amp;""))&gt;0,UPPER(TRIM(B454&amp;""))&lt;&gt;UPPER(TRIM(INDEX($B$13:$B$512,R454)&amp;""))),AND(LEN(TRIM(C454&amp;""))&gt;0,UPPER(TRIM(C454&amp;""))&lt;&gt;UPPER(TRIM(INDEX($C$13:$C$512,R454)&amp;""))),AND(LEN(TRIM(E454&amp;""))&gt;0,S454&lt;&gt;INDEX($S$13:$S$512,R454)),AND(F454&lt;&gt;"",NOT(ISNUMBER(F454)))),1,IF(ISNUMBER(F454),IF(ABS(F454-INDEX($F$13:$F$512,R454))&gt;0.00000001,1,0),0)))</f>
        <v>0</v>
      </c>
      <c r="U454" s="0" t="n">
        <f>IF(P454="DIRECTA",IF(AND(ISNUMBER(G454),COUNTA(H454:J454)=0),1,0),IF(P454="DIMENSIONES",IF(AND(COUNT(G454:J454)&gt;0,COUNTA(G454:J454)=COUNT(G454:J454)),1,0),0))</f>
        <v>0</v>
      </c>
      <c r="V454" s="0" t="n">
        <f>IF(O454=0,0,IF(COUNTIFS($O$13:O454,O454)=1,1,0))</f>
        <v>0</v>
      </c>
      <c r="W454" s="0">
        <f>IF(V454=1,COUNTIFS($V$13:V454,1),"")</f>
      </c>
      <c r="X454" s="0">
        <f>IF(COUNTA(B454:L454)=0,"",IF(OR(NOT(IF(ISNUMBER($E$6),AND($E$6&gt;=0,$E$6&lt;=6,$E$6=INT($E$6)),FALSE)),O454=0,R454=0,T454&gt;0,AND(P454&lt;&gt;"DIMENSIONES",P454&lt;&gt;"DIRECTA",P454&lt;&gt;"SIN LÍNEAS",P454&lt;&gt;"CABECERA"),AND(OR(P454="DIRECTA",P454="DIMENSIONES"),U454=0),AND(OR(P454="SIN LÍNEAS",P454="CABECERA"),COUNTA(G454:J454)&gt;0)),2,IF(OR(P454="SIN LÍNEAS",Y454&gt;0,Z454&gt;0,AA454&gt;0,SUMPRODUCT(--('LÉEME'!$B$65:$B$86=AC454))&lt;&gt;1),1,0)))</f>
      </c>
      <c r="Y454" s="0" t="n">
        <f>IF(AND(P454="DIMENSIONES",S454="m²",COUNT(H454:J454)=3),1,0)</f>
        <v>0</v>
      </c>
      <c r="Z454" s="0" t="n">
        <f>IF(IF(ISNUMBER($E$6),AND($E$6&gt;=0,$E$6&lt;=6,$E$6=INT($E$6)),FALSE),IF(SUM(IF(ISNUMBER(F454),IF(ABS(F454-ROUND(F454,$E$6))&gt;0.00000001,1,0),0),IF(ISNUMBER(G454),IF(ABS(G454-ROUND(G454,$E$6))&gt;0.00000001,1,0),0),IF(ISNUMBER(H454),IF(ABS(H454-ROUND(H454,$E$6))&gt;0.00000001,1,0),0),IF(ISNUMBER(I454),IF(ABS(I454-ROUND(I454,$E$6))&gt;0.00000001,1,0),0),IF(ISNUMBER(J454),IF(ABS(J454-ROUND(J454,$E$6))&gt;0.00000001,1,0),0),IF(ISNUMBER(M454),IF(ABS(M454-ROUND(M454,$E$6))&gt;0.00000001,1,0),0))&gt;0,1,0),0)</f>
        <v>0</v>
      </c>
      <c r="AA454" s="0" t="n">
        <f>IF(COUNTA(B454:L454)=0,0,IF(OR(AND(ISNUMBER(F454),F454&lt;0),AND(U454=1,OR(SUM(IF(ISNUMBER(G454),IF(G454=0,1,0),0),IF(ISNUMBER(H454),IF(H454=0,1,0),0),IF(ISNUMBER(I454),IF(I454=0,1,0),0),IF(ISNUMBER(J454),IF(J454=0,1,0),0))&gt;0,COUNTIFS(G454:J454,"&lt;0")&gt;0)),AND(P454="DIMENSIONES",U454=1,OR(AND(S454="m",COUNT(H454:J454)&lt;&gt;1),AND(S454="m²",COUNT(H454:J454)&lt;&gt;2,Y454=0),AND(S454="m³",COUNT(H454:J454)&lt;&gt;3),AND(S454="ud",COUNT(H454:J454)&gt;0))),AND(P454="DIRECTA",OR(S454="m",S454="m²",S454="m³"))),1,0))</f>
        <v>0</v>
      </c>
      <c r="AB454" s="0">
        <f>IF(LEN(TRIM(E454&amp;""))&gt;0,E454,IF(R454&gt;0,INDEX($E$13:$E$512,R454),""))</f>
      </c>
      <c r="AC454" s="0">
        <f>UPPER(SUBSTITUTE(SUBSTITUTE(SUBSTITUTE(SUBSTITUTE(SUBSTITUTE(TRIM(AB454),"²","2"),"³","3"),"^",""),".","")," ",""))</f>
      </c>
    </row>
    <row r="455" ht="35" customHeight="1">
      <c r="B455" s="35"/>
      <c r="C455" s="35"/>
      <c r="D455" s="37"/>
      <c r="E455" s="35"/>
      <c r="F455" s="38"/>
      <c r="G455" s="38"/>
      <c r="H455" s="38"/>
      <c r="I455" s="38"/>
      <c r="J455" s="38"/>
      <c r="K455" s="35"/>
      <c r="L455" s="35"/>
      <c r="M455" s="39">
        <f>IF(U455&lt;&gt;1,"",IF(P455="DIRECTA",G455,IF(ISNUMBER(G455),G455,1)*IF(ISNUMBER(H455),H455,1)*IF(ISNUMBER(I455),I455,1)*IF(ISNUMBER(J455),J455,1)))</f>
      </c>
      <c r="N455" s="30">
        <f>IF(COUNTA(B455:L455)=0,"",IF(X455=0,IF(P455="CABECERA","VERDE · Fila descriptiva; la suma usa las líneas del ID","VERDE · Datos numéricos interpretables"),IF(X455=2,"ROJO · ","ÁMBAR · ")&amp;IF(NOT(IF(ISNUMBER($E$6),AND($E$6&gt;=0,$E$6&lt;=6,$E$6=INT($E$6)),FALSE)),"Indicamos entre 0 y 6 decimales en E6. ","")&amp;IF(O455=0,"Falta un ID numérico. ","")&amp;IF(R455=0,"Faltan capítulo, código, unidad o total numérico del ID. ","")&amp;IF(T455&gt;0,"Los datos o el total del ID se contradicen. ","")&amp;IF(AND(P455&lt;&gt;"DIMENSIONES",P455&lt;&gt;"DIRECTA",P455&lt;&gt;"SIN LÍNEAS",P455&lt;&gt;"CABECERA"),"Tipo de fila no reconocido. ","")&amp;IF(AND(OR(P455="SIN LÍNEAS",P455="CABECERA"),COUNTA(G455:J455)&gt;0),"La fila dice que no mide, pero contiene medidas. ","")&amp;IF(AND(OR(P455="DIRECTA",P455="DIMENSIONES"),U455=0),"Línea incompleta o con medidas no numéricas. ","")&amp;IF(P455="SIN LÍNEAS","No constan medidas de esta fila. ","")&amp;IF(Y455&gt;0,"Parece m³: tres dimensiones bajo m². ","")&amp;IF(AND(AB455&lt;&gt;"",SUMPRODUCT(--('LÉEME'!$B$65:$B$86=AC455))&lt;&gt;1),"Revisamos el significado de la unidad. ","")&amp;IF(Z455&gt;0,"Más precisión que los decimales indicados: cotejamos el original. ","")&amp;IF(AA455&gt;0,"Revisamos dimensiones, cantidad directa, ceros o deducción. ","")))</f>
      </c>
      <c r="O455" s="0" t="n">
        <f>IF(ISNUMBER(K455),IF(AND(K455&gt;0,K455=INT(K455),K455&lt;=999999),K455,0),0)</f>
        <v>0</v>
      </c>
      <c r="P455" s="0">
        <f>IF(COUNTA(B455:L455)=0,"",IF(L455="",IF(COUNTA(G455:J455)&gt;0,"DIMENSIONES","SIN LÍNEAS"),UPPER(TRIM(L455))))</f>
      </c>
      <c r="Q455" s="0">
        <f>IF(AND(O455&gt;0,LEN(TRIM(B455&amp;""))&gt;0,LEN(TRIM(C455&amp;""))&gt;0,LEN(TRIM(E455&amp;""))&gt;0,ISNUMBER(F455)),O455,"")</f>
      </c>
      <c r="R455" s="0" t="n">
        <f>IF(O455=0,0,IF(COUNTIFS($Q$13:$Q$512,O455)&gt;0,MATCH(O455,$Q$13:$Q$512,0),0))</f>
        <v>0</v>
      </c>
      <c r="S455" s="0">
        <f>IF(AB455="","",IF(SUMPRODUCT(--('LÉEME'!$B$65:$B$86=AC455))=1,INDEX('LÉEME'!$C$65:$C$86,MATCH(AC455,'LÉEME'!$B$65:$B$86,0)),UPPER(TRIM(AB455))))</f>
      </c>
      <c r="T455" s="0" t="n">
        <f>IF(R455=0,0,IF(OR(AND(LEN(TRIM(B455&amp;""))&gt;0,UPPER(TRIM(B455&amp;""))&lt;&gt;UPPER(TRIM(INDEX($B$13:$B$512,R455)&amp;""))),AND(LEN(TRIM(C455&amp;""))&gt;0,UPPER(TRIM(C455&amp;""))&lt;&gt;UPPER(TRIM(INDEX($C$13:$C$512,R455)&amp;""))),AND(LEN(TRIM(E455&amp;""))&gt;0,S455&lt;&gt;INDEX($S$13:$S$512,R455)),AND(F455&lt;&gt;"",NOT(ISNUMBER(F455)))),1,IF(ISNUMBER(F455),IF(ABS(F455-INDEX($F$13:$F$512,R455))&gt;0.00000001,1,0),0)))</f>
        <v>0</v>
      </c>
      <c r="U455" s="0" t="n">
        <f>IF(P455="DIRECTA",IF(AND(ISNUMBER(G455),COUNTA(H455:J455)=0),1,0),IF(P455="DIMENSIONES",IF(AND(COUNT(G455:J455)&gt;0,COUNTA(G455:J455)=COUNT(G455:J455)),1,0),0))</f>
        <v>0</v>
      </c>
      <c r="V455" s="0" t="n">
        <f>IF(O455=0,0,IF(COUNTIFS($O$13:O455,O455)=1,1,0))</f>
        <v>0</v>
      </c>
      <c r="W455" s="0">
        <f>IF(V455=1,COUNTIFS($V$13:V455,1),"")</f>
      </c>
      <c r="X455" s="0">
        <f>IF(COUNTA(B455:L455)=0,"",IF(OR(NOT(IF(ISNUMBER($E$6),AND($E$6&gt;=0,$E$6&lt;=6,$E$6=INT($E$6)),FALSE)),O455=0,R455=0,T455&gt;0,AND(P455&lt;&gt;"DIMENSIONES",P455&lt;&gt;"DIRECTA",P455&lt;&gt;"SIN LÍNEAS",P455&lt;&gt;"CABECERA"),AND(OR(P455="DIRECTA",P455="DIMENSIONES"),U455=0),AND(OR(P455="SIN LÍNEAS",P455="CABECERA"),COUNTA(G455:J455)&gt;0)),2,IF(OR(P455="SIN LÍNEAS",Y455&gt;0,Z455&gt;0,AA455&gt;0,SUMPRODUCT(--('LÉEME'!$B$65:$B$86=AC455))&lt;&gt;1),1,0)))</f>
      </c>
      <c r="Y455" s="0" t="n">
        <f>IF(AND(P455="DIMENSIONES",S455="m²",COUNT(H455:J455)=3),1,0)</f>
        <v>0</v>
      </c>
      <c r="Z455" s="0" t="n">
        <f>IF(IF(ISNUMBER($E$6),AND($E$6&gt;=0,$E$6&lt;=6,$E$6=INT($E$6)),FALSE),IF(SUM(IF(ISNUMBER(F455),IF(ABS(F455-ROUND(F455,$E$6))&gt;0.00000001,1,0),0),IF(ISNUMBER(G455),IF(ABS(G455-ROUND(G455,$E$6))&gt;0.00000001,1,0),0),IF(ISNUMBER(H455),IF(ABS(H455-ROUND(H455,$E$6))&gt;0.00000001,1,0),0),IF(ISNUMBER(I455),IF(ABS(I455-ROUND(I455,$E$6))&gt;0.00000001,1,0),0),IF(ISNUMBER(J455),IF(ABS(J455-ROUND(J455,$E$6))&gt;0.00000001,1,0),0),IF(ISNUMBER(M455),IF(ABS(M455-ROUND(M455,$E$6))&gt;0.00000001,1,0),0))&gt;0,1,0),0)</f>
        <v>0</v>
      </c>
      <c r="AA455" s="0" t="n">
        <f>IF(COUNTA(B455:L455)=0,0,IF(OR(AND(ISNUMBER(F455),F455&lt;0),AND(U455=1,OR(SUM(IF(ISNUMBER(G455),IF(G455=0,1,0),0),IF(ISNUMBER(H455),IF(H455=0,1,0),0),IF(ISNUMBER(I455),IF(I455=0,1,0),0),IF(ISNUMBER(J455),IF(J455=0,1,0),0))&gt;0,COUNTIFS(G455:J455,"&lt;0")&gt;0)),AND(P455="DIMENSIONES",U455=1,OR(AND(S455="m",COUNT(H455:J455)&lt;&gt;1),AND(S455="m²",COUNT(H455:J455)&lt;&gt;2,Y455=0),AND(S455="m³",COUNT(H455:J455)&lt;&gt;3),AND(S455="ud",COUNT(H455:J455)&gt;0))),AND(P455="DIRECTA",OR(S455="m",S455="m²",S455="m³"))),1,0))</f>
        <v>0</v>
      </c>
      <c r="AB455" s="0">
        <f>IF(LEN(TRIM(E455&amp;""))&gt;0,E455,IF(R455&gt;0,INDEX($E$13:$E$512,R455),""))</f>
      </c>
      <c r="AC455" s="0">
        <f>UPPER(SUBSTITUTE(SUBSTITUTE(SUBSTITUTE(SUBSTITUTE(SUBSTITUTE(TRIM(AB455),"²","2"),"³","3"),"^",""),".","")," ",""))</f>
      </c>
    </row>
    <row r="456" ht="35" customHeight="1">
      <c r="B456" s="35"/>
      <c r="C456" s="35"/>
      <c r="D456" s="37"/>
      <c r="E456" s="35"/>
      <c r="F456" s="38"/>
      <c r="G456" s="38"/>
      <c r="H456" s="38"/>
      <c r="I456" s="38"/>
      <c r="J456" s="38"/>
      <c r="K456" s="35"/>
      <c r="L456" s="35"/>
      <c r="M456" s="39">
        <f>IF(U456&lt;&gt;1,"",IF(P456="DIRECTA",G456,IF(ISNUMBER(G456),G456,1)*IF(ISNUMBER(H456),H456,1)*IF(ISNUMBER(I456),I456,1)*IF(ISNUMBER(J456),J456,1)))</f>
      </c>
      <c r="N456" s="30">
        <f>IF(COUNTA(B456:L456)=0,"",IF(X456=0,IF(P456="CABECERA","VERDE · Fila descriptiva; la suma usa las líneas del ID","VERDE · Datos numéricos interpretables"),IF(X456=2,"ROJO · ","ÁMBAR · ")&amp;IF(NOT(IF(ISNUMBER($E$6),AND($E$6&gt;=0,$E$6&lt;=6,$E$6=INT($E$6)),FALSE)),"Indicamos entre 0 y 6 decimales en E6. ","")&amp;IF(O456=0,"Falta un ID numérico. ","")&amp;IF(R456=0,"Faltan capítulo, código, unidad o total numérico del ID. ","")&amp;IF(T456&gt;0,"Los datos o el total del ID se contradicen. ","")&amp;IF(AND(P456&lt;&gt;"DIMENSIONES",P456&lt;&gt;"DIRECTA",P456&lt;&gt;"SIN LÍNEAS",P456&lt;&gt;"CABECERA"),"Tipo de fila no reconocido. ","")&amp;IF(AND(OR(P456="SIN LÍNEAS",P456="CABECERA"),COUNTA(G456:J456)&gt;0),"La fila dice que no mide, pero contiene medidas. ","")&amp;IF(AND(OR(P456="DIRECTA",P456="DIMENSIONES"),U456=0),"Línea incompleta o con medidas no numéricas. ","")&amp;IF(P456="SIN LÍNEAS","No constan medidas de esta fila. ","")&amp;IF(Y456&gt;0,"Parece m³: tres dimensiones bajo m². ","")&amp;IF(AND(AB456&lt;&gt;"",SUMPRODUCT(--('LÉEME'!$B$65:$B$86=AC456))&lt;&gt;1),"Revisamos el significado de la unidad. ","")&amp;IF(Z456&gt;0,"Más precisión que los decimales indicados: cotejamos el original. ","")&amp;IF(AA456&gt;0,"Revisamos dimensiones, cantidad directa, ceros o deducción. ","")))</f>
      </c>
      <c r="O456" s="0" t="n">
        <f>IF(ISNUMBER(K456),IF(AND(K456&gt;0,K456=INT(K456),K456&lt;=999999),K456,0),0)</f>
        <v>0</v>
      </c>
      <c r="P456" s="0">
        <f>IF(COUNTA(B456:L456)=0,"",IF(L456="",IF(COUNTA(G456:J456)&gt;0,"DIMENSIONES","SIN LÍNEAS"),UPPER(TRIM(L456))))</f>
      </c>
      <c r="Q456" s="0">
        <f>IF(AND(O456&gt;0,LEN(TRIM(B456&amp;""))&gt;0,LEN(TRIM(C456&amp;""))&gt;0,LEN(TRIM(E456&amp;""))&gt;0,ISNUMBER(F456)),O456,"")</f>
      </c>
      <c r="R456" s="0" t="n">
        <f>IF(O456=0,0,IF(COUNTIFS($Q$13:$Q$512,O456)&gt;0,MATCH(O456,$Q$13:$Q$512,0),0))</f>
        <v>0</v>
      </c>
      <c r="S456" s="0">
        <f>IF(AB456="","",IF(SUMPRODUCT(--('LÉEME'!$B$65:$B$86=AC456))=1,INDEX('LÉEME'!$C$65:$C$86,MATCH(AC456,'LÉEME'!$B$65:$B$86,0)),UPPER(TRIM(AB456))))</f>
      </c>
      <c r="T456" s="0" t="n">
        <f>IF(R456=0,0,IF(OR(AND(LEN(TRIM(B456&amp;""))&gt;0,UPPER(TRIM(B456&amp;""))&lt;&gt;UPPER(TRIM(INDEX($B$13:$B$512,R456)&amp;""))),AND(LEN(TRIM(C456&amp;""))&gt;0,UPPER(TRIM(C456&amp;""))&lt;&gt;UPPER(TRIM(INDEX($C$13:$C$512,R456)&amp;""))),AND(LEN(TRIM(E456&amp;""))&gt;0,S456&lt;&gt;INDEX($S$13:$S$512,R456)),AND(F456&lt;&gt;"",NOT(ISNUMBER(F456)))),1,IF(ISNUMBER(F456),IF(ABS(F456-INDEX($F$13:$F$512,R456))&gt;0.00000001,1,0),0)))</f>
        <v>0</v>
      </c>
      <c r="U456" s="0" t="n">
        <f>IF(P456="DIRECTA",IF(AND(ISNUMBER(G456),COUNTA(H456:J456)=0),1,0),IF(P456="DIMENSIONES",IF(AND(COUNT(G456:J456)&gt;0,COUNTA(G456:J456)=COUNT(G456:J456)),1,0),0))</f>
        <v>0</v>
      </c>
      <c r="V456" s="0" t="n">
        <f>IF(O456=0,0,IF(COUNTIFS($O$13:O456,O456)=1,1,0))</f>
        <v>0</v>
      </c>
      <c r="W456" s="0">
        <f>IF(V456=1,COUNTIFS($V$13:V456,1),"")</f>
      </c>
      <c r="X456" s="0">
        <f>IF(COUNTA(B456:L456)=0,"",IF(OR(NOT(IF(ISNUMBER($E$6),AND($E$6&gt;=0,$E$6&lt;=6,$E$6=INT($E$6)),FALSE)),O456=0,R456=0,T456&gt;0,AND(P456&lt;&gt;"DIMENSIONES",P456&lt;&gt;"DIRECTA",P456&lt;&gt;"SIN LÍNEAS",P456&lt;&gt;"CABECERA"),AND(OR(P456="DIRECTA",P456="DIMENSIONES"),U456=0),AND(OR(P456="SIN LÍNEAS",P456="CABECERA"),COUNTA(G456:J456)&gt;0)),2,IF(OR(P456="SIN LÍNEAS",Y456&gt;0,Z456&gt;0,AA456&gt;0,SUMPRODUCT(--('LÉEME'!$B$65:$B$86=AC456))&lt;&gt;1),1,0)))</f>
      </c>
      <c r="Y456" s="0" t="n">
        <f>IF(AND(P456="DIMENSIONES",S456="m²",COUNT(H456:J456)=3),1,0)</f>
        <v>0</v>
      </c>
      <c r="Z456" s="0" t="n">
        <f>IF(IF(ISNUMBER($E$6),AND($E$6&gt;=0,$E$6&lt;=6,$E$6=INT($E$6)),FALSE),IF(SUM(IF(ISNUMBER(F456),IF(ABS(F456-ROUND(F456,$E$6))&gt;0.00000001,1,0),0),IF(ISNUMBER(G456),IF(ABS(G456-ROUND(G456,$E$6))&gt;0.00000001,1,0),0),IF(ISNUMBER(H456),IF(ABS(H456-ROUND(H456,$E$6))&gt;0.00000001,1,0),0),IF(ISNUMBER(I456),IF(ABS(I456-ROUND(I456,$E$6))&gt;0.00000001,1,0),0),IF(ISNUMBER(J456),IF(ABS(J456-ROUND(J456,$E$6))&gt;0.00000001,1,0),0),IF(ISNUMBER(M456),IF(ABS(M456-ROUND(M456,$E$6))&gt;0.00000001,1,0),0))&gt;0,1,0),0)</f>
        <v>0</v>
      </c>
      <c r="AA456" s="0" t="n">
        <f>IF(COUNTA(B456:L456)=0,0,IF(OR(AND(ISNUMBER(F456),F456&lt;0),AND(U456=1,OR(SUM(IF(ISNUMBER(G456),IF(G456=0,1,0),0),IF(ISNUMBER(H456),IF(H456=0,1,0),0),IF(ISNUMBER(I456),IF(I456=0,1,0),0),IF(ISNUMBER(J456),IF(J456=0,1,0),0))&gt;0,COUNTIFS(G456:J456,"&lt;0")&gt;0)),AND(P456="DIMENSIONES",U456=1,OR(AND(S456="m",COUNT(H456:J456)&lt;&gt;1),AND(S456="m²",COUNT(H456:J456)&lt;&gt;2,Y456=0),AND(S456="m³",COUNT(H456:J456)&lt;&gt;3),AND(S456="ud",COUNT(H456:J456)&gt;0))),AND(P456="DIRECTA",OR(S456="m",S456="m²",S456="m³"))),1,0))</f>
        <v>0</v>
      </c>
      <c r="AB456" s="0">
        <f>IF(LEN(TRIM(E456&amp;""))&gt;0,E456,IF(R456&gt;0,INDEX($E$13:$E$512,R456),""))</f>
      </c>
      <c r="AC456" s="0">
        <f>UPPER(SUBSTITUTE(SUBSTITUTE(SUBSTITUTE(SUBSTITUTE(SUBSTITUTE(TRIM(AB456),"²","2"),"³","3"),"^",""),".","")," ",""))</f>
      </c>
    </row>
    <row r="457" ht="35" customHeight="1">
      <c r="B457" s="35"/>
      <c r="C457" s="35"/>
      <c r="D457" s="37"/>
      <c r="E457" s="35"/>
      <c r="F457" s="38"/>
      <c r="G457" s="38"/>
      <c r="H457" s="38"/>
      <c r="I457" s="38"/>
      <c r="J457" s="38"/>
      <c r="K457" s="35"/>
      <c r="L457" s="35"/>
      <c r="M457" s="39">
        <f>IF(U457&lt;&gt;1,"",IF(P457="DIRECTA",G457,IF(ISNUMBER(G457),G457,1)*IF(ISNUMBER(H457),H457,1)*IF(ISNUMBER(I457),I457,1)*IF(ISNUMBER(J457),J457,1)))</f>
      </c>
      <c r="N457" s="30">
        <f>IF(COUNTA(B457:L457)=0,"",IF(X457=0,IF(P457="CABECERA","VERDE · Fila descriptiva; la suma usa las líneas del ID","VERDE · Datos numéricos interpretables"),IF(X457=2,"ROJO · ","ÁMBAR · ")&amp;IF(NOT(IF(ISNUMBER($E$6),AND($E$6&gt;=0,$E$6&lt;=6,$E$6=INT($E$6)),FALSE)),"Indicamos entre 0 y 6 decimales en E6. ","")&amp;IF(O457=0,"Falta un ID numérico. ","")&amp;IF(R457=0,"Faltan capítulo, código, unidad o total numérico del ID. ","")&amp;IF(T457&gt;0,"Los datos o el total del ID se contradicen. ","")&amp;IF(AND(P457&lt;&gt;"DIMENSIONES",P457&lt;&gt;"DIRECTA",P457&lt;&gt;"SIN LÍNEAS",P457&lt;&gt;"CABECERA"),"Tipo de fila no reconocido. ","")&amp;IF(AND(OR(P457="SIN LÍNEAS",P457="CABECERA"),COUNTA(G457:J457)&gt;0),"La fila dice que no mide, pero contiene medidas. ","")&amp;IF(AND(OR(P457="DIRECTA",P457="DIMENSIONES"),U457=0),"Línea incompleta o con medidas no numéricas. ","")&amp;IF(P457="SIN LÍNEAS","No constan medidas de esta fila. ","")&amp;IF(Y457&gt;0,"Parece m³: tres dimensiones bajo m². ","")&amp;IF(AND(AB457&lt;&gt;"",SUMPRODUCT(--('LÉEME'!$B$65:$B$86=AC457))&lt;&gt;1),"Revisamos el significado de la unidad. ","")&amp;IF(Z457&gt;0,"Más precisión que los decimales indicados: cotejamos el original. ","")&amp;IF(AA457&gt;0,"Revisamos dimensiones, cantidad directa, ceros o deducción. ","")))</f>
      </c>
      <c r="O457" s="0" t="n">
        <f>IF(ISNUMBER(K457),IF(AND(K457&gt;0,K457=INT(K457),K457&lt;=999999),K457,0),0)</f>
        <v>0</v>
      </c>
      <c r="P457" s="0">
        <f>IF(COUNTA(B457:L457)=0,"",IF(L457="",IF(COUNTA(G457:J457)&gt;0,"DIMENSIONES","SIN LÍNEAS"),UPPER(TRIM(L457))))</f>
      </c>
      <c r="Q457" s="0">
        <f>IF(AND(O457&gt;0,LEN(TRIM(B457&amp;""))&gt;0,LEN(TRIM(C457&amp;""))&gt;0,LEN(TRIM(E457&amp;""))&gt;0,ISNUMBER(F457)),O457,"")</f>
      </c>
      <c r="R457" s="0" t="n">
        <f>IF(O457=0,0,IF(COUNTIFS($Q$13:$Q$512,O457)&gt;0,MATCH(O457,$Q$13:$Q$512,0),0))</f>
        <v>0</v>
      </c>
      <c r="S457" s="0">
        <f>IF(AB457="","",IF(SUMPRODUCT(--('LÉEME'!$B$65:$B$86=AC457))=1,INDEX('LÉEME'!$C$65:$C$86,MATCH(AC457,'LÉEME'!$B$65:$B$86,0)),UPPER(TRIM(AB457))))</f>
      </c>
      <c r="T457" s="0" t="n">
        <f>IF(R457=0,0,IF(OR(AND(LEN(TRIM(B457&amp;""))&gt;0,UPPER(TRIM(B457&amp;""))&lt;&gt;UPPER(TRIM(INDEX($B$13:$B$512,R457)&amp;""))),AND(LEN(TRIM(C457&amp;""))&gt;0,UPPER(TRIM(C457&amp;""))&lt;&gt;UPPER(TRIM(INDEX($C$13:$C$512,R457)&amp;""))),AND(LEN(TRIM(E457&amp;""))&gt;0,S457&lt;&gt;INDEX($S$13:$S$512,R457)),AND(F457&lt;&gt;"",NOT(ISNUMBER(F457)))),1,IF(ISNUMBER(F457),IF(ABS(F457-INDEX($F$13:$F$512,R457))&gt;0.00000001,1,0),0)))</f>
        <v>0</v>
      </c>
      <c r="U457" s="0" t="n">
        <f>IF(P457="DIRECTA",IF(AND(ISNUMBER(G457),COUNTA(H457:J457)=0),1,0),IF(P457="DIMENSIONES",IF(AND(COUNT(G457:J457)&gt;0,COUNTA(G457:J457)=COUNT(G457:J457)),1,0),0))</f>
        <v>0</v>
      </c>
      <c r="V457" s="0" t="n">
        <f>IF(O457=0,0,IF(COUNTIFS($O$13:O457,O457)=1,1,0))</f>
        <v>0</v>
      </c>
      <c r="W457" s="0">
        <f>IF(V457=1,COUNTIFS($V$13:V457,1),"")</f>
      </c>
      <c r="X457" s="0">
        <f>IF(COUNTA(B457:L457)=0,"",IF(OR(NOT(IF(ISNUMBER($E$6),AND($E$6&gt;=0,$E$6&lt;=6,$E$6=INT($E$6)),FALSE)),O457=0,R457=0,T457&gt;0,AND(P457&lt;&gt;"DIMENSIONES",P457&lt;&gt;"DIRECTA",P457&lt;&gt;"SIN LÍNEAS",P457&lt;&gt;"CABECERA"),AND(OR(P457="DIRECTA",P457="DIMENSIONES"),U457=0),AND(OR(P457="SIN LÍNEAS",P457="CABECERA"),COUNTA(G457:J457)&gt;0)),2,IF(OR(P457="SIN LÍNEAS",Y457&gt;0,Z457&gt;0,AA457&gt;0,SUMPRODUCT(--('LÉEME'!$B$65:$B$86=AC457))&lt;&gt;1),1,0)))</f>
      </c>
      <c r="Y457" s="0" t="n">
        <f>IF(AND(P457="DIMENSIONES",S457="m²",COUNT(H457:J457)=3),1,0)</f>
        <v>0</v>
      </c>
      <c r="Z457" s="0" t="n">
        <f>IF(IF(ISNUMBER($E$6),AND($E$6&gt;=0,$E$6&lt;=6,$E$6=INT($E$6)),FALSE),IF(SUM(IF(ISNUMBER(F457),IF(ABS(F457-ROUND(F457,$E$6))&gt;0.00000001,1,0),0),IF(ISNUMBER(G457),IF(ABS(G457-ROUND(G457,$E$6))&gt;0.00000001,1,0),0),IF(ISNUMBER(H457),IF(ABS(H457-ROUND(H457,$E$6))&gt;0.00000001,1,0),0),IF(ISNUMBER(I457),IF(ABS(I457-ROUND(I457,$E$6))&gt;0.00000001,1,0),0),IF(ISNUMBER(J457),IF(ABS(J457-ROUND(J457,$E$6))&gt;0.00000001,1,0),0),IF(ISNUMBER(M457),IF(ABS(M457-ROUND(M457,$E$6))&gt;0.00000001,1,0),0))&gt;0,1,0),0)</f>
        <v>0</v>
      </c>
      <c r="AA457" s="0" t="n">
        <f>IF(COUNTA(B457:L457)=0,0,IF(OR(AND(ISNUMBER(F457),F457&lt;0),AND(U457=1,OR(SUM(IF(ISNUMBER(G457),IF(G457=0,1,0),0),IF(ISNUMBER(H457),IF(H457=0,1,0),0),IF(ISNUMBER(I457),IF(I457=0,1,0),0),IF(ISNUMBER(J457),IF(J457=0,1,0),0))&gt;0,COUNTIFS(G457:J457,"&lt;0")&gt;0)),AND(P457="DIMENSIONES",U457=1,OR(AND(S457="m",COUNT(H457:J457)&lt;&gt;1),AND(S457="m²",COUNT(H457:J457)&lt;&gt;2,Y457=0),AND(S457="m³",COUNT(H457:J457)&lt;&gt;3),AND(S457="ud",COUNT(H457:J457)&gt;0))),AND(P457="DIRECTA",OR(S457="m",S457="m²",S457="m³"))),1,0))</f>
        <v>0</v>
      </c>
      <c r="AB457" s="0">
        <f>IF(LEN(TRIM(E457&amp;""))&gt;0,E457,IF(R457&gt;0,INDEX($E$13:$E$512,R457),""))</f>
      </c>
      <c r="AC457" s="0">
        <f>UPPER(SUBSTITUTE(SUBSTITUTE(SUBSTITUTE(SUBSTITUTE(SUBSTITUTE(TRIM(AB457),"²","2"),"³","3"),"^",""),".","")," ",""))</f>
      </c>
    </row>
    <row r="458" ht="35" customHeight="1">
      <c r="B458" s="35"/>
      <c r="C458" s="35"/>
      <c r="D458" s="37"/>
      <c r="E458" s="35"/>
      <c r="F458" s="38"/>
      <c r="G458" s="38"/>
      <c r="H458" s="38"/>
      <c r="I458" s="38"/>
      <c r="J458" s="38"/>
      <c r="K458" s="35"/>
      <c r="L458" s="35"/>
      <c r="M458" s="39">
        <f>IF(U458&lt;&gt;1,"",IF(P458="DIRECTA",G458,IF(ISNUMBER(G458),G458,1)*IF(ISNUMBER(H458),H458,1)*IF(ISNUMBER(I458),I458,1)*IF(ISNUMBER(J458),J458,1)))</f>
      </c>
      <c r="N458" s="30">
        <f>IF(COUNTA(B458:L458)=0,"",IF(X458=0,IF(P458="CABECERA","VERDE · Fila descriptiva; la suma usa las líneas del ID","VERDE · Datos numéricos interpretables"),IF(X458=2,"ROJO · ","ÁMBAR · ")&amp;IF(NOT(IF(ISNUMBER($E$6),AND($E$6&gt;=0,$E$6&lt;=6,$E$6=INT($E$6)),FALSE)),"Indicamos entre 0 y 6 decimales en E6. ","")&amp;IF(O458=0,"Falta un ID numérico. ","")&amp;IF(R458=0,"Faltan capítulo, código, unidad o total numérico del ID. ","")&amp;IF(T458&gt;0,"Los datos o el total del ID se contradicen. ","")&amp;IF(AND(P458&lt;&gt;"DIMENSIONES",P458&lt;&gt;"DIRECTA",P458&lt;&gt;"SIN LÍNEAS",P458&lt;&gt;"CABECERA"),"Tipo de fila no reconocido. ","")&amp;IF(AND(OR(P458="SIN LÍNEAS",P458="CABECERA"),COUNTA(G458:J458)&gt;0),"La fila dice que no mide, pero contiene medidas. ","")&amp;IF(AND(OR(P458="DIRECTA",P458="DIMENSIONES"),U458=0),"Línea incompleta o con medidas no numéricas. ","")&amp;IF(P458="SIN LÍNEAS","No constan medidas de esta fila. ","")&amp;IF(Y458&gt;0,"Parece m³: tres dimensiones bajo m². ","")&amp;IF(AND(AB458&lt;&gt;"",SUMPRODUCT(--('LÉEME'!$B$65:$B$86=AC458))&lt;&gt;1),"Revisamos el significado de la unidad. ","")&amp;IF(Z458&gt;0,"Más precisión que los decimales indicados: cotejamos el original. ","")&amp;IF(AA458&gt;0,"Revisamos dimensiones, cantidad directa, ceros o deducción. ","")))</f>
      </c>
      <c r="O458" s="0" t="n">
        <f>IF(ISNUMBER(K458),IF(AND(K458&gt;0,K458=INT(K458),K458&lt;=999999),K458,0),0)</f>
        <v>0</v>
      </c>
      <c r="P458" s="0">
        <f>IF(COUNTA(B458:L458)=0,"",IF(L458="",IF(COUNTA(G458:J458)&gt;0,"DIMENSIONES","SIN LÍNEAS"),UPPER(TRIM(L458))))</f>
      </c>
      <c r="Q458" s="0">
        <f>IF(AND(O458&gt;0,LEN(TRIM(B458&amp;""))&gt;0,LEN(TRIM(C458&amp;""))&gt;0,LEN(TRIM(E458&amp;""))&gt;0,ISNUMBER(F458)),O458,"")</f>
      </c>
      <c r="R458" s="0" t="n">
        <f>IF(O458=0,0,IF(COUNTIFS($Q$13:$Q$512,O458)&gt;0,MATCH(O458,$Q$13:$Q$512,0),0))</f>
        <v>0</v>
      </c>
      <c r="S458" s="0">
        <f>IF(AB458="","",IF(SUMPRODUCT(--('LÉEME'!$B$65:$B$86=AC458))=1,INDEX('LÉEME'!$C$65:$C$86,MATCH(AC458,'LÉEME'!$B$65:$B$86,0)),UPPER(TRIM(AB458))))</f>
      </c>
      <c r="T458" s="0" t="n">
        <f>IF(R458=0,0,IF(OR(AND(LEN(TRIM(B458&amp;""))&gt;0,UPPER(TRIM(B458&amp;""))&lt;&gt;UPPER(TRIM(INDEX($B$13:$B$512,R458)&amp;""))),AND(LEN(TRIM(C458&amp;""))&gt;0,UPPER(TRIM(C458&amp;""))&lt;&gt;UPPER(TRIM(INDEX($C$13:$C$512,R458)&amp;""))),AND(LEN(TRIM(E458&amp;""))&gt;0,S458&lt;&gt;INDEX($S$13:$S$512,R458)),AND(F458&lt;&gt;"",NOT(ISNUMBER(F458)))),1,IF(ISNUMBER(F458),IF(ABS(F458-INDEX($F$13:$F$512,R458))&gt;0.00000001,1,0),0)))</f>
        <v>0</v>
      </c>
      <c r="U458" s="0" t="n">
        <f>IF(P458="DIRECTA",IF(AND(ISNUMBER(G458),COUNTA(H458:J458)=0),1,0),IF(P458="DIMENSIONES",IF(AND(COUNT(G458:J458)&gt;0,COUNTA(G458:J458)=COUNT(G458:J458)),1,0),0))</f>
        <v>0</v>
      </c>
      <c r="V458" s="0" t="n">
        <f>IF(O458=0,0,IF(COUNTIFS($O$13:O458,O458)=1,1,0))</f>
        <v>0</v>
      </c>
      <c r="W458" s="0">
        <f>IF(V458=1,COUNTIFS($V$13:V458,1),"")</f>
      </c>
      <c r="X458" s="0">
        <f>IF(COUNTA(B458:L458)=0,"",IF(OR(NOT(IF(ISNUMBER($E$6),AND($E$6&gt;=0,$E$6&lt;=6,$E$6=INT($E$6)),FALSE)),O458=0,R458=0,T458&gt;0,AND(P458&lt;&gt;"DIMENSIONES",P458&lt;&gt;"DIRECTA",P458&lt;&gt;"SIN LÍNEAS",P458&lt;&gt;"CABECERA"),AND(OR(P458="DIRECTA",P458="DIMENSIONES"),U458=0),AND(OR(P458="SIN LÍNEAS",P458="CABECERA"),COUNTA(G458:J458)&gt;0)),2,IF(OR(P458="SIN LÍNEAS",Y458&gt;0,Z458&gt;0,AA458&gt;0,SUMPRODUCT(--('LÉEME'!$B$65:$B$86=AC458))&lt;&gt;1),1,0)))</f>
      </c>
      <c r="Y458" s="0" t="n">
        <f>IF(AND(P458="DIMENSIONES",S458="m²",COUNT(H458:J458)=3),1,0)</f>
        <v>0</v>
      </c>
      <c r="Z458" s="0" t="n">
        <f>IF(IF(ISNUMBER($E$6),AND($E$6&gt;=0,$E$6&lt;=6,$E$6=INT($E$6)),FALSE),IF(SUM(IF(ISNUMBER(F458),IF(ABS(F458-ROUND(F458,$E$6))&gt;0.00000001,1,0),0),IF(ISNUMBER(G458),IF(ABS(G458-ROUND(G458,$E$6))&gt;0.00000001,1,0),0),IF(ISNUMBER(H458),IF(ABS(H458-ROUND(H458,$E$6))&gt;0.00000001,1,0),0),IF(ISNUMBER(I458),IF(ABS(I458-ROUND(I458,$E$6))&gt;0.00000001,1,0),0),IF(ISNUMBER(J458),IF(ABS(J458-ROUND(J458,$E$6))&gt;0.00000001,1,0),0),IF(ISNUMBER(M458),IF(ABS(M458-ROUND(M458,$E$6))&gt;0.00000001,1,0),0))&gt;0,1,0),0)</f>
        <v>0</v>
      </c>
      <c r="AA458" s="0" t="n">
        <f>IF(COUNTA(B458:L458)=0,0,IF(OR(AND(ISNUMBER(F458),F458&lt;0),AND(U458=1,OR(SUM(IF(ISNUMBER(G458),IF(G458=0,1,0),0),IF(ISNUMBER(H458),IF(H458=0,1,0),0),IF(ISNUMBER(I458),IF(I458=0,1,0),0),IF(ISNUMBER(J458),IF(J458=0,1,0),0))&gt;0,COUNTIFS(G458:J458,"&lt;0")&gt;0)),AND(P458="DIMENSIONES",U458=1,OR(AND(S458="m",COUNT(H458:J458)&lt;&gt;1),AND(S458="m²",COUNT(H458:J458)&lt;&gt;2,Y458=0),AND(S458="m³",COUNT(H458:J458)&lt;&gt;3),AND(S458="ud",COUNT(H458:J458)&gt;0))),AND(P458="DIRECTA",OR(S458="m",S458="m²",S458="m³"))),1,0))</f>
        <v>0</v>
      </c>
      <c r="AB458" s="0">
        <f>IF(LEN(TRIM(E458&amp;""))&gt;0,E458,IF(R458&gt;0,INDEX($E$13:$E$512,R458),""))</f>
      </c>
      <c r="AC458" s="0">
        <f>UPPER(SUBSTITUTE(SUBSTITUTE(SUBSTITUTE(SUBSTITUTE(SUBSTITUTE(TRIM(AB458),"²","2"),"³","3"),"^",""),".","")," ",""))</f>
      </c>
    </row>
    <row r="459" ht="35" customHeight="1">
      <c r="B459" s="35"/>
      <c r="C459" s="35"/>
      <c r="D459" s="37"/>
      <c r="E459" s="35"/>
      <c r="F459" s="38"/>
      <c r="G459" s="38"/>
      <c r="H459" s="38"/>
      <c r="I459" s="38"/>
      <c r="J459" s="38"/>
      <c r="K459" s="35"/>
      <c r="L459" s="35"/>
      <c r="M459" s="39">
        <f>IF(U459&lt;&gt;1,"",IF(P459="DIRECTA",G459,IF(ISNUMBER(G459),G459,1)*IF(ISNUMBER(H459),H459,1)*IF(ISNUMBER(I459),I459,1)*IF(ISNUMBER(J459),J459,1)))</f>
      </c>
      <c r="N459" s="30">
        <f>IF(COUNTA(B459:L459)=0,"",IF(X459=0,IF(P459="CABECERA","VERDE · Fila descriptiva; la suma usa las líneas del ID","VERDE · Datos numéricos interpretables"),IF(X459=2,"ROJO · ","ÁMBAR · ")&amp;IF(NOT(IF(ISNUMBER($E$6),AND($E$6&gt;=0,$E$6&lt;=6,$E$6=INT($E$6)),FALSE)),"Indicamos entre 0 y 6 decimales en E6. ","")&amp;IF(O459=0,"Falta un ID numérico. ","")&amp;IF(R459=0,"Faltan capítulo, código, unidad o total numérico del ID. ","")&amp;IF(T459&gt;0,"Los datos o el total del ID se contradicen. ","")&amp;IF(AND(P459&lt;&gt;"DIMENSIONES",P459&lt;&gt;"DIRECTA",P459&lt;&gt;"SIN LÍNEAS",P459&lt;&gt;"CABECERA"),"Tipo de fila no reconocido. ","")&amp;IF(AND(OR(P459="SIN LÍNEAS",P459="CABECERA"),COUNTA(G459:J459)&gt;0),"La fila dice que no mide, pero contiene medidas. ","")&amp;IF(AND(OR(P459="DIRECTA",P459="DIMENSIONES"),U459=0),"Línea incompleta o con medidas no numéricas. ","")&amp;IF(P459="SIN LÍNEAS","No constan medidas de esta fila. ","")&amp;IF(Y459&gt;0,"Parece m³: tres dimensiones bajo m². ","")&amp;IF(AND(AB459&lt;&gt;"",SUMPRODUCT(--('LÉEME'!$B$65:$B$86=AC459))&lt;&gt;1),"Revisamos el significado de la unidad. ","")&amp;IF(Z459&gt;0,"Más precisión que los decimales indicados: cotejamos el original. ","")&amp;IF(AA459&gt;0,"Revisamos dimensiones, cantidad directa, ceros o deducción. ","")))</f>
      </c>
      <c r="O459" s="0" t="n">
        <f>IF(ISNUMBER(K459),IF(AND(K459&gt;0,K459=INT(K459),K459&lt;=999999),K459,0),0)</f>
        <v>0</v>
      </c>
      <c r="P459" s="0">
        <f>IF(COUNTA(B459:L459)=0,"",IF(L459="",IF(COUNTA(G459:J459)&gt;0,"DIMENSIONES","SIN LÍNEAS"),UPPER(TRIM(L459))))</f>
      </c>
      <c r="Q459" s="0">
        <f>IF(AND(O459&gt;0,LEN(TRIM(B459&amp;""))&gt;0,LEN(TRIM(C459&amp;""))&gt;0,LEN(TRIM(E459&amp;""))&gt;0,ISNUMBER(F459)),O459,"")</f>
      </c>
      <c r="R459" s="0" t="n">
        <f>IF(O459=0,0,IF(COUNTIFS($Q$13:$Q$512,O459)&gt;0,MATCH(O459,$Q$13:$Q$512,0),0))</f>
        <v>0</v>
      </c>
      <c r="S459" s="0">
        <f>IF(AB459="","",IF(SUMPRODUCT(--('LÉEME'!$B$65:$B$86=AC459))=1,INDEX('LÉEME'!$C$65:$C$86,MATCH(AC459,'LÉEME'!$B$65:$B$86,0)),UPPER(TRIM(AB459))))</f>
      </c>
      <c r="T459" s="0" t="n">
        <f>IF(R459=0,0,IF(OR(AND(LEN(TRIM(B459&amp;""))&gt;0,UPPER(TRIM(B459&amp;""))&lt;&gt;UPPER(TRIM(INDEX($B$13:$B$512,R459)&amp;""))),AND(LEN(TRIM(C459&amp;""))&gt;0,UPPER(TRIM(C459&amp;""))&lt;&gt;UPPER(TRIM(INDEX($C$13:$C$512,R459)&amp;""))),AND(LEN(TRIM(E459&amp;""))&gt;0,S459&lt;&gt;INDEX($S$13:$S$512,R459)),AND(F459&lt;&gt;"",NOT(ISNUMBER(F459)))),1,IF(ISNUMBER(F459),IF(ABS(F459-INDEX($F$13:$F$512,R459))&gt;0.00000001,1,0),0)))</f>
        <v>0</v>
      </c>
      <c r="U459" s="0" t="n">
        <f>IF(P459="DIRECTA",IF(AND(ISNUMBER(G459),COUNTA(H459:J459)=0),1,0),IF(P459="DIMENSIONES",IF(AND(COUNT(G459:J459)&gt;0,COUNTA(G459:J459)=COUNT(G459:J459)),1,0),0))</f>
        <v>0</v>
      </c>
      <c r="V459" s="0" t="n">
        <f>IF(O459=0,0,IF(COUNTIFS($O$13:O459,O459)=1,1,0))</f>
        <v>0</v>
      </c>
      <c r="W459" s="0">
        <f>IF(V459=1,COUNTIFS($V$13:V459,1),"")</f>
      </c>
      <c r="X459" s="0">
        <f>IF(COUNTA(B459:L459)=0,"",IF(OR(NOT(IF(ISNUMBER($E$6),AND($E$6&gt;=0,$E$6&lt;=6,$E$6=INT($E$6)),FALSE)),O459=0,R459=0,T459&gt;0,AND(P459&lt;&gt;"DIMENSIONES",P459&lt;&gt;"DIRECTA",P459&lt;&gt;"SIN LÍNEAS",P459&lt;&gt;"CABECERA"),AND(OR(P459="DIRECTA",P459="DIMENSIONES"),U459=0),AND(OR(P459="SIN LÍNEAS",P459="CABECERA"),COUNTA(G459:J459)&gt;0)),2,IF(OR(P459="SIN LÍNEAS",Y459&gt;0,Z459&gt;0,AA459&gt;0,SUMPRODUCT(--('LÉEME'!$B$65:$B$86=AC459))&lt;&gt;1),1,0)))</f>
      </c>
      <c r="Y459" s="0" t="n">
        <f>IF(AND(P459="DIMENSIONES",S459="m²",COUNT(H459:J459)=3),1,0)</f>
        <v>0</v>
      </c>
      <c r="Z459" s="0" t="n">
        <f>IF(IF(ISNUMBER($E$6),AND($E$6&gt;=0,$E$6&lt;=6,$E$6=INT($E$6)),FALSE),IF(SUM(IF(ISNUMBER(F459),IF(ABS(F459-ROUND(F459,$E$6))&gt;0.00000001,1,0),0),IF(ISNUMBER(G459),IF(ABS(G459-ROUND(G459,$E$6))&gt;0.00000001,1,0),0),IF(ISNUMBER(H459),IF(ABS(H459-ROUND(H459,$E$6))&gt;0.00000001,1,0),0),IF(ISNUMBER(I459),IF(ABS(I459-ROUND(I459,$E$6))&gt;0.00000001,1,0),0),IF(ISNUMBER(J459),IF(ABS(J459-ROUND(J459,$E$6))&gt;0.00000001,1,0),0),IF(ISNUMBER(M459),IF(ABS(M459-ROUND(M459,$E$6))&gt;0.00000001,1,0),0))&gt;0,1,0),0)</f>
        <v>0</v>
      </c>
      <c r="AA459" s="0" t="n">
        <f>IF(COUNTA(B459:L459)=0,0,IF(OR(AND(ISNUMBER(F459),F459&lt;0),AND(U459=1,OR(SUM(IF(ISNUMBER(G459),IF(G459=0,1,0),0),IF(ISNUMBER(H459),IF(H459=0,1,0),0),IF(ISNUMBER(I459),IF(I459=0,1,0),0),IF(ISNUMBER(J459),IF(J459=0,1,0),0))&gt;0,COUNTIFS(G459:J459,"&lt;0")&gt;0)),AND(P459="DIMENSIONES",U459=1,OR(AND(S459="m",COUNT(H459:J459)&lt;&gt;1),AND(S459="m²",COUNT(H459:J459)&lt;&gt;2,Y459=0),AND(S459="m³",COUNT(H459:J459)&lt;&gt;3),AND(S459="ud",COUNT(H459:J459)&gt;0))),AND(P459="DIRECTA",OR(S459="m",S459="m²",S459="m³"))),1,0))</f>
        <v>0</v>
      </c>
      <c r="AB459" s="0">
        <f>IF(LEN(TRIM(E459&amp;""))&gt;0,E459,IF(R459&gt;0,INDEX($E$13:$E$512,R459),""))</f>
      </c>
      <c r="AC459" s="0">
        <f>UPPER(SUBSTITUTE(SUBSTITUTE(SUBSTITUTE(SUBSTITUTE(SUBSTITUTE(TRIM(AB459),"²","2"),"³","3"),"^",""),".","")," ",""))</f>
      </c>
    </row>
    <row r="460" ht="35" customHeight="1">
      <c r="B460" s="35"/>
      <c r="C460" s="35"/>
      <c r="D460" s="37"/>
      <c r="E460" s="35"/>
      <c r="F460" s="38"/>
      <c r="G460" s="38"/>
      <c r="H460" s="38"/>
      <c r="I460" s="38"/>
      <c r="J460" s="38"/>
      <c r="K460" s="35"/>
      <c r="L460" s="35"/>
      <c r="M460" s="39">
        <f>IF(U460&lt;&gt;1,"",IF(P460="DIRECTA",G460,IF(ISNUMBER(G460),G460,1)*IF(ISNUMBER(H460),H460,1)*IF(ISNUMBER(I460),I460,1)*IF(ISNUMBER(J460),J460,1)))</f>
      </c>
      <c r="N460" s="30">
        <f>IF(COUNTA(B460:L460)=0,"",IF(X460=0,IF(P460="CABECERA","VERDE · Fila descriptiva; la suma usa las líneas del ID","VERDE · Datos numéricos interpretables"),IF(X460=2,"ROJO · ","ÁMBAR · ")&amp;IF(NOT(IF(ISNUMBER($E$6),AND($E$6&gt;=0,$E$6&lt;=6,$E$6=INT($E$6)),FALSE)),"Indicamos entre 0 y 6 decimales en E6. ","")&amp;IF(O460=0,"Falta un ID numérico. ","")&amp;IF(R460=0,"Faltan capítulo, código, unidad o total numérico del ID. ","")&amp;IF(T460&gt;0,"Los datos o el total del ID se contradicen. ","")&amp;IF(AND(P460&lt;&gt;"DIMENSIONES",P460&lt;&gt;"DIRECTA",P460&lt;&gt;"SIN LÍNEAS",P460&lt;&gt;"CABECERA"),"Tipo de fila no reconocido. ","")&amp;IF(AND(OR(P460="SIN LÍNEAS",P460="CABECERA"),COUNTA(G460:J460)&gt;0),"La fila dice que no mide, pero contiene medidas. ","")&amp;IF(AND(OR(P460="DIRECTA",P460="DIMENSIONES"),U460=0),"Línea incompleta o con medidas no numéricas. ","")&amp;IF(P460="SIN LÍNEAS","No constan medidas de esta fila. ","")&amp;IF(Y460&gt;0,"Parece m³: tres dimensiones bajo m². ","")&amp;IF(AND(AB460&lt;&gt;"",SUMPRODUCT(--('LÉEME'!$B$65:$B$86=AC460))&lt;&gt;1),"Revisamos el significado de la unidad. ","")&amp;IF(Z460&gt;0,"Más precisión que los decimales indicados: cotejamos el original. ","")&amp;IF(AA460&gt;0,"Revisamos dimensiones, cantidad directa, ceros o deducción. ","")))</f>
      </c>
      <c r="O460" s="0" t="n">
        <f>IF(ISNUMBER(K460),IF(AND(K460&gt;0,K460=INT(K460),K460&lt;=999999),K460,0),0)</f>
        <v>0</v>
      </c>
      <c r="P460" s="0">
        <f>IF(COUNTA(B460:L460)=0,"",IF(L460="",IF(COUNTA(G460:J460)&gt;0,"DIMENSIONES","SIN LÍNEAS"),UPPER(TRIM(L460))))</f>
      </c>
      <c r="Q460" s="0">
        <f>IF(AND(O460&gt;0,LEN(TRIM(B460&amp;""))&gt;0,LEN(TRIM(C460&amp;""))&gt;0,LEN(TRIM(E460&amp;""))&gt;0,ISNUMBER(F460)),O460,"")</f>
      </c>
      <c r="R460" s="0" t="n">
        <f>IF(O460=0,0,IF(COUNTIFS($Q$13:$Q$512,O460)&gt;0,MATCH(O460,$Q$13:$Q$512,0),0))</f>
        <v>0</v>
      </c>
      <c r="S460" s="0">
        <f>IF(AB460="","",IF(SUMPRODUCT(--('LÉEME'!$B$65:$B$86=AC460))=1,INDEX('LÉEME'!$C$65:$C$86,MATCH(AC460,'LÉEME'!$B$65:$B$86,0)),UPPER(TRIM(AB460))))</f>
      </c>
      <c r="T460" s="0" t="n">
        <f>IF(R460=0,0,IF(OR(AND(LEN(TRIM(B460&amp;""))&gt;0,UPPER(TRIM(B460&amp;""))&lt;&gt;UPPER(TRIM(INDEX($B$13:$B$512,R460)&amp;""))),AND(LEN(TRIM(C460&amp;""))&gt;0,UPPER(TRIM(C460&amp;""))&lt;&gt;UPPER(TRIM(INDEX($C$13:$C$512,R460)&amp;""))),AND(LEN(TRIM(E460&amp;""))&gt;0,S460&lt;&gt;INDEX($S$13:$S$512,R460)),AND(F460&lt;&gt;"",NOT(ISNUMBER(F460)))),1,IF(ISNUMBER(F460),IF(ABS(F460-INDEX($F$13:$F$512,R460))&gt;0.00000001,1,0),0)))</f>
        <v>0</v>
      </c>
      <c r="U460" s="0" t="n">
        <f>IF(P460="DIRECTA",IF(AND(ISNUMBER(G460),COUNTA(H460:J460)=0),1,0),IF(P460="DIMENSIONES",IF(AND(COUNT(G460:J460)&gt;0,COUNTA(G460:J460)=COUNT(G460:J460)),1,0),0))</f>
        <v>0</v>
      </c>
      <c r="V460" s="0" t="n">
        <f>IF(O460=0,0,IF(COUNTIFS($O$13:O460,O460)=1,1,0))</f>
        <v>0</v>
      </c>
      <c r="W460" s="0">
        <f>IF(V460=1,COUNTIFS($V$13:V460,1),"")</f>
      </c>
      <c r="X460" s="0">
        <f>IF(COUNTA(B460:L460)=0,"",IF(OR(NOT(IF(ISNUMBER($E$6),AND($E$6&gt;=0,$E$6&lt;=6,$E$6=INT($E$6)),FALSE)),O460=0,R460=0,T460&gt;0,AND(P460&lt;&gt;"DIMENSIONES",P460&lt;&gt;"DIRECTA",P460&lt;&gt;"SIN LÍNEAS",P460&lt;&gt;"CABECERA"),AND(OR(P460="DIRECTA",P460="DIMENSIONES"),U460=0),AND(OR(P460="SIN LÍNEAS",P460="CABECERA"),COUNTA(G460:J460)&gt;0)),2,IF(OR(P460="SIN LÍNEAS",Y460&gt;0,Z460&gt;0,AA460&gt;0,SUMPRODUCT(--('LÉEME'!$B$65:$B$86=AC460))&lt;&gt;1),1,0)))</f>
      </c>
      <c r="Y460" s="0" t="n">
        <f>IF(AND(P460="DIMENSIONES",S460="m²",COUNT(H460:J460)=3),1,0)</f>
        <v>0</v>
      </c>
      <c r="Z460" s="0" t="n">
        <f>IF(IF(ISNUMBER($E$6),AND($E$6&gt;=0,$E$6&lt;=6,$E$6=INT($E$6)),FALSE),IF(SUM(IF(ISNUMBER(F460),IF(ABS(F460-ROUND(F460,$E$6))&gt;0.00000001,1,0),0),IF(ISNUMBER(G460),IF(ABS(G460-ROUND(G460,$E$6))&gt;0.00000001,1,0),0),IF(ISNUMBER(H460),IF(ABS(H460-ROUND(H460,$E$6))&gt;0.00000001,1,0),0),IF(ISNUMBER(I460),IF(ABS(I460-ROUND(I460,$E$6))&gt;0.00000001,1,0),0),IF(ISNUMBER(J460),IF(ABS(J460-ROUND(J460,$E$6))&gt;0.00000001,1,0),0),IF(ISNUMBER(M460),IF(ABS(M460-ROUND(M460,$E$6))&gt;0.00000001,1,0),0))&gt;0,1,0),0)</f>
        <v>0</v>
      </c>
      <c r="AA460" s="0" t="n">
        <f>IF(COUNTA(B460:L460)=0,0,IF(OR(AND(ISNUMBER(F460),F460&lt;0),AND(U460=1,OR(SUM(IF(ISNUMBER(G460),IF(G460=0,1,0),0),IF(ISNUMBER(H460),IF(H460=0,1,0),0),IF(ISNUMBER(I460),IF(I460=0,1,0),0),IF(ISNUMBER(J460),IF(J460=0,1,0),0))&gt;0,COUNTIFS(G460:J460,"&lt;0")&gt;0)),AND(P460="DIMENSIONES",U460=1,OR(AND(S460="m",COUNT(H460:J460)&lt;&gt;1),AND(S460="m²",COUNT(H460:J460)&lt;&gt;2,Y460=0),AND(S460="m³",COUNT(H460:J460)&lt;&gt;3),AND(S460="ud",COUNT(H460:J460)&gt;0))),AND(P460="DIRECTA",OR(S460="m",S460="m²",S460="m³"))),1,0))</f>
        <v>0</v>
      </c>
      <c r="AB460" s="0">
        <f>IF(LEN(TRIM(E460&amp;""))&gt;0,E460,IF(R460&gt;0,INDEX($E$13:$E$512,R460),""))</f>
      </c>
      <c r="AC460" s="0">
        <f>UPPER(SUBSTITUTE(SUBSTITUTE(SUBSTITUTE(SUBSTITUTE(SUBSTITUTE(TRIM(AB460),"²","2"),"³","3"),"^",""),".","")," ",""))</f>
      </c>
    </row>
    <row r="461" ht="35" customHeight="1">
      <c r="B461" s="35"/>
      <c r="C461" s="35"/>
      <c r="D461" s="37"/>
      <c r="E461" s="35"/>
      <c r="F461" s="38"/>
      <c r="G461" s="38"/>
      <c r="H461" s="38"/>
      <c r="I461" s="38"/>
      <c r="J461" s="38"/>
      <c r="K461" s="35"/>
      <c r="L461" s="35"/>
      <c r="M461" s="39">
        <f>IF(U461&lt;&gt;1,"",IF(P461="DIRECTA",G461,IF(ISNUMBER(G461),G461,1)*IF(ISNUMBER(H461),H461,1)*IF(ISNUMBER(I461),I461,1)*IF(ISNUMBER(J461),J461,1)))</f>
      </c>
      <c r="N461" s="30">
        <f>IF(COUNTA(B461:L461)=0,"",IF(X461=0,IF(P461="CABECERA","VERDE · Fila descriptiva; la suma usa las líneas del ID","VERDE · Datos numéricos interpretables"),IF(X461=2,"ROJO · ","ÁMBAR · ")&amp;IF(NOT(IF(ISNUMBER($E$6),AND($E$6&gt;=0,$E$6&lt;=6,$E$6=INT($E$6)),FALSE)),"Indicamos entre 0 y 6 decimales en E6. ","")&amp;IF(O461=0,"Falta un ID numérico. ","")&amp;IF(R461=0,"Faltan capítulo, código, unidad o total numérico del ID. ","")&amp;IF(T461&gt;0,"Los datos o el total del ID se contradicen. ","")&amp;IF(AND(P461&lt;&gt;"DIMENSIONES",P461&lt;&gt;"DIRECTA",P461&lt;&gt;"SIN LÍNEAS",P461&lt;&gt;"CABECERA"),"Tipo de fila no reconocido. ","")&amp;IF(AND(OR(P461="SIN LÍNEAS",P461="CABECERA"),COUNTA(G461:J461)&gt;0),"La fila dice que no mide, pero contiene medidas. ","")&amp;IF(AND(OR(P461="DIRECTA",P461="DIMENSIONES"),U461=0),"Línea incompleta o con medidas no numéricas. ","")&amp;IF(P461="SIN LÍNEAS","No constan medidas de esta fila. ","")&amp;IF(Y461&gt;0,"Parece m³: tres dimensiones bajo m². ","")&amp;IF(AND(AB461&lt;&gt;"",SUMPRODUCT(--('LÉEME'!$B$65:$B$86=AC461))&lt;&gt;1),"Revisamos el significado de la unidad. ","")&amp;IF(Z461&gt;0,"Más precisión que los decimales indicados: cotejamos el original. ","")&amp;IF(AA461&gt;0,"Revisamos dimensiones, cantidad directa, ceros o deducción. ","")))</f>
      </c>
      <c r="O461" s="0" t="n">
        <f>IF(ISNUMBER(K461),IF(AND(K461&gt;0,K461=INT(K461),K461&lt;=999999),K461,0),0)</f>
        <v>0</v>
      </c>
      <c r="P461" s="0">
        <f>IF(COUNTA(B461:L461)=0,"",IF(L461="",IF(COUNTA(G461:J461)&gt;0,"DIMENSIONES","SIN LÍNEAS"),UPPER(TRIM(L461))))</f>
      </c>
      <c r="Q461" s="0">
        <f>IF(AND(O461&gt;0,LEN(TRIM(B461&amp;""))&gt;0,LEN(TRIM(C461&amp;""))&gt;0,LEN(TRIM(E461&amp;""))&gt;0,ISNUMBER(F461)),O461,"")</f>
      </c>
      <c r="R461" s="0" t="n">
        <f>IF(O461=0,0,IF(COUNTIFS($Q$13:$Q$512,O461)&gt;0,MATCH(O461,$Q$13:$Q$512,0),0))</f>
        <v>0</v>
      </c>
      <c r="S461" s="0">
        <f>IF(AB461="","",IF(SUMPRODUCT(--('LÉEME'!$B$65:$B$86=AC461))=1,INDEX('LÉEME'!$C$65:$C$86,MATCH(AC461,'LÉEME'!$B$65:$B$86,0)),UPPER(TRIM(AB461))))</f>
      </c>
      <c r="T461" s="0" t="n">
        <f>IF(R461=0,0,IF(OR(AND(LEN(TRIM(B461&amp;""))&gt;0,UPPER(TRIM(B461&amp;""))&lt;&gt;UPPER(TRIM(INDEX($B$13:$B$512,R461)&amp;""))),AND(LEN(TRIM(C461&amp;""))&gt;0,UPPER(TRIM(C461&amp;""))&lt;&gt;UPPER(TRIM(INDEX($C$13:$C$512,R461)&amp;""))),AND(LEN(TRIM(E461&amp;""))&gt;0,S461&lt;&gt;INDEX($S$13:$S$512,R461)),AND(F461&lt;&gt;"",NOT(ISNUMBER(F461)))),1,IF(ISNUMBER(F461),IF(ABS(F461-INDEX($F$13:$F$512,R461))&gt;0.00000001,1,0),0)))</f>
        <v>0</v>
      </c>
      <c r="U461" s="0" t="n">
        <f>IF(P461="DIRECTA",IF(AND(ISNUMBER(G461),COUNTA(H461:J461)=0),1,0),IF(P461="DIMENSIONES",IF(AND(COUNT(G461:J461)&gt;0,COUNTA(G461:J461)=COUNT(G461:J461)),1,0),0))</f>
        <v>0</v>
      </c>
      <c r="V461" s="0" t="n">
        <f>IF(O461=0,0,IF(COUNTIFS($O$13:O461,O461)=1,1,0))</f>
        <v>0</v>
      </c>
      <c r="W461" s="0">
        <f>IF(V461=1,COUNTIFS($V$13:V461,1),"")</f>
      </c>
      <c r="X461" s="0">
        <f>IF(COUNTA(B461:L461)=0,"",IF(OR(NOT(IF(ISNUMBER($E$6),AND($E$6&gt;=0,$E$6&lt;=6,$E$6=INT($E$6)),FALSE)),O461=0,R461=0,T461&gt;0,AND(P461&lt;&gt;"DIMENSIONES",P461&lt;&gt;"DIRECTA",P461&lt;&gt;"SIN LÍNEAS",P461&lt;&gt;"CABECERA"),AND(OR(P461="DIRECTA",P461="DIMENSIONES"),U461=0),AND(OR(P461="SIN LÍNEAS",P461="CABECERA"),COUNTA(G461:J461)&gt;0)),2,IF(OR(P461="SIN LÍNEAS",Y461&gt;0,Z461&gt;0,AA461&gt;0,SUMPRODUCT(--('LÉEME'!$B$65:$B$86=AC461))&lt;&gt;1),1,0)))</f>
      </c>
      <c r="Y461" s="0" t="n">
        <f>IF(AND(P461="DIMENSIONES",S461="m²",COUNT(H461:J461)=3),1,0)</f>
        <v>0</v>
      </c>
      <c r="Z461" s="0" t="n">
        <f>IF(IF(ISNUMBER($E$6),AND($E$6&gt;=0,$E$6&lt;=6,$E$6=INT($E$6)),FALSE),IF(SUM(IF(ISNUMBER(F461),IF(ABS(F461-ROUND(F461,$E$6))&gt;0.00000001,1,0),0),IF(ISNUMBER(G461),IF(ABS(G461-ROUND(G461,$E$6))&gt;0.00000001,1,0),0),IF(ISNUMBER(H461),IF(ABS(H461-ROUND(H461,$E$6))&gt;0.00000001,1,0),0),IF(ISNUMBER(I461),IF(ABS(I461-ROUND(I461,$E$6))&gt;0.00000001,1,0),0),IF(ISNUMBER(J461),IF(ABS(J461-ROUND(J461,$E$6))&gt;0.00000001,1,0),0),IF(ISNUMBER(M461),IF(ABS(M461-ROUND(M461,$E$6))&gt;0.00000001,1,0),0))&gt;0,1,0),0)</f>
        <v>0</v>
      </c>
      <c r="AA461" s="0" t="n">
        <f>IF(COUNTA(B461:L461)=0,0,IF(OR(AND(ISNUMBER(F461),F461&lt;0),AND(U461=1,OR(SUM(IF(ISNUMBER(G461),IF(G461=0,1,0),0),IF(ISNUMBER(H461),IF(H461=0,1,0),0),IF(ISNUMBER(I461),IF(I461=0,1,0),0),IF(ISNUMBER(J461),IF(J461=0,1,0),0))&gt;0,COUNTIFS(G461:J461,"&lt;0")&gt;0)),AND(P461="DIMENSIONES",U461=1,OR(AND(S461="m",COUNT(H461:J461)&lt;&gt;1),AND(S461="m²",COUNT(H461:J461)&lt;&gt;2,Y461=0),AND(S461="m³",COUNT(H461:J461)&lt;&gt;3),AND(S461="ud",COUNT(H461:J461)&gt;0))),AND(P461="DIRECTA",OR(S461="m",S461="m²",S461="m³"))),1,0))</f>
        <v>0</v>
      </c>
      <c r="AB461" s="0">
        <f>IF(LEN(TRIM(E461&amp;""))&gt;0,E461,IF(R461&gt;0,INDEX($E$13:$E$512,R461),""))</f>
      </c>
      <c r="AC461" s="0">
        <f>UPPER(SUBSTITUTE(SUBSTITUTE(SUBSTITUTE(SUBSTITUTE(SUBSTITUTE(TRIM(AB461),"²","2"),"³","3"),"^",""),".","")," ",""))</f>
      </c>
    </row>
    <row r="462" ht="35" customHeight="1">
      <c r="B462" s="35"/>
      <c r="C462" s="35"/>
      <c r="D462" s="37"/>
      <c r="E462" s="35"/>
      <c r="F462" s="38"/>
      <c r="G462" s="38"/>
      <c r="H462" s="38"/>
      <c r="I462" s="38"/>
      <c r="J462" s="38"/>
      <c r="K462" s="35"/>
      <c r="L462" s="35"/>
      <c r="M462" s="39">
        <f>IF(U462&lt;&gt;1,"",IF(P462="DIRECTA",G462,IF(ISNUMBER(G462),G462,1)*IF(ISNUMBER(H462),H462,1)*IF(ISNUMBER(I462),I462,1)*IF(ISNUMBER(J462),J462,1)))</f>
      </c>
      <c r="N462" s="30">
        <f>IF(COUNTA(B462:L462)=0,"",IF(X462=0,IF(P462="CABECERA","VERDE · Fila descriptiva; la suma usa las líneas del ID","VERDE · Datos numéricos interpretables"),IF(X462=2,"ROJO · ","ÁMBAR · ")&amp;IF(NOT(IF(ISNUMBER($E$6),AND($E$6&gt;=0,$E$6&lt;=6,$E$6=INT($E$6)),FALSE)),"Indicamos entre 0 y 6 decimales en E6. ","")&amp;IF(O462=0,"Falta un ID numérico. ","")&amp;IF(R462=0,"Faltan capítulo, código, unidad o total numérico del ID. ","")&amp;IF(T462&gt;0,"Los datos o el total del ID se contradicen. ","")&amp;IF(AND(P462&lt;&gt;"DIMENSIONES",P462&lt;&gt;"DIRECTA",P462&lt;&gt;"SIN LÍNEAS",P462&lt;&gt;"CABECERA"),"Tipo de fila no reconocido. ","")&amp;IF(AND(OR(P462="SIN LÍNEAS",P462="CABECERA"),COUNTA(G462:J462)&gt;0),"La fila dice que no mide, pero contiene medidas. ","")&amp;IF(AND(OR(P462="DIRECTA",P462="DIMENSIONES"),U462=0),"Línea incompleta o con medidas no numéricas. ","")&amp;IF(P462="SIN LÍNEAS","No constan medidas de esta fila. ","")&amp;IF(Y462&gt;0,"Parece m³: tres dimensiones bajo m². ","")&amp;IF(AND(AB462&lt;&gt;"",SUMPRODUCT(--('LÉEME'!$B$65:$B$86=AC462))&lt;&gt;1),"Revisamos el significado de la unidad. ","")&amp;IF(Z462&gt;0,"Más precisión que los decimales indicados: cotejamos el original. ","")&amp;IF(AA462&gt;0,"Revisamos dimensiones, cantidad directa, ceros o deducción. ","")))</f>
      </c>
      <c r="O462" s="0" t="n">
        <f>IF(ISNUMBER(K462),IF(AND(K462&gt;0,K462=INT(K462),K462&lt;=999999),K462,0),0)</f>
        <v>0</v>
      </c>
      <c r="P462" s="0">
        <f>IF(COUNTA(B462:L462)=0,"",IF(L462="",IF(COUNTA(G462:J462)&gt;0,"DIMENSIONES","SIN LÍNEAS"),UPPER(TRIM(L462))))</f>
      </c>
      <c r="Q462" s="0">
        <f>IF(AND(O462&gt;0,LEN(TRIM(B462&amp;""))&gt;0,LEN(TRIM(C462&amp;""))&gt;0,LEN(TRIM(E462&amp;""))&gt;0,ISNUMBER(F462)),O462,"")</f>
      </c>
      <c r="R462" s="0" t="n">
        <f>IF(O462=0,0,IF(COUNTIFS($Q$13:$Q$512,O462)&gt;0,MATCH(O462,$Q$13:$Q$512,0),0))</f>
        <v>0</v>
      </c>
      <c r="S462" s="0">
        <f>IF(AB462="","",IF(SUMPRODUCT(--('LÉEME'!$B$65:$B$86=AC462))=1,INDEX('LÉEME'!$C$65:$C$86,MATCH(AC462,'LÉEME'!$B$65:$B$86,0)),UPPER(TRIM(AB462))))</f>
      </c>
      <c r="T462" s="0" t="n">
        <f>IF(R462=0,0,IF(OR(AND(LEN(TRIM(B462&amp;""))&gt;0,UPPER(TRIM(B462&amp;""))&lt;&gt;UPPER(TRIM(INDEX($B$13:$B$512,R462)&amp;""))),AND(LEN(TRIM(C462&amp;""))&gt;0,UPPER(TRIM(C462&amp;""))&lt;&gt;UPPER(TRIM(INDEX($C$13:$C$512,R462)&amp;""))),AND(LEN(TRIM(E462&amp;""))&gt;0,S462&lt;&gt;INDEX($S$13:$S$512,R462)),AND(F462&lt;&gt;"",NOT(ISNUMBER(F462)))),1,IF(ISNUMBER(F462),IF(ABS(F462-INDEX($F$13:$F$512,R462))&gt;0.00000001,1,0),0)))</f>
        <v>0</v>
      </c>
      <c r="U462" s="0" t="n">
        <f>IF(P462="DIRECTA",IF(AND(ISNUMBER(G462),COUNTA(H462:J462)=0),1,0),IF(P462="DIMENSIONES",IF(AND(COUNT(G462:J462)&gt;0,COUNTA(G462:J462)=COUNT(G462:J462)),1,0),0))</f>
        <v>0</v>
      </c>
      <c r="V462" s="0" t="n">
        <f>IF(O462=0,0,IF(COUNTIFS($O$13:O462,O462)=1,1,0))</f>
        <v>0</v>
      </c>
      <c r="W462" s="0">
        <f>IF(V462=1,COUNTIFS($V$13:V462,1),"")</f>
      </c>
      <c r="X462" s="0">
        <f>IF(COUNTA(B462:L462)=0,"",IF(OR(NOT(IF(ISNUMBER($E$6),AND($E$6&gt;=0,$E$6&lt;=6,$E$6=INT($E$6)),FALSE)),O462=0,R462=0,T462&gt;0,AND(P462&lt;&gt;"DIMENSIONES",P462&lt;&gt;"DIRECTA",P462&lt;&gt;"SIN LÍNEAS",P462&lt;&gt;"CABECERA"),AND(OR(P462="DIRECTA",P462="DIMENSIONES"),U462=0),AND(OR(P462="SIN LÍNEAS",P462="CABECERA"),COUNTA(G462:J462)&gt;0)),2,IF(OR(P462="SIN LÍNEAS",Y462&gt;0,Z462&gt;0,AA462&gt;0,SUMPRODUCT(--('LÉEME'!$B$65:$B$86=AC462))&lt;&gt;1),1,0)))</f>
      </c>
      <c r="Y462" s="0" t="n">
        <f>IF(AND(P462="DIMENSIONES",S462="m²",COUNT(H462:J462)=3),1,0)</f>
        <v>0</v>
      </c>
      <c r="Z462" s="0" t="n">
        <f>IF(IF(ISNUMBER($E$6),AND($E$6&gt;=0,$E$6&lt;=6,$E$6=INT($E$6)),FALSE),IF(SUM(IF(ISNUMBER(F462),IF(ABS(F462-ROUND(F462,$E$6))&gt;0.00000001,1,0),0),IF(ISNUMBER(G462),IF(ABS(G462-ROUND(G462,$E$6))&gt;0.00000001,1,0),0),IF(ISNUMBER(H462),IF(ABS(H462-ROUND(H462,$E$6))&gt;0.00000001,1,0),0),IF(ISNUMBER(I462),IF(ABS(I462-ROUND(I462,$E$6))&gt;0.00000001,1,0),0),IF(ISNUMBER(J462),IF(ABS(J462-ROUND(J462,$E$6))&gt;0.00000001,1,0),0),IF(ISNUMBER(M462),IF(ABS(M462-ROUND(M462,$E$6))&gt;0.00000001,1,0),0))&gt;0,1,0),0)</f>
        <v>0</v>
      </c>
      <c r="AA462" s="0" t="n">
        <f>IF(COUNTA(B462:L462)=0,0,IF(OR(AND(ISNUMBER(F462),F462&lt;0),AND(U462=1,OR(SUM(IF(ISNUMBER(G462),IF(G462=0,1,0),0),IF(ISNUMBER(H462),IF(H462=0,1,0),0),IF(ISNUMBER(I462),IF(I462=0,1,0),0),IF(ISNUMBER(J462),IF(J462=0,1,0),0))&gt;0,COUNTIFS(G462:J462,"&lt;0")&gt;0)),AND(P462="DIMENSIONES",U462=1,OR(AND(S462="m",COUNT(H462:J462)&lt;&gt;1),AND(S462="m²",COUNT(H462:J462)&lt;&gt;2,Y462=0),AND(S462="m³",COUNT(H462:J462)&lt;&gt;3),AND(S462="ud",COUNT(H462:J462)&gt;0))),AND(P462="DIRECTA",OR(S462="m",S462="m²",S462="m³"))),1,0))</f>
        <v>0</v>
      </c>
      <c r="AB462" s="0">
        <f>IF(LEN(TRIM(E462&amp;""))&gt;0,E462,IF(R462&gt;0,INDEX($E$13:$E$512,R462),""))</f>
      </c>
      <c r="AC462" s="0">
        <f>UPPER(SUBSTITUTE(SUBSTITUTE(SUBSTITUTE(SUBSTITUTE(SUBSTITUTE(TRIM(AB462),"²","2"),"³","3"),"^",""),".","")," ",""))</f>
      </c>
    </row>
    <row r="463" ht="35" customHeight="1">
      <c r="B463" s="35"/>
      <c r="C463" s="35"/>
      <c r="D463" s="37"/>
      <c r="E463" s="35"/>
      <c r="F463" s="38"/>
      <c r="G463" s="38"/>
      <c r="H463" s="38"/>
      <c r="I463" s="38"/>
      <c r="J463" s="38"/>
      <c r="K463" s="35"/>
      <c r="L463" s="35"/>
      <c r="M463" s="39">
        <f>IF(U463&lt;&gt;1,"",IF(P463="DIRECTA",G463,IF(ISNUMBER(G463),G463,1)*IF(ISNUMBER(H463),H463,1)*IF(ISNUMBER(I463),I463,1)*IF(ISNUMBER(J463),J463,1)))</f>
      </c>
      <c r="N463" s="30">
        <f>IF(COUNTA(B463:L463)=0,"",IF(X463=0,IF(P463="CABECERA","VERDE · Fila descriptiva; la suma usa las líneas del ID","VERDE · Datos numéricos interpretables"),IF(X463=2,"ROJO · ","ÁMBAR · ")&amp;IF(NOT(IF(ISNUMBER($E$6),AND($E$6&gt;=0,$E$6&lt;=6,$E$6=INT($E$6)),FALSE)),"Indicamos entre 0 y 6 decimales en E6. ","")&amp;IF(O463=0,"Falta un ID numérico. ","")&amp;IF(R463=0,"Faltan capítulo, código, unidad o total numérico del ID. ","")&amp;IF(T463&gt;0,"Los datos o el total del ID se contradicen. ","")&amp;IF(AND(P463&lt;&gt;"DIMENSIONES",P463&lt;&gt;"DIRECTA",P463&lt;&gt;"SIN LÍNEAS",P463&lt;&gt;"CABECERA"),"Tipo de fila no reconocido. ","")&amp;IF(AND(OR(P463="SIN LÍNEAS",P463="CABECERA"),COUNTA(G463:J463)&gt;0),"La fila dice que no mide, pero contiene medidas. ","")&amp;IF(AND(OR(P463="DIRECTA",P463="DIMENSIONES"),U463=0),"Línea incompleta o con medidas no numéricas. ","")&amp;IF(P463="SIN LÍNEAS","No constan medidas de esta fila. ","")&amp;IF(Y463&gt;0,"Parece m³: tres dimensiones bajo m². ","")&amp;IF(AND(AB463&lt;&gt;"",SUMPRODUCT(--('LÉEME'!$B$65:$B$86=AC463))&lt;&gt;1),"Revisamos el significado de la unidad. ","")&amp;IF(Z463&gt;0,"Más precisión que los decimales indicados: cotejamos el original. ","")&amp;IF(AA463&gt;0,"Revisamos dimensiones, cantidad directa, ceros o deducción. ","")))</f>
      </c>
      <c r="O463" s="0" t="n">
        <f>IF(ISNUMBER(K463),IF(AND(K463&gt;0,K463=INT(K463),K463&lt;=999999),K463,0),0)</f>
        <v>0</v>
      </c>
      <c r="P463" s="0">
        <f>IF(COUNTA(B463:L463)=0,"",IF(L463="",IF(COUNTA(G463:J463)&gt;0,"DIMENSIONES","SIN LÍNEAS"),UPPER(TRIM(L463))))</f>
      </c>
      <c r="Q463" s="0">
        <f>IF(AND(O463&gt;0,LEN(TRIM(B463&amp;""))&gt;0,LEN(TRIM(C463&amp;""))&gt;0,LEN(TRIM(E463&amp;""))&gt;0,ISNUMBER(F463)),O463,"")</f>
      </c>
      <c r="R463" s="0" t="n">
        <f>IF(O463=0,0,IF(COUNTIFS($Q$13:$Q$512,O463)&gt;0,MATCH(O463,$Q$13:$Q$512,0),0))</f>
        <v>0</v>
      </c>
      <c r="S463" s="0">
        <f>IF(AB463="","",IF(SUMPRODUCT(--('LÉEME'!$B$65:$B$86=AC463))=1,INDEX('LÉEME'!$C$65:$C$86,MATCH(AC463,'LÉEME'!$B$65:$B$86,0)),UPPER(TRIM(AB463))))</f>
      </c>
      <c r="T463" s="0" t="n">
        <f>IF(R463=0,0,IF(OR(AND(LEN(TRIM(B463&amp;""))&gt;0,UPPER(TRIM(B463&amp;""))&lt;&gt;UPPER(TRIM(INDEX($B$13:$B$512,R463)&amp;""))),AND(LEN(TRIM(C463&amp;""))&gt;0,UPPER(TRIM(C463&amp;""))&lt;&gt;UPPER(TRIM(INDEX($C$13:$C$512,R463)&amp;""))),AND(LEN(TRIM(E463&amp;""))&gt;0,S463&lt;&gt;INDEX($S$13:$S$512,R463)),AND(F463&lt;&gt;"",NOT(ISNUMBER(F463)))),1,IF(ISNUMBER(F463),IF(ABS(F463-INDEX($F$13:$F$512,R463))&gt;0.00000001,1,0),0)))</f>
        <v>0</v>
      </c>
      <c r="U463" s="0" t="n">
        <f>IF(P463="DIRECTA",IF(AND(ISNUMBER(G463),COUNTA(H463:J463)=0),1,0),IF(P463="DIMENSIONES",IF(AND(COUNT(G463:J463)&gt;0,COUNTA(G463:J463)=COUNT(G463:J463)),1,0),0))</f>
        <v>0</v>
      </c>
      <c r="V463" s="0" t="n">
        <f>IF(O463=0,0,IF(COUNTIFS($O$13:O463,O463)=1,1,0))</f>
        <v>0</v>
      </c>
      <c r="W463" s="0">
        <f>IF(V463=1,COUNTIFS($V$13:V463,1),"")</f>
      </c>
      <c r="X463" s="0">
        <f>IF(COUNTA(B463:L463)=0,"",IF(OR(NOT(IF(ISNUMBER($E$6),AND($E$6&gt;=0,$E$6&lt;=6,$E$6=INT($E$6)),FALSE)),O463=0,R463=0,T463&gt;0,AND(P463&lt;&gt;"DIMENSIONES",P463&lt;&gt;"DIRECTA",P463&lt;&gt;"SIN LÍNEAS",P463&lt;&gt;"CABECERA"),AND(OR(P463="DIRECTA",P463="DIMENSIONES"),U463=0),AND(OR(P463="SIN LÍNEAS",P463="CABECERA"),COUNTA(G463:J463)&gt;0)),2,IF(OR(P463="SIN LÍNEAS",Y463&gt;0,Z463&gt;0,AA463&gt;0,SUMPRODUCT(--('LÉEME'!$B$65:$B$86=AC463))&lt;&gt;1),1,0)))</f>
      </c>
      <c r="Y463" s="0" t="n">
        <f>IF(AND(P463="DIMENSIONES",S463="m²",COUNT(H463:J463)=3),1,0)</f>
        <v>0</v>
      </c>
      <c r="Z463" s="0" t="n">
        <f>IF(IF(ISNUMBER($E$6),AND($E$6&gt;=0,$E$6&lt;=6,$E$6=INT($E$6)),FALSE),IF(SUM(IF(ISNUMBER(F463),IF(ABS(F463-ROUND(F463,$E$6))&gt;0.00000001,1,0),0),IF(ISNUMBER(G463),IF(ABS(G463-ROUND(G463,$E$6))&gt;0.00000001,1,0),0),IF(ISNUMBER(H463),IF(ABS(H463-ROUND(H463,$E$6))&gt;0.00000001,1,0),0),IF(ISNUMBER(I463),IF(ABS(I463-ROUND(I463,$E$6))&gt;0.00000001,1,0),0),IF(ISNUMBER(J463),IF(ABS(J463-ROUND(J463,$E$6))&gt;0.00000001,1,0),0),IF(ISNUMBER(M463),IF(ABS(M463-ROUND(M463,$E$6))&gt;0.00000001,1,0),0))&gt;0,1,0),0)</f>
        <v>0</v>
      </c>
      <c r="AA463" s="0" t="n">
        <f>IF(COUNTA(B463:L463)=0,0,IF(OR(AND(ISNUMBER(F463),F463&lt;0),AND(U463=1,OR(SUM(IF(ISNUMBER(G463),IF(G463=0,1,0),0),IF(ISNUMBER(H463),IF(H463=0,1,0),0),IF(ISNUMBER(I463),IF(I463=0,1,0),0),IF(ISNUMBER(J463),IF(J463=0,1,0),0))&gt;0,COUNTIFS(G463:J463,"&lt;0")&gt;0)),AND(P463="DIMENSIONES",U463=1,OR(AND(S463="m",COUNT(H463:J463)&lt;&gt;1),AND(S463="m²",COUNT(H463:J463)&lt;&gt;2,Y463=0),AND(S463="m³",COUNT(H463:J463)&lt;&gt;3),AND(S463="ud",COUNT(H463:J463)&gt;0))),AND(P463="DIRECTA",OR(S463="m",S463="m²",S463="m³"))),1,0))</f>
        <v>0</v>
      </c>
      <c r="AB463" s="0">
        <f>IF(LEN(TRIM(E463&amp;""))&gt;0,E463,IF(R463&gt;0,INDEX($E$13:$E$512,R463),""))</f>
      </c>
      <c r="AC463" s="0">
        <f>UPPER(SUBSTITUTE(SUBSTITUTE(SUBSTITUTE(SUBSTITUTE(SUBSTITUTE(TRIM(AB463),"²","2"),"³","3"),"^",""),".","")," ",""))</f>
      </c>
    </row>
    <row r="464" ht="35" customHeight="1">
      <c r="B464" s="35"/>
      <c r="C464" s="35"/>
      <c r="D464" s="37"/>
      <c r="E464" s="35"/>
      <c r="F464" s="38"/>
      <c r="G464" s="38"/>
      <c r="H464" s="38"/>
      <c r="I464" s="38"/>
      <c r="J464" s="38"/>
      <c r="K464" s="35"/>
      <c r="L464" s="35"/>
      <c r="M464" s="39">
        <f>IF(U464&lt;&gt;1,"",IF(P464="DIRECTA",G464,IF(ISNUMBER(G464),G464,1)*IF(ISNUMBER(H464),H464,1)*IF(ISNUMBER(I464),I464,1)*IF(ISNUMBER(J464),J464,1)))</f>
      </c>
      <c r="N464" s="30">
        <f>IF(COUNTA(B464:L464)=0,"",IF(X464=0,IF(P464="CABECERA","VERDE · Fila descriptiva; la suma usa las líneas del ID","VERDE · Datos numéricos interpretables"),IF(X464=2,"ROJO · ","ÁMBAR · ")&amp;IF(NOT(IF(ISNUMBER($E$6),AND($E$6&gt;=0,$E$6&lt;=6,$E$6=INT($E$6)),FALSE)),"Indicamos entre 0 y 6 decimales en E6. ","")&amp;IF(O464=0,"Falta un ID numérico. ","")&amp;IF(R464=0,"Faltan capítulo, código, unidad o total numérico del ID. ","")&amp;IF(T464&gt;0,"Los datos o el total del ID se contradicen. ","")&amp;IF(AND(P464&lt;&gt;"DIMENSIONES",P464&lt;&gt;"DIRECTA",P464&lt;&gt;"SIN LÍNEAS",P464&lt;&gt;"CABECERA"),"Tipo de fila no reconocido. ","")&amp;IF(AND(OR(P464="SIN LÍNEAS",P464="CABECERA"),COUNTA(G464:J464)&gt;0),"La fila dice que no mide, pero contiene medidas. ","")&amp;IF(AND(OR(P464="DIRECTA",P464="DIMENSIONES"),U464=0),"Línea incompleta o con medidas no numéricas. ","")&amp;IF(P464="SIN LÍNEAS","No constan medidas de esta fila. ","")&amp;IF(Y464&gt;0,"Parece m³: tres dimensiones bajo m². ","")&amp;IF(AND(AB464&lt;&gt;"",SUMPRODUCT(--('LÉEME'!$B$65:$B$86=AC464))&lt;&gt;1),"Revisamos el significado de la unidad. ","")&amp;IF(Z464&gt;0,"Más precisión que los decimales indicados: cotejamos el original. ","")&amp;IF(AA464&gt;0,"Revisamos dimensiones, cantidad directa, ceros o deducción. ","")))</f>
      </c>
      <c r="O464" s="0" t="n">
        <f>IF(ISNUMBER(K464),IF(AND(K464&gt;0,K464=INT(K464),K464&lt;=999999),K464,0),0)</f>
        <v>0</v>
      </c>
      <c r="P464" s="0">
        <f>IF(COUNTA(B464:L464)=0,"",IF(L464="",IF(COUNTA(G464:J464)&gt;0,"DIMENSIONES","SIN LÍNEAS"),UPPER(TRIM(L464))))</f>
      </c>
      <c r="Q464" s="0">
        <f>IF(AND(O464&gt;0,LEN(TRIM(B464&amp;""))&gt;0,LEN(TRIM(C464&amp;""))&gt;0,LEN(TRIM(E464&amp;""))&gt;0,ISNUMBER(F464)),O464,"")</f>
      </c>
      <c r="R464" s="0" t="n">
        <f>IF(O464=0,0,IF(COUNTIFS($Q$13:$Q$512,O464)&gt;0,MATCH(O464,$Q$13:$Q$512,0),0))</f>
        <v>0</v>
      </c>
      <c r="S464" s="0">
        <f>IF(AB464="","",IF(SUMPRODUCT(--('LÉEME'!$B$65:$B$86=AC464))=1,INDEX('LÉEME'!$C$65:$C$86,MATCH(AC464,'LÉEME'!$B$65:$B$86,0)),UPPER(TRIM(AB464))))</f>
      </c>
      <c r="T464" s="0" t="n">
        <f>IF(R464=0,0,IF(OR(AND(LEN(TRIM(B464&amp;""))&gt;0,UPPER(TRIM(B464&amp;""))&lt;&gt;UPPER(TRIM(INDEX($B$13:$B$512,R464)&amp;""))),AND(LEN(TRIM(C464&amp;""))&gt;0,UPPER(TRIM(C464&amp;""))&lt;&gt;UPPER(TRIM(INDEX($C$13:$C$512,R464)&amp;""))),AND(LEN(TRIM(E464&amp;""))&gt;0,S464&lt;&gt;INDEX($S$13:$S$512,R464)),AND(F464&lt;&gt;"",NOT(ISNUMBER(F464)))),1,IF(ISNUMBER(F464),IF(ABS(F464-INDEX($F$13:$F$512,R464))&gt;0.00000001,1,0),0)))</f>
        <v>0</v>
      </c>
      <c r="U464" s="0" t="n">
        <f>IF(P464="DIRECTA",IF(AND(ISNUMBER(G464),COUNTA(H464:J464)=0),1,0),IF(P464="DIMENSIONES",IF(AND(COUNT(G464:J464)&gt;0,COUNTA(G464:J464)=COUNT(G464:J464)),1,0),0))</f>
        <v>0</v>
      </c>
      <c r="V464" s="0" t="n">
        <f>IF(O464=0,0,IF(COUNTIFS($O$13:O464,O464)=1,1,0))</f>
        <v>0</v>
      </c>
      <c r="W464" s="0">
        <f>IF(V464=1,COUNTIFS($V$13:V464,1),"")</f>
      </c>
      <c r="X464" s="0">
        <f>IF(COUNTA(B464:L464)=0,"",IF(OR(NOT(IF(ISNUMBER($E$6),AND($E$6&gt;=0,$E$6&lt;=6,$E$6=INT($E$6)),FALSE)),O464=0,R464=0,T464&gt;0,AND(P464&lt;&gt;"DIMENSIONES",P464&lt;&gt;"DIRECTA",P464&lt;&gt;"SIN LÍNEAS",P464&lt;&gt;"CABECERA"),AND(OR(P464="DIRECTA",P464="DIMENSIONES"),U464=0),AND(OR(P464="SIN LÍNEAS",P464="CABECERA"),COUNTA(G464:J464)&gt;0)),2,IF(OR(P464="SIN LÍNEAS",Y464&gt;0,Z464&gt;0,AA464&gt;0,SUMPRODUCT(--('LÉEME'!$B$65:$B$86=AC464))&lt;&gt;1),1,0)))</f>
      </c>
      <c r="Y464" s="0" t="n">
        <f>IF(AND(P464="DIMENSIONES",S464="m²",COUNT(H464:J464)=3),1,0)</f>
        <v>0</v>
      </c>
      <c r="Z464" s="0" t="n">
        <f>IF(IF(ISNUMBER($E$6),AND($E$6&gt;=0,$E$6&lt;=6,$E$6=INT($E$6)),FALSE),IF(SUM(IF(ISNUMBER(F464),IF(ABS(F464-ROUND(F464,$E$6))&gt;0.00000001,1,0),0),IF(ISNUMBER(G464),IF(ABS(G464-ROUND(G464,$E$6))&gt;0.00000001,1,0),0),IF(ISNUMBER(H464),IF(ABS(H464-ROUND(H464,$E$6))&gt;0.00000001,1,0),0),IF(ISNUMBER(I464),IF(ABS(I464-ROUND(I464,$E$6))&gt;0.00000001,1,0),0),IF(ISNUMBER(J464),IF(ABS(J464-ROUND(J464,$E$6))&gt;0.00000001,1,0),0),IF(ISNUMBER(M464),IF(ABS(M464-ROUND(M464,$E$6))&gt;0.00000001,1,0),0))&gt;0,1,0),0)</f>
        <v>0</v>
      </c>
      <c r="AA464" s="0" t="n">
        <f>IF(COUNTA(B464:L464)=0,0,IF(OR(AND(ISNUMBER(F464),F464&lt;0),AND(U464=1,OR(SUM(IF(ISNUMBER(G464),IF(G464=0,1,0),0),IF(ISNUMBER(H464),IF(H464=0,1,0),0),IF(ISNUMBER(I464),IF(I464=0,1,0),0),IF(ISNUMBER(J464),IF(J464=0,1,0),0))&gt;0,COUNTIFS(G464:J464,"&lt;0")&gt;0)),AND(P464="DIMENSIONES",U464=1,OR(AND(S464="m",COUNT(H464:J464)&lt;&gt;1),AND(S464="m²",COUNT(H464:J464)&lt;&gt;2,Y464=0),AND(S464="m³",COUNT(H464:J464)&lt;&gt;3),AND(S464="ud",COUNT(H464:J464)&gt;0))),AND(P464="DIRECTA",OR(S464="m",S464="m²",S464="m³"))),1,0))</f>
        <v>0</v>
      </c>
      <c r="AB464" s="0">
        <f>IF(LEN(TRIM(E464&amp;""))&gt;0,E464,IF(R464&gt;0,INDEX($E$13:$E$512,R464),""))</f>
      </c>
      <c r="AC464" s="0">
        <f>UPPER(SUBSTITUTE(SUBSTITUTE(SUBSTITUTE(SUBSTITUTE(SUBSTITUTE(TRIM(AB464),"²","2"),"³","3"),"^",""),".","")," ",""))</f>
      </c>
    </row>
    <row r="465" ht="35" customHeight="1">
      <c r="B465" s="35"/>
      <c r="C465" s="35"/>
      <c r="D465" s="37"/>
      <c r="E465" s="35"/>
      <c r="F465" s="38"/>
      <c r="G465" s="38"/>
      <c r="H465" s="38"/>
      <c r="I465" s="38"/>
      <c r="J465" s="38"/>
      <c r="K465" s="35"/>
      <c r="L465" s="35"/>
      <c r="M465" s="39">
        <f>IF(U465&lt;&gt;1,"",IF(P465="DIRECTA",G465,IF(ISNUMBER(G465),G465,1)*IF(ISNUMBER(H465),H465,1)*IF(ISNUMBER(I465),I465,1)*IF(ISNUMBER(J465),J465,1)))</f>
      </c>
      <c r="N465" s="30">
        <f>IF(COUNTA(B465:L465)=0,"",IF(X465=0,IF(P465="CABECERA","VERDE · Fila descriptiva; la suma usa las líneas del ID","VERDE · Datos numéricos interpretables"),IF(X465=2,"ROJO · ","ÁMBAR · ")&amp;IF(NOT(IF(ISNUMBER($E$6),AND($E$6&gt;=0,$E$6&lt;=6,$E$6=INT($E$6)),FALSE)),"Indicamos entre 0 y 6 decimales en E6. ","")&amp;IF(O465=0,"Falta un ID numérico. ","")&amp;IF(R465=0,"Faltan capítulo, código, unidad o total numérico del ID. ","")&amp;IF(T465&gt;0,"Los datos o el total del ID se contradicen. ","")&amp;IF(AND(P465&lt;&gt;"DIMENSIONES",P465&lt;&gt;"DIRECTA",P465&lt;&gt;"SIN LÍNEAS",P465&lt;&gt;"CABECERA"),"Tipo de fila no reconocido. ","")&amp;IF(AND(OR(P465="SIN LÍNEAS",P465="CABECERA"),COUNTA(G465:J465)&gt;0),"La fila dice que no mide, pero contiene medidas. ","")&amp;IF(AND(OR(P465="DIRECTA",P465="DIMENSIONES"),U465=0),"Línea incompleta o con medidas no numéricas. ","")&amp;IF(P465="SIN LÍNEAS","No constan medidas de esta fila. ","")&amp;IF(Y465&gt;0,"Parece m³: tres dimensiones bajo m². ","")&amp;IF(AND(AB465&lt;&gt;"",SUMPRODUCT(--('LÉEME'!$B$65:$B$86=AC465))&lt;&gt;1),"Revisamos el significado de la unidad. ","")&amp;IF(Z465&gt;0,"Más precisión que los decimales indicados: cotejamos el original. ","")&amp;IF(AA465&gt;0,"Revisamos dimensiones, cantidad directa, ceros o deducción. ","")))</f>
      </c>
      <c r="O465" s="0" t="n">
        <f>IF(ISNUMBER(K465),IF(AND(K465&gt;0,K465=INT(K465),K465&lt;=999999),K465,0),0)</f>
        <v>0</v>
      </c>
      <c r="P465" s="0">
        <f>IF(COUNTA(B465:L465)=0,"",IF(L465="",IF(COUNTA(G465:J465)&gt;0,"DIMENSIONES","SIN LÍNEAS"),UPPER(TRIM(L465))))</f>
      </c>
      <c r="Q465" s="0">
        <f>IF(AND(O465&gt;0,LEN(TRIM(B465&amp;""))&gt;0,LEN(TRIM(C465&amp;""))&gt;0,LEN(TRIM(E465&amp;""))&gt;0,ISNUMBER(F465)),O465,"")</f>
      </c>
      <c r="R465" s="0" t="n">
        <f>IF(O465=0,0,IF(COUNTIFS($Q$13:$Q$512,O465)&gt;0,MATCH(O465,$Q$13:$Q$512,0),0))</f>
        <v>0</v>
      </c>
      <c r="S465" s="0">
        <f>IF(AB465="","",IF(SUMPRODUCT(--('LÉEME'!$B$65:$B$86=AC465))=1,INDEX('LÉEME'!$C$65:$C$86,MATCH(AC465,'LÉEME'!$B$65:$B$86,0)),UPPER(TRIM(AB465))))</f>
      </c>
      <c r="T465" s="0" t="n">
        <f>IF(R465=0,0,IF(OR(AND(LEN(TRIM(B465&amp;""))&gt;0,UPPER(TRIM(B465&amp;""))&lt;&gt;UPPER(TRIM(INDEX($B$13:$B$512,R465)&amp;""))),AND(LEN(TRIM(C465&amp;""))&gt;0,UPPER(TRIM(C465&amp;""))&lt;&gt;UPPER(TRIM(INDEX($C$13:$C$512,R465)&amp;""))),AND(LEN(TRIM(E465&amp;""))&gt;0,S465&lt;&gt;INDEX($S$13:$S$512,R465)),AND(F465&lt;&gt;"",NOT(ISNUMBER(F465)))),1,IF(ISNUMBER(F465),IF(ABS(F465-INDEX($F$13:$F$512,R465))&gt;0.00000001,1,0),0)))</f>
        <v>0</v>
      </c>
      <c r="U465" s="0" t="n">
        <f>IF(P465="DIRECTA",IF(AND(ISNUMBER(G465),COUNTA(H465:J465)=0),1,0),IF(P465="DIMENSIONES",IF(AND(COUNT(G465:J465)&gt;0,COUNTA(G465:J465)=COUNT(G465:J465)),1,0),0))</f>
        <v>0</v>
      </c>
      <c r="V465" s="0" t="n">
        <f>IF(O465=0,0,IF(COUNTIFS($O$13:O465,O465)=1,1,0))</f>
        <v>0</v>
      </c>
      <c r="W465" s="0">
        <f>IF(V465=1,COUNTIFS($V$13:V465,1),"")</f>
      </c>
      <c r="X465" s="0">
        <f>IF(COUNTA(B465:L465)=0,"",IF(OR(NOT(IF(ISNUMBER($E$6),AND($E$6&gt;=0,$E$6&lt;=6,$E$6=INT($E$6)),FALSE)),O465=0,R465=0,T465&gt;0,AND(P465&lt;&gt;"DIMENSIONES",P465&lt;&gt;"DIRECTA",P465&lt;&gt;"SIN LÍNEAS",P465&lt;&gt;"CABECERA"),AND(OR(P465="DIRECTA",P465="DIMENSIONES"),U465=0),AND(OR(P465="SIN LÍNEAS",P465="CABECERA"),COUNTA(G465:J465)&gt;0)),2,IF(OR(P465="SIN LÍNEAS",Y465&gt;0,Z465&gt;0,AA465&gt;0,SUMPRODUCT(--('LÉEME'!$B$65:$B$86=AC465))&lt;&gt;1),1,0)))</f>
      </c>
      <c r="Y465" s="0" t="n">
        <f>IF(AND(P465="DIMENSIONES",S465="m²",COUNT(H465:J465)=3),1,0)</f>
        <v>0</v>
      </c>
      <c r="Z465" s="0" t="n">
        <f>IF(IF(ISNUMBER($E$6),AND($E$6&gt;=0,$E$6&lt;=6,$E$6=INT($E$6)),FALSE),IF(SUM(IF(ISNUMBER(F465),IF(ABS(F465-ROUND(F465,$E$6))&gt;0.00000001,1,0),0),IF(ISNUMBER(G465),IF(ABS(G465-ROUND(G465,$E$6))&gt;0.00000001,1,0),0),IF(ISNUMBER(H465),IF(ABS(H465-ROUND(H465,$E$6))&gt;0.00000001,1,0),0),IF(ISNUMBER(I465),IF(ABS(I465-ROUND(I465,$E$6))&gt;0.00000001,1,0),0),IF(ISNUMBER(J465),IF(ABS(J465-ROUND(J465,$E$6))&gt;0.00000001,1,0),0),IF(ISNUMBER(M465),IF(ABS(M465-ROUND(M465,$E$6))&gt;0.00000001,1,0),0))&gt;0,1,0),0)</f>
        <v>0</v>
      </c>
      <c r="AA465" s="0" t="n">
        <f>IF(COUNTA(B465:L465)=0,0,IF(OR(AND(ISNUMBER(F465),F465&lt;0),AND(U465=1,OR(SUM(IF(ISNUMBER(G465),IF(G465=0,1,0),0),IF(ISNUMBER(H465),IF(H465=0,1,0),0),IF(ISNUMBER(I465),IF(I465=0,1,0),0),IF(ISNUMBER(J465),IF(J465=0,1,0),0))&gt;0,COUNTIFS(G465:J465,"&lt;0")&gt;0)),AND(P465="DIMENSIONES",U465=1,OR(AND(S465="m",COUNT(H465:J465)&lt;&gt;1),AND(S465="m²",COUNT(H465:J465)&lt;&gt;2,Y465=0),AND(S465="m³",COUNT(H465:J465)&lt;&gt;3),AND(S465="ud",COUNT(H465:J465)&gt;0))),AND(P465="DIRECTA",OR(S465="m",S465="m²",S465="m³"))),1,0))</f>
        <v>0</v>
      </c>
      <c r="AB465" s="0">
        <f>IF(LEN(TRIM(E465&amp;""))&gt;0,E465,IF(R465&gt;0,INDEX($E$13:$E$512,R465),""))</f>
      </c>
      <c r="AC465" s="0">
        <f>UPPER(SUBSTITUTE(SUBSTITUTE(SUBSTITUTE(SUBSTITUTE(SUBSTITUTE(TRIM(AB465),"²","2"),"³","3"),"^",""),".","")," ",""))</f>
      </c>
    </row>
    <row r="466" ht="35" customHeight="1">
      <c r="B466" s="35"/>
      <c r="C466" s="35"/>
      <c r="D466" s="37"/>
      <c r="E466" s="35"/>
      <c r="F466" s="38"/>
      <c r="G466" s="38"/>
      <c r="H466" s="38"/>
      <c r="I466" s="38"/>
      <c r="J466" s="38"/>
      <c r="K466" s="35"/>
      <c r="L466" s="35"/>
      <c r="M466" s="39">
        <f>IF(U466&lt;&gt;1,"",IF(P466="DIRECTA",G466,IF(ISNUMBER(G466),G466,1)*IF(ISNUMBER(H466),H466,1)*IF(ISNUMBER(I466),I466,1)*IF(ISNUMBER(J466),J466,1)))</f>
      </c>
      <c r="N466" s="30">
        <f>IF(COUNTA(B466:L466)=0,"",IF(X466=0,IF(P466="CABECERA","VERDE · Fila descriptiva; la suma usa las líneas del ID","VERDE · Datos numéricos interpretables"),IF(X466=2,"ROJO · ","ÁMBAR · ")&amp;IF(NOT(IF(ISNUMBER($E$6),AND($E$6&gt;=0,$E$6&lt;=6,$E$6=INT($E$6)),FALSE)),"Indicamos entre 0 y 6 decimales en E6. ","")&amp;IF(O466=0,"Falta un ID numérico. ","")&amp;IF(R466=0,"Faltan capítulo, código, unidad o total numérico del ID. ","")&amp;IF(T466&gt;0,"Los datos o el total del ID se contradicen. ","")&amp;IF(AND(P466&lt;&gt;"DIMENSIONES",P466&lt;&gt;"DIRECTA",P466&lt;&gt;"SIN LÍNEAS",P466&lt;&gt;"CABECERA"),"Tipo de fila no reconocido. ","")&amp;IF(AND(OR(P466="SIN LÍNEAS",P466="CABECERA"),COUNTA(G466:J466)&gt;0),"La fila dice que no mide, pero contiene medidas. ","")&amp;IF(AND(OR(P466="DIRECTA",P466="DIMENSIONES"),U466=0),"Línea incompleta o con medidas no numéricas. ","")&amp;IF(P466="SIN LÍNEAS","No constan medidas de esta fila. ","")&amp;IF(Y466&gt;0,"Parece m³: tres dimensiones bajo m². ","")&amp;IF(AND(AB466&lt;&gt;"",SUMPRODUCT(--('LÉEME'!$B$65:$B$86=AC466))&lt;&gt;1),"Revisamos el significado de la unidad. ","")&amp;IF(Z466&gt;0,"Más precisión que los decimales indicados: cotejamos el original. ","")&amp;IF(AA466&gt;0,"Revisamos dimensiones, cantidad directa, ceros o deducción. ","")))</f>
      </c>
      <c r="O466" s="0" t="n">
        <f>IF(ISNUMBER(K466),IF(AND(K466&gt;0,K466=INT(K466),K466&lt;=999999),K466,0),0)</f>
        <v>0</v>
      </c>
      <c r="P466" s="0">
        <f>IF(COUNTA(B466:L466)=0,"",IF(L466="",IF(COUNTA(G466:J466)&gt;0,"DIMENSIONES","SIN LÍNEAS"),UPPER(TRIM(L466))))</f>
      </c>
      <c r="Q466" s="0">
        <f>IF(AND(O466&gt;0,LEN(TRIM(B466&amp;""))&gt;0,LEN(TRIM(C466&amp;""))&gt;0,LEN(TRIM(E466&amp;""))&gt;0,ISNUMBER(F466)),O466,"")</f>
      </c>
      <c r="R466" s="0" t="n">
        <f>IF(O466=0,0,IF(COUNTIFS($Q$13:$Q$512,O466)&gt;0,MATCH(O466,$Q$13:$Q$512,0),0))</f>
        <v>0</v>
      </c>
      <c r="S466" s="0">
        <f>IF(AB466="","",IF(SUMPRODUCT(--('LÉEME'!$B$65:$B$86=AC466))=1,INDEX('LÉEME'!$C$65:$C$86,MATCH(AC466,'LÉEME'!$B$65:$B$86,0)),UPPER(TRIM(AB466))))</f>
      </c>
      <c r="T466" s="0" t="n">
        <f>IF(R466=0,0,IF(OR(AND(LEN(TRIM(B466&amp;""))&gt;0,UPPER(TRIM(B466&amp;""))&lt;&gt;UPPER(TRIM(INDEX($B$13:$B$512,R466)&amp;""))),AND(LEN(TRIM(C466&amp;""))&gt;0,UPPER(TRIM(C466&amp;""))&lt;&gt;UPPER(TRIM(INDEX($C$13:$C$512,R466)&amp;""))),AND(LEN(TRIM(E466&amp;""))&gt;0,S466&lt;&gt;INDEX($S$13:$S$512,R466)),AND(F466&lt;&gt;"",NOT(ISNUMBER(F466)))),1,IF(ISNUMBER(F466),IF(ABS(F466-INDEX($F$13:$F$512,R466))&gt;0.00000001,1,0),0)))</f>
        <v>0</v>
      </c>
      <c r="U466" s="0" t="n">
        <f>IF(P466="DIRECTA",IF(AND(ISNUMBER(G466),COUNTA(H466:J466)=0),1,0),IF(P466="DIMENSIONES",IF(AND(COUNT(G466:J466)&gt;0,COUNTA(G466:J466)=COUNT(G466:J466)),1,0),0))</f>
        <v>0</v>
      </c>
      <c r="V466" s="0" t="n">
        <f>IF(O466=0,0,IF(COUNTIFS($O$13:O466,O466)=1,1,0))</f>
        <v>0</v>
      </c>
      <c r="W466" s="0">
        <f>IF(V466=1,COUNTIFS($V$13:V466,1),"")</f>
      </c>
      <c r="X466" s="0">
        <f>IF(COUNTA(B466:L466)=0,"",IF(OR(NOT(IF(ISNUMBER($E$6),AND($E$6&gt;=0,$E$6&lt;=6,$E$6=INT($E$6)),FALSE)),O466=0,R466=0,T466&gt;0,AND(P466&lt;&gt;"DIMENSIONES",P466&lt;&gt;"DIRECTA",P466&lt;&gt;"SIN LÍNEAS",P466&lt;&gt;"CABECERA"),AND(OR(P466="DIRECTA",P466="DIMENSIONES"),U466=0),AND(OR(P466="SIN LÍNEAS",P466="CABECERA"),COUNTA(G466:J466)&gt;0)),2,IF(OR(P466="SIN LÍNEAS",Y466&gt;0,Z466&gt;0,AA466&gt;0,SUMPRODUCT(--('LÉEME'!$B$65:$B$86=AC466))&lt;&gt;1),1,0)))</f>
      </c>
      <c r="Y466" s="0" t="n">
        <f>IF(AND(P466="DIMENSIONES",S466="m²",COUNT(H466:J466)=3),1,0)</f>
        <v>0</v>
      </c>
      <c r="Z466" s="0" t="n">
        <f>IF(IF(ISNUMBER($E$6),AND($E$6&gt;=0,$E$6&lt;=6,$E$6=INT($E$6)),FALSE),IF(SUM(IF(ISNUMBER(F466),IF(ABS(F466-ROUND(F466,$E$6))&gt;0.00000001,1,0),0),IF(ISNUMBER(G466),IF(ABS(G466-ROUND(G466,$E$6))&gt;0.00000001,1,0),0),IF(ISNUMBER(H466),IF(ABS(H466-ROUND(H466,$E$6))&gt;0.00000001,1,0),0),IF(ISNUMBER(I466),IF(ABS(I466-ROUND(I466,$E$6))&gt;0.00000001,1,0),0),IF(ISNUMBER(J466),IF(ABS(J466-ROUND(J466,$E$6))&gt;0.00000001,1,0),0),IF(ISNUMBER(M466),IF(ABS(M466-ROUND(M466,$E$6))&gt;0.00000001,1,0),0))&gt;0,1,0),0)</f>
        <v>0</v>
      </c>
      <c r="AA466" s="0" t="n">
        <f>IF(COUNTA(B466:L466)=0,0,IF(OR(AND(ISNUMBER(F466),F466&lt;0),AND(U466=1,OR(SUM(IF(ISNUMBER(G466),IF(G466=0,1,0),0),IF(ISNUMBER(H466),IF(H466=0,1,0),0),IF(ISNUMBER(I466),IF(I466=0,1,0),0),IF(ISNUMBER(J466),IF(J466=0,1,0),0))&gt;0,COUNTIFS(G466:J466,"&lt;0")&gt;0)),AND(P466="DIMENSIONES",U466=1,OR(AND(S466="m",COUNT(H466:J466)&lt;&gt;1),AND(S466="m²",COUNT(H466:J466)&lt;&gt;2,Y466=0),AND(S466="m³",COUNT(H466:J466)&lt;&gt;3),AND(S466="ud",COUNT(H466:J466)&gt;0))),AND(P466="DIRECTA",OR(S466="m",S466="m²",S466="m³"))),1,0))</f>
        <v>0</v>
      </c>
      <c r="AB466" s="0">
        <f>IF(LEN(TRIM(E466&amp;""))&gt;0,E466,IF(R466&gt;0,INDEX($E$13:$E$512,R466),""))</f>
      </c>
      <c r="AC466" s="0">
        <f>UPPER(SUBSTITUTE(SUBSTITUTE(SUBSTITUTE(SUBSTITUTE(SUBSTITUTE(TRIM(AB466),"²","2"),"³","3"),"^",""),".","")," ",""))</f>
      </c>
    </row>
    <row r="467" ht="35" customHeight="1">
      <c r="B467" s="35"/>
      <c r="C467" s="35"/>
      <c r="D467" s="37"/>
      <c r="E467" s="35"/>
      <c r="F467" s="38"/>
      <c r="G467" s="38"/>
      <c r="H467" s="38"/>
      <c r="I467" s="38"/>
      <c r="J467" s="38"/>
      <c r="K467" s="35"/>
      <c r="L467" s="35"/>
      <c r="M467" s="39">
        <f>IF(U467&lt;&gt;1,"",IF(P467="DIRECTA",G467,IF(ISNUMBER(G467),G467,1)*IF(ISNUMBER(H467),H467,1)*IF(ISNUMBER(I467),I467,1)*IF(ISNUMBER(J467),J467,1)))</f>
      </c>
      <c r="N467" s="30">
        <f>IF(COUNTA(B467:L467)=0,"",IF(X467=0,IF(P467="CABECERA","VERDE · Fila descriptiva; la suma usa las líneas del ID","VERDE · Datos numéricos interpretables"),IF(X467=2,"ROJO · ","ÁMBAR · ")&amp;IF(NOT(IF(ISNUMBER($E$6),AND($E$6&gt;=0,$E$6&lt;=6,$E$6=INT($E$6)),FALSE)),"Indicamos entre 0 y 6 decimales en E6. ","")&amp;IF(O467=0,"Falta un ID numérico. ","")&amp;IF(R467=0,"Faltan capítulo, código, unidad o total numérico del ID. ","")&amp;IF(T467&gt;0,"Los datos o el total del ID se contradicen. ","")&amp;IF(AND(P467&lt;&gt;"DIMENSIONES",P467&lt;&gt;"DIRECTA",P467&lt;&gt;"SIN LÍNEAS",P467&lt;&gt;"CABECERA"),"Tipo de fila no reconocido. ","")&amp;IF(AND(OR(P467="SIN LÍNEAS",P467="CABECERA"),COUNTA(G467:J467)&gt;0),"La fila dice que no mide, pero contiene medidas. ","")&amp;IF(AND(OR(P467="DIRECTA",P467="DIMENSIONES"),U467=0),"Línea incompleta o con medidas no numéricas. ","")&amp;IF(P467="SIN LÍNEAS","No constan medidas de esta fila. ","")&amp;IF(Y467&gt;0,"Parece m³: tres dimensiones bajo m². ","")&amp;IF(AND(AB467&lt;&gt;"",SUMPRODUCT(--('LÉEME'!$B$65:$B$86=AC467))&lt;&gt;1),"Revisamos el significado de la unidad. ","")&amp;IF(Z467&gt;0,"Más precisión que los decimales indicados: cotejamos el original. ","")&amp;IF(AA467&gt;0,"Revisamos dimensiones, cantidad directa, ceros o deducción. ","")))</f>
      </c>
      <c r="O467" s="0" t="n">
        <f>IF(ISNUMBER(K467),IF(AND(K467&gt;0,K467=INT(K467),K467&lt;=999999),K467,0),0)</f>
        <v>0</v>
      </c>
      <c r="P467" s="0">
        <f>IF(COUNTA(B467:L467)=0,"",IF(L467="",IF(COUNTA(G467:J467)&gt;0,"DIMENSIONES","SIN LÍNEAS"),UPPER(TRIM(L467))))</f>
      </c>
      <c r="Q467" s="0">
        <f>IF(AND(O467&gt;0,LEN(TRIM(B467&amp;""))&gt;0,LEN(TRIM(C467&amp;""))&gt;0,LEN(TRIM(E467&amp;""))&gt;0,ISNUMBER(F467)),O467,"")</f>
      </c>
      <c r="R467" s="0" t="n">
        <f>IF(O467=0,0,IF(COUNTIFS($Q$13:$Q$512,O467)&gt;0,MATCH(O467,$Q$13:$Q$512,0),0))</f>
        <v>0</v>
      </c>
      <c r="S467" s="0">
        <f>IF(AB467="","",IF(SUMPRODUCT(--('LÉEME'!$B$65:$B$86=AC467))=1,INDEX('LÉEME'!$C$65:$C$86,MATCH(AC467,'LÉEME'!$B$65:$B$86,0)),UPPER(TRIM(AB467))))</f>
      </c>
      <c r="T467" s="0" t="n">
        <f>IF(R467=0,0,IF(OR(AND(LEN(TRIM(B467&amp;""))&gt;0,UPPER(TRIM(B467&amp;""))&lt;&gt;UPPER(TRIM(INDEX($B$13:$B$512,R467)&amp;""))),AND(LEN(TRIM(C467&amp;""))&gt;0,UPPER(TRIM(C467&amp;""))&lt;&gt;UPPER(TRIM(INDEX($C$13:$C$512,R467)&amp;""))),AND(LEN(TRIM(E467&amp;""))&gt;0,S467&lt;&gt;INDEX($S$13:$S$512,R467)),AND(F467&lt;&gt;"",NOT(ISNUMBER(F467)))),1,IF(ISNUMBER(F467),IF(ABS(F467-INDEX($F$13:$F$512,R467))&gt;0.00000001,1,0),0)))</f>
        <v>0</v>
      </c>
      <c r="U467" s="0" t="n">
        <f>IF(P467="DIRECTA",IF(AND(ISNUMBER(G467),COUNTA(H467:J467)=0),1,0),IF(P467="DIMENSIONES",IF(AND(COUNT(G467:J467)&gt;0,COUNTA(G467:J467)=COUNT(G467:J467)),1,0),0))</f>
        <v>0</v>
      </c>
      <c r="V467" s="0" t="n">
        <f>IF(O467=0,0,IF(COUNTIFS($O$13:O467,O467)=1,1,0))</f>
        <v>0</v>
      </c>
      <c r="W467" s="0">
        <f>IF(V467=1,COUNTIFS($V$13:V467,1),"")</f>
      </c>
      <c r="X467" s="0">
        <f>IF(COUNTA(B467:L467)=0,"",IF(OR(NOT(IF(ISNUMBER($E$6),AND($E$6&gt;=0,$E$6&lt;=6,$E$6=INT($E$6)),FALSE)),O467=0,R467=0,T467&gt;0,AND(P467&lt;&gt;"DIMENSIONES",P467&lt;&gt;"DIRECTA",P467&lt;&gt;"SIN LÍNEAS",P467&lt;&gt;"CABECERA"),AND(OR(P467="DIRECTA",P467="DIMENSIONES"),U467=0),AND(OR(P467="SIN LÍNEAS",P467="CABECERA"),COUNTA(G467:J467)&gt;0)),2,IF(OR(P467="SIN LÍNEAS",Y467&gt;0,Z467&gt;0,AA467&gt;0,SUMPRODUCT(--('LÉEME'!$B$65:$B$86=AC467))&lt;&gt;1),1,0)))</f>
      </c>
      <c r="Y467" s="0" t="n">
        <f>IF(AND(P467="DIMENSIONES",S467="m²",COUNT(H467:J467)=3),1,0)</f>
        <v>0</v>
      </c>
      <c r="Z467" s="0" t="n">
        <f>IF(IF(ISNUMBER($E$6),AND($E$6&gt;=0,$E$6&lt;=6,$E$6=INT($E$6)),FALSE),IF(SUM(IF(ISNUMBER(F467),IF(ABS(F467-ROUND(F467,$E$6))&gt;0.00000001,1,0),0),IF(ISNUMBER(G467),IF(ABS(G467-ROUND(G467,$E$6))&gt;0.00000001,1,0),0),IF(ISNUMBER(H467),IF(ABS(H467-ROUND(H467,$E$6))&gt;0.00000001,1,0),0),IF(ISNUMBER(I467),IF(ABS(I467-ROUND(I467,$E$6))&gt;0.00000001,1,0),0),IF(ISNUMBER(J467),IF(ABS(J467-ROUND(J467,$E$6))&gt;0.00000001,1,0),0),IF(ISNUMBER(M467),IF(ABS(M467-ROUND(M467,$E$6))&gt;0.00000001,1,0),0))&gt;0,1,0),0)</f>
        <v>0</v>
      </c>
      <c r="AA467" s="0" t="n">
        <f>IF(COUNTA(B467:L467)=0,0,IF(OR(AND(ISNUMBER(F467),F467&lt;0),AND(U467=1,OR(SUM(IF(ISNUMBER(G467),IF(G467=0,1,0),0),IF(ISNUMBER(H467),IF(H467=0,1,0),0),IF(ISNUMBER(I467),IF(I467=0,1,0),0),IF(ISNUMBER(J467),IF(J467=0,1,0),0))&gt;0,COUNTIFS(G467:J467,"&lt;0")&gt;0)),AND(P467="DIMENSIONES",U467=1,OR(AND(S467="m",COUNT(H467:J467)&lt;&gt;1),AND(S467="m²",COUNT(H467:J467)&lt;&gt;2,Y467=0),AND(S467="m³",COUNT(H467:J467)&lt;&gt;3),AND(S467="ud",COUNT(H467:J467)&gt;0))),AND(P467="DIRECTA",OR(S467="m",S467="m²",S467="m³"))),1,0))</f>
        <v>0</v>
      </c>
      <c r="AB467" s="0">
        <f>IF(LEN(TRIM(E467&amp;""))&gt;0,E467,IF(R467&gt;0,INDEX($E$13:$E$512,R467),""))</f>
      </c>
      <c r="AC467" s="0">
        <f>UPPER(SUBSTITUTE(SUBSTITUTE(SUBSTITUTE(SUBSTITUTE(SUBSTITUTE(TRIM(AB467),"²","2"),"³","3"),"^",""),".","")," ",""))</f>
      </c>
    </row>
    <row r="468" ht="35" customHeight="1">
      <c r="B468" s="35"/>
      <c r="C468" s="35"/>
      <c r="D468" s="37"/>
      <c r="E468" s="35"/>
      <c r="F468" s="38"/>
      <c r="G468" s="38"/>
      <c r="H468" s="38"/>
      <c r="I468" s="38"/>
      <c r="J468" s="38"/>
      <c r="K468" s="35"/>
      <c r="L468" s="35"/>
      <c r="M468" s="39">
        <f>IF(U468&lt;&gt;1,"",IF(P468="DIRECTA",G468,IF(ISNUMBER(G468),G468,1)*IF(ISNUMBER(H468),H468,1)*IF(ISNUMBER(I468),I468,1)*IF(ISNUMBER(J468),J468,1)))</f>
      </c>
      <c r="N468" s="30">
        <f>IF(COUNTA(B468:L468)=0,"",IF(X468=0,IF(P468="CABECERA","VERDE · Fila descriptiva; la suma usa las líneas del ID","VERDE · Datos numéricos interpretables"),IF(X468=2,"ROJO · ","ÁMBAR · ")&amp;IF(NOT(IF(ISNUMBER($E$6),AND($E$6&gt;=0,$E$6&lt;=6,$E$6=INT($E$6)),FALSE)),"Indicamos entre 0 y 6 decimales en E6. ","")&amp;IF(O468=0,"Falta un ID numérico. ","")&amp;IF(R468=0,"Faltan capítulo, código, unidad o total numérico del ID. ","")&amp;IF(T468&gt;0,"Los datos o el total del ID se contradicen. ","")&amp;IF(AND(P468&lt;&gt;"DIMENSIONES",P468&lt;&gt;"DIRECTA",P468&lt;&gt;"SIN LÍNEAS",P468&lt;&gt;"CABECERA"),"Tipo de fila no reconocido. ","")&amp;IF(AND(OR(P468="SIN LÍNEAS",P468="CABECERA"),COUNTA(G468:J468)&gt;0),"La fila dice que no mide, pero contiene medidas. ","")&amp;IF(AND(OR(P468="DIRECTA",P468="DIMENSIONES"),U468=0),"Línea incompleta o con medidas no numéricas. ","")&amp;IF(P468="SIN LÍNEAS","No constan medidas de esta fila. ","")&amp;IF(Y468&gt;0,"Parece m³: tres dimensiones bajo m². ","")&amp;IF(AND(AB468&lt;&gt;"",SUMPRODUCT(--('LÉEME'!$B$65:$B$86=AC468))&lt;&gt;1),"Revisamos el significado de la unidad. ","")&amp;IF(Z468&gt;0,"Más precisión que los decimales indicados: cotejamos el original. ","")&amp;IF(AA468&gt;0,"Revisamos dimensiones, cantidad directa, ceros o deducción. ","")))</f>
      </c>
      <c r="O468" s="0" t="n">
        <f>IF(ISNUMBER(K468),IF(AND(K468&gt;0,K468=INT(K468),K468&lt;=999999),K468,0),0)</f>
        <v>0</v>
      </c>
      <c r="P468" s="0">
        <f>IF(COUNTA(B468:L468)=0,"",IF(L468="",IF(COUNTA(G468:J468)&gt;0,"DIMENSIONES","SIN LÍNEAS"),UPPER(TRIM(L468))))</f>
      </c>
      <c r="Q468" s="0">
        <f>IF(AND(O468&gt;0,LEN(TRIM(B468&amp;""))&gt;0,LEN(TRIM(C468&amp;""))&gt;0,LEN(TRIM(E468&amp;""))&gt;0,ISNUMBER(F468)),O468,"")</f>
      </c>
      <c r="R468" s="0" t="n">
        <f>IF(O468=0,0,IF(COUNTIFS($Q$13:$Q$512,O468)&gt;0,MATCH(O468,$Q$13:$Q$512,0),0))</f>
        <v>0</v>
      </c>
      <c r="S468" s="0">
        <f>IF(AB468="","",IF(SUMPRODUCT(--('LÉEME'!$B$65:$B$86=AC468))=1,INDEX('LÉEME'!$C$65:$C$86,MATCH(AC468,'LÉEME'!$B$65:$B$86,0)),UPPER(TRIM(AB468))))</f>
      </c>
      <c r="T468" s="0" t="n">
        <f>IF(R468=0,0,IF(OR(AND(LEN(TRIM(B468&amp;""))&gt;0,UPPER(TRIM(B468&amp;""))&lt;&gt;UPPER(TRIM(INDEX($B$13:$B$512,R468)&amp;""))),AND(LEN(TRIM(C468&amp;""))&gt;0,UPPER(TRIM(C468&amp;""))&lt;&gt;UPPER(TRIM(INDEX($C$13:$C$512,R468)&amp;""))),AND(LEN(TRIM(E468&amp;""))&gt;0,S468&lt;&gt;INDEX($S$13:$S$512,R468)),AND(F468&lt;&gt;"",NOT(ISNUMBER(F468)))),1,IF(ISNUMBER(F468),IF(ABS(F468-INDEX($F$13:$F$512,R468))&gt;0.00000001,1,0),0)))</f>
        <v>0</v>
      </c>
      <c r="U468" s="0" t="n">
        <f>IF(P468="DIRECTA",IF(AND(ISNUMBER(G468),COUNTA(H468:J468)=0),1,0),IF(P468="DIMENSIONES",IF(AND(COUNT(G468:J468)&gt;0,COUNTA(G468:J468)=COUNT(G468:J468)),1,0),0))</f>
        <v>0</v>
      </c>
      <c r="V468" s="0" t="n">
        <f>IF(O468=0,0,IF(COUNTIFS($O$13:O468,O468)=1,1,0))</f>
        <v>0</v>
      </c>
      <c r="W468" s="0">
        <f>IF(V468=1,COUNTIFS($V$13:V468,1),"")</f>
      </c>
      <c r="X468" s="0">
        <f>IF(COUNTA(B468:L468)=0,"",IF(OR(NOT(IF(ISNUMBER($E$6),AND($E$6&gt;=0,$E$6&lt;=6,$E$6=INT($E$6)),FALSE)),O468=0,R468=0,T468&gt;0,AND(P468&lt;&gt;"DIMENSIONES",P468&lt;&gt;"DIRECTA",P468&lt;&gt;"SIN LÍNEAS",P468&lt;&gt;"CABECERA"),AND(OR(P468="DIRECTA",P468="DIMENSIONES"),U468=0),AND(OR(P468="SIN LÍNEAS",P468="CABECERA"),COUNTA(G468:J468)&gt;0)),2,IF(OR(P468="SIN LÍNEAS",Y468&gt;0,Z468&gt;0,AA468&gt;0,SUMPRODUCT(--('LÉEME'!$B$65:$B$86=AC468))&lt;&gt;1),1,0)))</f>
      </c>
      <c r="Y468" s="0" t="n">
        <f>IF(AND(P468="DIMENSIONES",S468="m²",COUNT(H468:J468)=3),1,0)</f>
        <v>0</v>
      </c>
      <c r="Z468" s="0" t="n">
        <f>IF(IF(ISNUMBER($E$6),AND($E$6&gt;=0,$E$6&lt;=6,$E$6=INT($E$6)),FALSE),IF(SUM(IF(ISNUMBER(F468),IF(ABS(F468-ROUND(F468,$E$6))&gt;0.00000001,1,0),0),IF(ISNUMBER(G468),IF(ABS(G468-ROUND(G468,$E$6))&gt;0.00000001,1,0),0),IF(ISNUMBER(H468),IF(ABS(H468-ROUND(H468,$E$6))&gt;0.00000001,1,0),0),IF(ISNUMBER(I468),IF(ABS(I468-ROUND(I468,$E$6))&gt;0.00000001,1,0),0),IF(ISNUMBER(J468),IF(ABS(J468-ROUND(J468,$E$6))&gt;0.00000001,1,0),0),IF(ISNUMBER(M468),IF(ABS(M468-ROUND(M468,$E$6))&gt;0.00000001,1,0),0))&gt;0,1,0),0)</f>
        <v>0</v>
      </c>
      <c r="AA468" s="0" t="n">
        <f>IF(COUNTA(B468:L468)=0,0,IF(OR(AND(ISNUMBER(F468),F468&lt;0),AND(U468=1,OR(SUM(IF(ISNUMBER(G468),IF(G468=0,1,0),0),IF(ISNUMBER(H468),IF(H468=0,1,0),0),IF(ISNUMBER(I468),IF(I468=0,1,0),0),IF(ISNUMBER(J468),IF(J468=0,1,0),0))&gt;0,COUNTIFS(G468:J468,"&lt;0")&gt;0)),AND(P468="DIMENSIONES",U468=1,OR(AND(S468="m",COUNT(H468:J468)&lt;&gt;1),AND(S468="m²",COUNT(H468:J468)&lt;&gt;2,Y468=0),AND(S468="m³",COUNT(H468:J468)&lt;&gt;3),AND(S468="ud",COUNT(H468:J468)&gt;0))),AND(P468="DIRECTA",OR(S468="m",S468="m²",S468="m³"))),1,0))</f>
        <v>0</v>
      </c>
      <c r="AB468" s="0">
        <f>IF(LEN(TRIM(E468&amp;""))&gt;0,E468,IF(R468&gt;0,INDEX($E$13:$E$512,R468),""))</f>
      </c>
      <c r="AC468" s="0">
        <f>UPPER(SUBSTITUTE(SUBSTITUTE(SUBSTITUTE(SUBSTITUTE(SUBSTITUTE(TRIM(AB468),"²","2"),"³","3"),"^",""),".","")," ",""))</f>
      </c>
    </row>
    <row r="469" ht="35" customHeight="1">
      <c r="B469" s="35"/>
      <c r="C469" s="35"/>
      <c r="D469" s="37"/>
      <c r="E469" s="35"/>
      <c r="F469" s="38"/>
      <c r="G469" s="38"/>
      <c r="H469" s="38"/>
      <c r="I469" s="38"/>
      <c r="J469" s="38"/>
      <c r="K469" s="35"/>
      <c r="L469" s="35"/>
      <c r="M469" s="39">
        <f>IF(U469&lt;&gt;1,"",IF(P469="DIRECTA",G469,IF(ISNUMBER(G469),G469,1)*IF(ISNUMBER(H469),H469,1)*IF(ISNUMBER(I469),I469,1)*IF(ISNUMBER(J469),J469,1)))</f>
      </c>
      <c r="N469" s="30">
        <f>IF(COUNTA(B469:L469)=0,"",IF(X469=0,IF(P469="CABECERA","VERDE · Fila descriptiva; la suma usa las líneas del ID","VERDE · Datos numéricos interpretables"),IF(X469=2,"ROJO · ","ÁMBAR · ")&amp;IF(NOT(IF(ISNUMBER($E$6),AND($E$6&gt;=0,$E$6&lt;=6,$E$6=INT($E$6)),FALSE)),"Indicamos entre 0 y 6 decimales en E6. ","")&amp;IF(O469=0,"Falta un ID numérico. ","")&amp;IF(R469=0,"Faltan capítulo, código, unidad o total numérico del ID. ","")&amp;IF(T469&gt;0,"Los datos o el total del ID se contradicen. ","")&amp;IF(AND(P469&lt;&gt;"DIMENSIONES",P469&lt;&gt;"DIRECTA",P469&lt;&gt;"SIN LÍNEAS",P469&lt;&gt;"CABECERA"),"Tipo de fila no reconocido. ","")&amp;IF(AND(OR(P469="SIN LÍNEAS",P469="CABECERA"),COUNTA(G469:J469)&gt;0),"La fila dice que no mide, pero contiene medidas. ","")&amp;IF(AND(OR(P469="DIRECTA",P469="DIMENSIONES"),U469=0),"Línea incompleta o con medidas no numéricas. ","")&amp;IF(P469="SIN LÍNEAS","No constan medidas de esta fila. ","")&amp;IF(Y469&gt;0,"Parece m³: tres dimensiones bajo m². ","")&amp;IF(AND(AB469&lt;&gt;"",SUMPRODUCT(--('LÉEME'!$B$65:$B$86=AC469))&lt;&gt;1),"Revisamos el significado de la unidad. ","")&amp;IF(Z469&gt;0,"Más precisión que los decimales indicados: cotejamos el original. ","")&amp;IF(AA469&gt;0,"Revisamos dimensiones, cantidad directa, ceros o deducción. ","")))</f>
      </c>
      <c r="O469" s="0" t="n">
        <f>IF(ISNUMBER(K469),IF(AND(K469&gt;0,K469=INT(K469),K469&lt;=999999),K469,0),0)</f>
        <v>0</v>
      </c>
      <c r="P469" s="0">
        <f>IF(COUNTA(B469:L469)=0,"",IF(L469="",IF(COUNTA(G469:J469)&gt;0,"DIMENSIONES","SIN LÍNEAS"),UPPER(TRIM(L469))))</f>
      </c>
      <c r="Q469" s="0">
        <f>IF(AND(O469&gt;0,LEN(TRIM(B469&amp;""))&gt;0,LEN(TRIM(C469&amp;""))&gt;0,LEN(TRIM(E469&amp;""))&gt;0,ISNUMBER(F469)),O469,"")</f>
      </c>
      <c r="R469" s="0" t="n">
        <f>IF(O469=0,0,IF(COUNTIFS($Q$13:$Q$512,O469)&gt;0,MATCH(O469,$Q$13:$Q$512,0),0))</f>
        <v>0</v>
      </c>
      <c r="S469" s="0">
        <f>IF(AB469="","",IF(SUMPRODUCT(--('LÉEME'!$B$65:$B$86=AC469))=1,INDEX('LÉEME'!$C$65:$C$86,MATCH(AC469,'LÉEME'!$B$65:$B$86,0)),UPPER(TRIM(AB469))))</f>
      </c>
      <c r="T469" s="0" t="n">
        <f>IF(R469=0,0,IF(OR(AND(LEN(TRIM(B469&amp;""))&gt;0,UPPER(TRIM(B469&amp;""))&lt;&gt;UPPER(TRIM(INDEX($B$13:$B$512,R469)&amp;""))),AND(LEN(TRIM(C469&amp;""))&gt;0,UPPER(TRIM(C469&amp;""))&lt;&gt;UPPER(TRIM(INDEX($C$13:$C$512,R469)&amp;""))),AND(LEN(TRIM(E469&amp;""))&gt;0,S469&lt;&gt;INDEX($S$13:$S$512,R469)),AND(F469&lt;&gt;"",NOT(ISNUMBER(F469)))),1,IF(ISNUMBER(F469),IF(ABS(F469-INDEX($F$13:$F$512,R469))&gt;0.00000001,1,0),0)))</f>
        <v>0</v>
      </c>
      <c r="U469" s="0" t="n">
        <f>IF(P469="DIRECTA",IF(AND(ISNUMBER(G469),COUNTA(H469:J469)=0),1,0),IF(P469="DIMENSIONES",IF(AND(COUNT(G469:J469)&gt;0,COUNTA(G469:J469)=COUNT(G469:J469)),1,0),0))</f>
        <v>0</v>
      </c>
      <c r="V469" s="0" t="n">
        <f>IF(O469=0,0,IF(COUNTIFS($O$13:O469,O469)=1,1,0))</f>
        <v>0</v>
      </c>
      <c r="W469" s="0">
        <f>IF(V469=1,COUNTIFS($V$13:V469,1),"")</f>
      </c>
      <c r="X469" s="0">
        <f>IF(COUNTA(B469:L469)=0,"",IF(OR(NOT(IF(ISNUMBER($E$6),AND($E$6&gt;=0,$E$6&lt;=6,$E$6=INT($E$6)),FALSE)),O469=0,R469=0,T469&gt;0,AND(P469&lt;&gt;"DIMENSIONES",P469&lt;&gt;"DIRECTA",P469&lt;&gt;"SIN LÍNEAS",P469&lt;&gt;"CABECERA"),AND(OR(P469="DIRECTA",P469="DIMENSIONES"),U469=0),AND(OR(P469="SIN LÍNEAS",P469="CABECERA"),COUNTA(G469:J469)&gt;0)),2,IF(OR(P469="SIN LÍNEAS",Y469&gt;0,Z469&gt;0,AA469&gt;0,SUMPRODUCT(--('LÉEME'!$B$65:$B$86=AC469))&lt;&gt;1),1,0)))</f>
      </c>
      <c r="Y469" s="0" t="n">
        <f>IF(AND(P469="DIMENSIONES",S469="m²",COUNT(H469:J469)=3),1,0)</f>
        <v>0</v>
      </c>
      <c r="Z469" s="0" t="n">
        <f>IF(IF(ISNUMBER($E$6),AND($E$6&gt;=0,$E$6&lt;=6,$E$6=INT($E$6)),FALSE),IF(SUM(IF(ISNUMBER(F469),IF(ABS(F469-ROUND(F469,$E$6))&gt;0.00000001,1,0),0),IF(ISNUMBER(G469),IF(ABS(G469-ROUND(G469,$E$6))&gt;0.00000001,1,0),0),IF(ISNUMBER(H469),IF(ABS(H469-ROUND(H469,$E$6))&gt;0.00000001,1,0),0),IF(ISNUMBER(I469),IF(ABS(I469-ROUND(I469,$E$6))&gt;0.00000001,1,0),0),IF(ISNUMBER(J469),IF(ABS(J469-ROUND(J469,$E$6))&gt;0.00000001,1,0),0),IF(ISNUMBER(M469),IF(ABS(M469-ROUND(M469,$E$6))&gt;0.00000001,1,0),0))&gt;0,1,0),0)</f>
        <v>0</v>
      </c>
      <c r="AA469" s="0" t="n">
        <f>IF(COUNTA(B469:L469)=0,0,IF(OR(AND(ISNUMBER(F469),F469&lt;0),AND(U469=1,OR(SUM(IF(ISNUMBER(G469),IF(G469=0,1,0),0),IF(ISNUMBER(H469),IF(H469=0,1,0),0),IF(ISNUMBER(I469),IF(I469=0,1,0),0),IF(ISNUMBER(J469),IF(J469=0,1,0),0))&gt;0,COUNTIFS(G469:J469,"&lt;0")&gt;0)),AND(P469="DIMENSIONES",U469=1,OR(AND(S469="m",COUNT(H469:J469)&lt;&gt;1),AND(S469="m²",COUNT(H469:J469)&lt;&gt;2,Y469=0),AND(S469="m³",COUNT(H469:J469)&lt;&gt;3),AND(S469="ud",COUNT(H469:J469)&gt;0))),AND(P469="DIRECTA",OR(S469="m",S469="m²",S469="m³"))),1,0))</f>
        <v>0</v>
      </c>
      <c r="AB469" s="0">
        <f>IF(LEN(TRIM(E469&amp;""))&gt;0,E469,IF(R469&gt;0,INDEX($E$13:$E$512,R469),""))</f>
      </c>
      <c r="AC469" s="0">
        <f>UPPER(SUBSTITUTE(SUBSTITUTE(SUBSTITUTE(SUBSTITUTE(SUBSTITUTE(TRIM(AB469),"²","2"),"³","3"),"^",""),".","")," ",""))</f>
      </c>
    </row>
    <row r="470" ht="35" customHeight="1">
      <c r="B470" s="35"/>
      <c r="C470" s="35"/>
      <c r="D470" s="37"/>
      <c r="E470" s="35"/>
      <c r="F470" s="38"/>
      <c r="G470" s="38"/>
      <c r="H470" s="38"/>
      <c r="I470" s="38"/>
      <c r="J470" s="38"/>
      <c r="K470" s="35"/>
      <c r="L470" s="35"/>
      <c r="M470" s="39">
        <f>IF(U470&lt;&gt;1,"",IF(P470="DIRECTA",G470,IF(ISNUMBER(G470),G470,1)*IF(ISNUMBER(H470),H470,1)*IF(ISNUMBER(I470),I470,1)*IF(ISNUMBER(J470),J470,1)))</f>
      </c>
      <c r="N470" s="30">
        <f>IF(COUNTA(B470:L470)=0,"",IF(X470=0,IF(P470="CABECERA","VERDE · Fila descriptiva; la suma usa las líneas del ID","VERDE · Datos numéricos interpretables"),IF(X470=2,"ROJO · ","ÁMBAR · ")&amp;IF(NOT(IF(ISNUMBER($E$6),AND($E$6&gt;=0,$E$6&lt;=6,$E$6=INT($E$6)),FALSE)),"Indicamos entre 0 y 6 decimales en E6. ","")&amp;IF(O470=0,"Falta un ID numérico. ","")&amp;IF(R470=0,"Faltan capítulo, código, unidad o total numérico del ID. ","")&amp;IF(T470&gt;0,"Los datos o el total del ID se contradicen. ","")&amp;IF(AND(P470&lt;&gt;"DIMENSIONES",P470&lt;&gt;"DIRECTA",P470&lt;&gt;"SIN LÍNEAS",P470&lt;&gt;"CABECERA"),"Tipo de fila no reconocido. ","")&amp;IF(AND(OR(P470="SIN LÍNEAS",P470="CABECERA"),COUNTA(G470:J470)&gt;0),"La fila dice que no mide, pero contiene medidas. ","")&amp;IF(AND(OR(P470="DIRECTA",P470="DIMENSIONES"),U470=0),"Línea incompleta o con medidas no numéricas. ","")&amp;IF(P470="SIN LÍNEAS","No constan medidas de esta fila. ","")&amp;IF(Y470&gt;0,"Parece m³: tres dimensiones bajo m². ","")&amp;IF(AND(AB470&lt;&gt;"",SUMPRODUCT(--('LÉEME'!$B$65:$B$86=AC470))&lt;&gt;1),"Revisamos el significado de la unidad. ","")&amp;IF(Z470&gt;0,"Más precisión que los decimales indicados: cotejamos el original. ","")&amp;IF(AA470&gt;0,"Revisamos dimensiones, cantidad directa, ceros o deducción. ","")))</f>
      </c>
      <c r="O470" s="0" t="n">
        <f>IF(ISNUMBER(K470),IF(AND(K470&gt;0,K470=INT(K470),K470&lt;=999999),K470,0),0)</f>
        <v>0</v>
      </c>
      <c r="P470" s="0">
        <f>IF(COUNTA(B470:L470)=0,"",IF(L470="",IF(COUNTA(G470:J470)&gt;0,"DIMENSIONES","SIN LÍNEAS"),UPPER(TRIM(L470))))</f>
      </c>
      <c r="Q470" s="0">
        <f>IF(AND(O470&gt;0,LEN(TRIM(B470&amp;""))&gt;0,LEN(TRIM(C470&amp;""))&gt;0,LEN(TRIM(E470&amp;""))&gt;0,ISNUMBER(F470)),O470,"")</f>
      </c>
      <c r="R470" s="0" t="n">
        <f>IF(O470=0,0,IF(COUNTIFS($Q$13:$Q$512,O470)&gt;0,MATCH(O470,$Q$13:$Q$512,0),0))</f>
        <v>0</v>
      </c>
      <c r="S470" s="0">
        <f>IF(AB470="","",IF(SUMPRODUCT(--('LÉEME'!$B$65:$B$86=AC470))=1,INDEX('LÉEME'!$C$65:$C$86,MATCH(AC470,'LÉEME'!$B$65:$B$86,0)),UPPER(TRIM(AB470))))</f>
      </c>
      <c r="T470" s="0" t="n">
        <f>IF(R470=0,0,IF(OR(AND(LEN(TRIM(B470&amp;""))&gt;0,UPPER(TRIM(B470&amp;""))&lt;&gt;UPPER(TRIM(INDEX($B$13:$B$512,R470)&amp;""))),AND(LEN(TRIM(C470&amp;""))&gt;0,UPPER(TRIM(C470&amp;""))&lt;&gt;UPPER(TRIM(INDEX($C$13:$C$512,R470)&amp;""))),AND(LEN(TRIM(E470&amp;""))&gt;0,S470&lt;&gt;INDEX($S$13:$S$512,R470)),AND(F470&lt;&gt;"",NOT(ISNUMBER(F470)))),1,IF(ISNUMBER(F470),IF(ABS(F470-INDEX($F$13:$F$512,R470))&gt;0.00000001,1,0),0)))</f>
        <v>0</v>
      </c>
      <c r="U470" s="0" t="n">
        <f>IF(P470="DIRECTA",IF(AND(ISNUMBER(G470),COUNTA(H470:J470)=0),1,0),IF(P470="DIMENSIONES",IF(AND(COUNT(G470:J470)&gt;0,COUNTA(G470:J470)=COUNT(G470:J470)),1,0),0))</f>
        <v>0</v>
      </c>
      <c r="V470" s="0" t="n">
        <f>IF(O470=0,0,IF(COUNTIFS($O$13:O470,O470)=1,1,0))</f>
        <v>0</v>
      </c>
      <c r="W470" s="0">
        <f>IF(V470=1,COUNTIFS($V$13:V470,1),"")</f>
      </c>
      <c r="X470" s="0">
        <f>IF(COUNTA(B470:L470)=0,"",IF(OR(NOT(IF(ISNUMBER($E$6),AND($E$6&gt;=0,$E$6&lt;=6,$E$6=INT($E$6)),FALSE)),O470=0,R470=0,T470&gt;0,AND(P470&lt;&gt;"DIMENSIONES",P470&lt;&gt;"DIRECTA",P470&lt;&gt;"SIN LÍNEAS",P470&lt;&gt;"CABECERA"),AND(OR(P470="DIRECTA",P470="DIMENSIONES"),U470=0),AND(OR(P470="SIN LÍNEAS",P470="CABECERA"),COUNTA(G470:J470)&gt;0)),2,IF(OR(P470="SIN LÍNEAS",Y470&gt;0,Z470&gt;0,AA470&gt;0,SUMPRODUCT(--('LÉEME'!$B$65:$B$86=AC470))&lt;&gt;1),1,0)))</f>
      </c>
      <c r="Y470" s="0" t="n">
        <f>IF(AND(P470="DIMENSIONES",S470="m²",COUNT(H470:J470)=3),1,0)</f>
        <v>0</v>
      </c>
      <c r="Z470" s="0" t="n">
        <f>IF(IF(ISNUMBER($E$6),AND($E$6&gt;=0,$E$6&lt;=6,$E$6=INT($E$6)),FALSE),IF(SUM(IF(ISNUMBER(F470),IF(ABS(F470-ROUND(F470,$E$6))&gt;0.00000001,1,0),0),IF(ISNUMBER(G470),IF(ABS(G470-ROUND(G470,$E$6))&gt;0.00000001,1,0),0),IF(ISNUMBER(H470),IF(ABS(H470-ROUND(H470,$E$6))&gt;0.00000001,1,0),0),IF(ISNUMBER(I470),IF(ABS(I470-ROUND(I470,$E$6))&gt;0.00000001,1,0),0),IF(ISNUMBER(J470),IF(ABS(J470-ROUND(J470,$E$6))&gt;0.00000001,1,0),0),IF(ISNUMBER(M470),IF(ABS(M470-ROUND(M470,$E$6))&gt;0.00000001,1,0),0))&gt;0,1,0),0)</f>
        <v>0</v>
      </c>
      <c r="AA470" s="0" t="n">
        <f>IF(COUNTA(B470:L470)=0,0,IF(OR(AND(ISNUMBER(F470),F470&lt;0),AND(U470=1,OR(SUM(IF(ISNUMBER(G470),IF(G470=0,1,0),0),IF(ISNUMBER(H470),IF(H470=0,1,0),0),IF(ISNUMBER(I470),IF(I470=0,1,0),0),IF(ISNUMBER(J470),IF(J470=0,1,0),0))&gt;0,COUNTIFS(G470:J470,"&lt;0")&gt;0)),AND(P470="DIMENSIONES",U470=1,OR(AND(S470="m",COUNT(H470:J470)&lt;&gt;1),AND(S470="m²",COUNT(H470:J470)&lt;&gt;2,Y470=0),AND(S470="m³",COUNT(H470:J470)&lt;&gt;3),AND(S470="ud",COUNT(H470:J470)&gt;0))),AND(P470="DIRECTA",OR(S470="m",S470="m²",S470="m³"))),1,0))</f>
        <v>0</v>
      </c>
      <c r="AB470" s="0">
        <f>IF(LEN(TRIM(E470&amp;""))&gt;0,E470,IF(R470&gt;0,INDEX($E$13:$E$512,R470),""))</f>
      </c>
      <c r="AC470" s="0">
        <f>UPPER(SUBSTITUTE(SUBSTITUTE(SUBSTITUTE(SUBSTITUTE(SUBSTITUTE(TRIM(AB470),"²","2"),"³","3"),"^",""),".","")," ",""))</f>
      </c>
    </row>
    <row r="471" ht="35" customHeight="1">
      <c r="B471" s="35"/>
      <c r="C471" s="35"/>
      <c r="D471" s="37"/>
      <c r="E471" s="35"/>
      <c r="F471" s="38"/>
      <c r="G471" s="38"/>
      <c r="H471" s="38"/>
      <c r="I471" s="38"/>
      <c r="J471" s="38"/>
      <c r="K471" s="35"/>
      <c r="L471" s="35"/>
      <c r="M471" s="39">
        <f>IF(U471&lt;&gt;1,"",IF(P471="DIRECTA",G471,IF(ISNUMBER(G471),G471,1)*IF(ISNUMBER(H471),H471,1)*IF(ISNUMBER(I471),I471,1)*IF(ISNUMBER(J471),J471,1)))</f>
      </c>
      <c r="N471" s="30">
        <f>IF(COUNTA(B471:L471)=0,"",IF(X471=0,IF(P471="CABECERA","VERDE · Fila descriptiva; la suma usa las líneas del ID","VERDE · Datos numéricos interpretables"),IF(X471=2,"ROJO · ","ÁMBAR · ")&amp;IF(NOT(IF(ISNUMBER($E$6),AND($E$6&gt;=0,$E$6&lt;=6,$E$6=INT($E$6)),FALSE)),"Indicamos entre 0 y 6 decimales en E6. ","")&amp;IF(O471=0,"Falta un ID numérico. ","")&amp;IF(R471=0,"Faltan capítulo, código, unidad o total numérico del ID. ","")&amp;IF(T471&gt;0,"Los datos o el total del ID se contradicen. ","")&amp;IF(AND(P471&lt;&gt;"DIMENSIONES",P471&lt;&gt;"DIRECTA",P471&lt;&gt;"SIN LÍNEAS",P471&lt;&gt;"CABECERA"),"Tipo de fila no reconocido. ","")&amp;IF(AND(OR(P471="SIN LÍNEAS",P471="CABECERA"),COUNTA(G471:J471)&gt;0),"La fila dice que no mide, pero contiene medidas. ","")&amp;IF(AND(OR(P471="DIRECTA",P471="DIMENSIONES"),U471=0),"Línea incompleta o con medidas no numéricas. ","")&amp;IF(P471="SIN LÍNEAS","No constan medidas de esta fila. ","")&amp;IF(Y471&gt;0,"Parece m³: tres dimensiones bajo m². ","")&amp;IF(AND(AB471&lt;&gt;"",SUMPRODUCT(--('LÉEME'!$B$65:$B$86=AC471))&lt;&gt;1),"Revisamos el significado de la unidad. ","")&amp;IF(Z471&gt;0,"Más precisión que los decimales indicados: cotejamos el original. ","")&amp;IF(AA471&gt;0,"Revisamos dimensiones, cantidad directa, ceros o deducción. ","")))</f>
      </c>
      <c r="O471" s="0" t="n">
        <f>IF(ISNUMBER(K471),IF(AND(K471&gt;0,K471=INT(K471),K471&lt;=999999),K471,0),0)</f>
        <v>0</v>
      </c>
      <c r="P471" s="0">
        <f>IF(COUNTA(B471:L471)=0,"",IF(L471="",IF(COUNTA(G471:J471)&gt;0,"DIMENSIONES","SIN LÍNEAS"),UPPER(TRIM(L471))))</f>
      </c>
      <c r="Q471" s="0">
        <f>IF(AND(O471&gt;0,LEN(TRIM(B471&amp;""))&gt;0,LEN(TRIM(C471&amp;""))&gt;0,LEN(TRIM(E471&amp;""))&gt;0,ISNUMBER(F471)),O471,"")</f>
      </c>
      <c r="R471" s="0" t="n">
        <f>IF(O471=0,0,IF(COUNTIFS($Q$13:$Q$512,O471)&gt;0,MATCH(O471,$Q$13:$Q$512,0),0))</f>
        <v>0</v>
      </c>
      <c r="S471" s="0">
        <f>IF(AB471="","",IF(SUMPRODUCT(--('LÉEME'!$B$65:$B$86=AC471))=1,INDEX('LÉEME'!$C$65:$C$86,MATCH(AC471,'LÉEME'!$B$65:$B$86,0)),UPPER(TRIM(AB471))))</f>
      </c>
      <c r="T471" s="0" t="n">
        <f>IF(R471=0,0,IF(OR(AND(LEN(TRIM(B471&amp;""))&gt;0,UPPER(TRIM(B471&amp;""))&lt;&gt;UPPER(TRIM(INDEX($B$13:$B$512,R471)&amp;""))),AND(LEN(TRIM(C471&amp;""))&gt;0,UPPER(TRIM(C471&amp;""))&lt;&gt;UPPER(TRIM(INDEX($C$13:$C$512,R471)&amp;""))),AND(LEN(TRIM(E471&amp;""))&gt;0,S471&lt;&gt;INDEX($S$13:$S$512,R471)),AND(F471&lt;&gt;"",NOT(ISNUMBER(F471)))),1,IF(ISNUMBER(F471),IF(ABS(F471-INDEX($F$13:$F$512,R471))&gt;0.00000001,1,0),0)))</f>
        <v>0</v>
      </c>
      <c r="U471" s="0" t="n">
        <f>IF(P471="DIRECTA",IF(AND(ISNUMBER(G471),COUNTA(H471:J471)=0),1,0),IF(P471="DIMENSIONES",IF(AND(COUNT(G471:J471)&gt;0,COUNTA(G471:J471)=COUNT(G471:J471)),1,0),0))</f>
        <v>0</v>
      </c>
      <c r="V471" s="0" t="n">
        <f>IF(O471=0,0,IF(COUNTIFS($O$13:O471,O471)=1,1,0))</f>
        <v>0</v>
      </c>
      <c r="W471" s="0">
        <f>IF(V471=1,COUNTIFS($V$13:V471,1),"")</f>
      </c>
      <c r="X471" s="0">
        <f>IF(COUNTA(B471:L471)=0,"",IF(OR(NOT(IF(ISNUMBER($E$6),AND($E$6&gt;=0,$E$6&lt;=6,$E$6=INT($E$6)),FALSE)),O471=0,R471=0,T471&gt;0,AND(P471&lt;&gt;"DIMENSIONES",P471&lt;&gt;"DIRECTA",P471&lt;&gt;"SIN LÍNEAS",P471&lt;&gt;"CABECERA"),AND(OR(P471="DIRECTA",P471="DIMENSIONES"),U471=0),AND(OR(P471="SIN LÍNEAS",P471="CABECERA"),COUNTA(G471:J471)&gt;0)),2,IF(OR(P471="SIN LÍNEAS",Y471&gt;0,Z471&gt;0,AA471&gt;0,SUMPRODUCT(--('LÉEME'!$B$65:$B$86=AC471))&lt;&gt;1),1,0)))</f>
      </c>
      <c r="Y471" s="0" t="n">
        <f>IF(AND(P471="DIMENSIONES",S471="m²",COUNT(H471:J471)=3),1,0)</f>
        <v>0</v>
      </c>
      <c r="Z471" s="0" t="n">
        <f>IF(IF(ISNUMBER($E$6),AND($E$6&gt;=0,$E$6&lt;=6,$E$6=INT($E$6)),FALSE),IF(SUM(IF(ISNUMBER(F471),IF(ABS(F471-ROUND(F471,$E$6))&gt;0.00000001,1,0),0),IF(ISNUMBER(G471),IF(ABS(G471-ROUND(G471,$E$6))&gt;0.00000001,1,0),0),IF(ISNUMBER(H471),IF(ABS(H471-ROUND(H471,$E$6))&gt;0.00000001,1,0),0),IF(ISNUMBER(I471),IF(ABS(I471-ROUND(I471,$E$6))&gt;0.00000001,1,0),0),IF(ISNUMBER(J471),IF(ABS(J471-ROUND(J471,$E$6))&gt;0.00000001,1,0),0),IF(ISNUMBER(M471),IF(ABS(M471-ROUND(M471,$E$6))&gt;0.00000001,1,0),0))&gt;0,1,0),0)</f>
        <v>0</v>
      </c>
      <c r="AA471" s="0" t="n">
        <f>IF(COUNTA(B471:L471)=0,0,IF(OR(AND(ISNUMBER(F471),F471&lt;0),AND(U471=1,OR(SUM(IF(ISNUMBER(G471),IF(G471=0,1,0),0),IF(ISNUMBER(H471),IF(H471=0,1,0),0),IF(ISNUMBER(I471),IF(I471=0,1,0),0),IF(ISNUMBER(J471),IF(J471=0,1,0),0))&gt;0,COUNTIFS(G471:J471,"&lt;0")&gt;0)),AND(P471="DIMENSIONES",U471=1,OR(AND(S471="m",COUNT(H471:J471)&lt;&gt;1),AND(S471="m²",COUNT(H471:J471)&lt;&gt;2,Y471=0),AND(S471="m³",COUNT(H471:J471)&lt;&gt;3),AND(S471="ud",COUNT(H471:J471)&gt;0))),AND(P471="DIRECTA",OR(S471="m",S471="m²",S471="m³"))),1,0))</f>
        <v>0</v>
      </c>
      <c r="AB471" s="0">
        <f>IF(LEN(TRIM(E471&amp;""))&gt;0,E471,IF(R471&gt;0,INDEX($E$13:$E$512,R471),""))</f>
      </c>
      <c r="AC471" s="0">
        <f>UPPER(SUBSTITUTE(SUBSTITUTE(SUBSTITUTE(SUBSTITUTE(SUBSTITUTE(TRIM(AB471),"²","2"),"³","3"),"^",""),".","")," ",""))</f>
      </c>
    </row>
    <row r="472" ht="35" customHeight="1">
      <c r="B472" s="35"/>
      <c r="C472" s="35"/>
      <c r="D472" s="37"/>
      <c r="E472" s="35"/>
      <c r="F472" s="38"/>
      <c r="G472" s="38"/>
      <c r="H472" s="38"/>
      <c r="I472" s="38"/>
      <c r="J472" s="38"/>
      <c r="K472" s="35"/>
      <c r="L472" s="35"/>
      <c r="M472" s="39">
        <f>IF(U472&lt;&gt;1,"",IF(P472="DIRECTA",G472,IF(ISNUMBER(G472),G472,1)*IF(ISNUMBER(H472),H472,1)*IF(ISNUMBER(I472),I472,1)*IF(ISNUMBER(J472),J472,1)))</f>
      </c>
      <c r="N472" s="30">
        <f>IF(COUNTA(B472:L472)=0,"",IF(X472=0,IF(P472="CABECERA","VERDE · Fila descriptiva; la suma usa las líneas del ID","VERDE · Datos numéricos interpretables"),IF(X472=2,"ROJO · ","ÁMBAR · ")&amp;IF(NOT(IF(ISNUMBER($E$6),AND($E$6&gt;=0,$E$6&lt;=6,$E$6=INT($E$6)),FALSE)),"Indicamos entre 0 y 6 decimales en E6. ","")&amp;IF(O472=0,"Falta un ID numérico. ","")&amp;IF(R472=0,"Faltan capítulo, código, unidad o total numérico del ID. ","")&amp;IF(T472&gt;0,"Los datos o el total del ID se contradicen. ","")&amp;IF(AND(P472&lt;&gt;"DIMENSIONES",P472&lt;&gt;"DIRECTA",P472&lt;&gt;"SIN LÍNEAS",P472&lt;&gt;"CABECERA"),"Tipo de fila no reconocido. ","")&amp;IF(AND(OR(P472="SIN LÍNEAS",P472="CABECERA"),COUNTA(G472:J472)&gt;0),"La fila dice que no mide, pero contiene medidas. ","")&amp;IF(AND(OR(P472="DIRECTA",P472="DIMENSIONES"),U472=0),"Línea incompleta o con medidas no numéricas. ","")&amp;IF(P472="SIN LÍNEAS","No constan medidas de esta fila. ","")&amp;IF(Y472&gt;0,"Parece m³: tres dimensiones bajo m². ","")&amp;IF(AND(AB472&lt;&gt;"",SUMPRODUCT(--('LÉEME'!$B$65:$B$86=AC472))&lt;&gt;1),"Revisamos el significado de la unidad. ","")&amp;IF(Z472&gt;0,"Más precisión que los decimales indicados: cotejamos el original. ","")&amp;IF(AA472&gt;0,"Revisamos dimensiones, cantidad directa, ceros o deducción. ","")))</f>
      </c>
      <c r="O472" s="0" t="n">
        <f>IF(ISNUMBER(K472),IF(AND(K472&gt;0,K472=INT(K472),K472&lt;=999999),K472,0),0)</f>
        <v>0</v>
      </c>
      <c r="P472" s="0">
        <f>IF(COUNTA(B472:L472)=0,"",IF(L472="",IF(COUNTA(G472:J472)&gt;0,"DIMENSIONES","SIN LÍNEAS"),UPPER(TRIM(L472))))</f>
      </c>
      <c r="Q472" s="0">
        <f>IF(AND(O472&gt;0,LEN(TRIM(B472&amp;""))&gt;0,LEN(TRIM(C472&amp;""))&gt;0,LEN(TRIM(E472&amp;""))&gt;0,ISNUMBER(F472)),O472,"")</f>
      </c>
      <c r="R472" s="0" t="n">
        <f>IF(O472=0,0,IF(COUNTIFS($Q$13:$Q$512,O472)&gt;0,MATCH(O472,$Q$13:$Q$512,0),0))</f>
        <v>0</v>
      </c>
      <c r="S472" s="0">
        <f>IF(AB472="","",IF(SUMPRODUCT(--('LÉEME'!$B$65:$B$86=AC472))=1,INDEX('LÉEME'!$C$65:$C$86,MATCH(AC472,'LÉEME'!$B$65:$B$86,0)),UPPER(TRIM(AB472))))</f>
      </c>
      <c r="T472" s="0" t="n">
        <f>IF(R472=0,0,IF(OR(AND(LEN(TRIM(B472&amp;""))&gt;0,UPPER(TRIM(B472&amp;""))&lt;&gt;UPPER(TRIM(INDEX($B$13:$B$512,R472)&amp;""))),AND(LEN(TRIM(C472&amp;""))&gt;0,UPPER(TRIM(C472&amp;""))&lt;&gt;UPPER(TRIM(INDEX($C$13:$C$512,R472)&amp;""))),AND(LEN(TRIM(E472&amp;""))&gt;0,S472&lt;&gt;INDEX($S$13:$S$512,R472)),AND(F472&lt;&gt;"",NOT(ISNUMBER(F472)))),1,IF(ISNUMBER(F472),IF(ABS(F472-INDEX($F$13:$F$512,R472))&gt;0.00000001,1,0),0)))</f>
        <v>0</v>
      </c>
      <c r="U472" s="0" t="n">
        <f>IF(P472="DIRECTA",IF(AND(ISNUMBER(G472),COUNTA(H472:J472)=0),1,0),IF(P472="DIMENSIONES",IF(AND(COUNT(G472:J472)&gt;0,COUNTA(G472:J472)=COUNT(G472:J472)),1,0),0))</f>
        <v>0</v>
      </c>
      <c r="V472" s="0" t="n">
        <f>IF(O472=0,0,IF(COUNTIFS($O$13:O472,O472)=1,1,0))</f>
        <v>0</v>
      </c>
      <c r="W472" s="0">
        <f>IF(V472=1,COUNTIFS($V$13:V472,1),"")</f>
      </c>
      <c r="X472" s="0">
        <f>IF(COUNTA(B472:L472)=0,"",IF(OR(NOT(IF(ISNUMBER($E$6),AND($E$6&gt;=0,$E$6&lt;=6,$E$6=INT($E$6)),FALSE)),O472=0,R472=0,T472&gt;0,AND(P472&lt;&gt;"DIMENSIONES",P472&lt;&gt;"DIRECTA",P472&lt;&gt;"SIN LÍNEAS",P472&lt;&gt;"CABECERA"),AND(OR(P472="DIRECTA",P472="DIMENSIONES"),U472=0),AND(OR(P472="SIN LÍNEAS",P472="CABECERA"),COUNTA(G472:J472)&gt;0)),2,IF(OR(P472="SIN LÍNEAS",Y472&gt;0,Z472&gt;0,AA472&gt;0,SUMPRODUCT(--('LÉEME'!$B$65:$B$86=AC472))&lt;&gt;1),1,0)))</f>
      </c>
      <c r="Y472" s="0" t="n">
        <f>IF(AND(P472="DIMENSIONES",S472="m²",COUNT(H472:J472)=3),1,0)</f>
        <v>0</v>
      </c>
      <c r="Z472" s="0" t="n">
        <f>IF(IF(ISNUMBER($E$6),AND($E$6&gt;=0,$E$6&lt;=6,$E$6=INT($E$6)),FALSE),IF(SUM(IF(ISNUMBER(F472),IF(ABS(F472-ROUND(F472,$E$6))&gt;0.00000001,1,0),0),IF(ISNUMBER(G472),IF(ABS(G472-ROUND(G472,$E$6))&gt;0.00000001,1,0),0),IF(ISNUMBER(H472),IF(ABS(H472-ROUND(H472,$E$6))&gt;0.00000001,1,0),0),IF(ISNUMBER(I472),IF(ABS(I472-ROUND(I472,$E$6))&gt;0.00000001,1,0),0),IF(ISNUMBER(J472),IF(ABS(J472-ROUND(J472,$E$6))&gt;0.00000001,1,0),0),IF(ISNUMBER(M472),IF(ABS(M472-ROUND(M472,$E$6))&gt;0.00000001,1,0),0))&gt;0,1,0),0)</f>
        <v>0</v>
      </c>
      <c r="AA472" s="0" t="n">
        <f>IF(COUNTA(B472:L472)=0,0,IF(OR(AND(ISNUMBER(F472),F472&lt;0),AND(U472=1,OR(SUM(IF(ISNUMBER(G472),IF(G472=0,1,0),0),IF(ISNUMBER(H472),IF(H472=0,1,0),0),IF(ISNUMBER(I472),IF(I472=0,1,0),0),IF(ISNUMBER(J472),IF(J472=0,1,0),0))&gt;0,COUNTIFS(G472:J472,"&lt;0")&gt;0)),AND(P472="DIMENSIONES",U472=1,OR(AND(S472="m",COUNT(H472:J472)&lt;&gt;1),AND(S472="m²",COUNT(H472:J472)&lt;&gt;2,Y472=0),AND(S472="m³",COUNT(H472:J472)&lt;&gt;3),AND(S472="ud",COUNT(H472:J472)&gt;0))),AND(P472="DIRECTA",OR(S472="m",S472="m²",S472="m³"))),1,0))</f>
        <v>0</v>
      </c>
      <c r="AB472" s="0">
        <f>IF(LEN(TRIM(E472&amp;""))&gt;0,E472,IF(R472&gt;0,INDEX($E$13:$E$512,R472),""))</f>
      </c>
      <c r="AC472" s="0">
        <f>UPPER(SUBSTITUTE(SUBSTITUTE(SUBSTITUTE(SUBSTITUTE(SUBSTITUTE(TRIM(AB472),"²","2"),"³","3"),"^",""),".","")," ",""))</f>
      </c>
    </row>
    <row r="473" ht="35" customHeight="1">
      <c r="B473" s="35"/>
      <c r="C473" s="35"/>
      <c r="D473" s="37"/>
      <c r="E473" s="35"/>
      <c r="F473" s="38"/>
      <c r="G473" s="38"/>
      <c r="H473" s="38"/>
      <c r="I473" s="38"/>
      <c r="J473" s="38"/>
      <c r="K473" s="35"/>
      <c r="L473" s="35"/>
      <c r="M473" s="39">
        <f>IF(U473&lt;&gt;1,"",IF(P473="DIRECTA",G473,IF(ISNUMBER(G473),G473,1)*IF(ISNUMBER(H473),H473,1)*IF(ISNUMBER(I473),I473,1)*IF(ISNUMBER(J473),J473,1)))</f>
      </c>
      <c r="N473" s="30">
        <f>IF(COUNTA(B473:L473)=0,"",IF(X473=0,IF(P473="CABECERA","VERDE · Fila descriptiva; la suma usa las líneas del ID","VERDE · Datos numéricos interpretables"),IF(X473=2,"ROJO · ","ÁMBAR · ")&amp;IF(NOT(IF(ISNUMBER($E$6),AND($E$6&gt;=0,$E$6&lt;=6,$E$6=INT($E$6)),FALSE)),"Indicamos entre 0 y 6 decimales en E6. ","")&amp;IF(O473=0,"Falta un ID numérico. ","")&amp;IF(R473=0,"Faltan capítulo, código, unidad o total numérico del ID. ","")&amp;IF(T473&gt;0,"Los datos o el total del ID se contradicen. ","")&amp;IF(AND(P473&lt;&gt;"DIMENSIONES",P473&lt;&gt;"DIRECTA",P473&lt;&gt;"SIN LÍNEAS",P473&lt;&gt;"CABECERA"),"Tipo de fila no reconocido. ","")&amp;IF(AND(OR(P473="SIN LÍNEAS",P473="CABECERA"),COUNTA(G473:J473)&gt;0),"La fila dice que no mide, pero contiene medidas. ","")&amp;IF(AND(OR(P473="DIRECTA",P473="DIMENSIONES"),U473=0),"Línea incompleta o con medidas no numéricas. ","")&amp;IF(P473="SIN LÍNEAS","No constan medidas de esta fila. ","")&amp;IF(Y473&gt;0,"Parece m³: tres dimensiones bajo m². ","")&amp;IF(AND(AB473&lt;&gt;"",SUMPRODUCT(--('LÉEME'!$B$65:$B$86=AC473))&lt;&gt;1),"Revisamos el significado de la unidad. ","")&amp;IF(Z473&gt;0,"Más precisión que los decimales indicados: cotejamos el original. ","")&amp;IF(AA473&gt;0,"Revisamos dimensiones, cantidad directa, ceros o deducción. ","")))</f>
      </c>
      <c r="O473" s="0" t="n">
        <f>IF(ISNUMBER(K473),IF(AND(K473&gt;0,K473=INT(K473),K473&lt;=999999),K473,0),0)</f>
        <v>0</v>
      </c>
      <c r="P473" s="0">
        <f>IF(COUNTA(B473:L473)=0,"",IF(L473="",IF(COUNTA(G473:J473)&gt;0,"DIMENSIONES","SIN LÍNEAS"),UPPER(TRIM(L473))))</f>
      </c>
      <c r="Q473" s="0">
        <f>IF(AND(O473&gt;0,LEN(TRIM(B473&amp;""))&gt;0,LEN(TRIM(C473&amp;""))&gt;0,LEN(TRIM(E473&amp;""))&gt;0,ISNUMBER(F473)),O473,"")</f>
      </c>
      <c r="R473" s="0" t="n">
        <f>IF(O473=0,0,IF(COUNTIFS($Q$13:$Q$512,O473)&gt;0,MATCH(O473,$Q$13:$Q$512,0),0))</f>
        <v>0</v>
      </c>
      <c r="S473" s="0">
        <f>IF(AB473="","",IF(SUMPRODUCT(--('LÉEME'!$B$65:$B$86=AC473))=1,INDEX('LÉEME'!$C$65:$C$86,MATCH(AC473,'LÉEME'!$B$65:$B$86,0)),UPPER(TRIM(AB473))))</f>
      </c>
      <c r="T473" s="0" t="n">
        <f>IF(R473=0,0,IF(OR(AND(LEN(TRIM(B473&amp;""))&gt;0,UPPER(TRIM(B473&amp;""))&lt;&gt;UPPER(TRIM(INDEX($B$13:$B$512,R473)&amp;""))),AND(LEN(TRIM(C473&amp;""))&gt;0,UPPER(TRIM(C473&amp;""))&lt;&gt;UPPER(TRIM(INDEX($C$13:$C$512,R473)&amp;""))),AND(LEN(TRIM(E473&amp;""))&gt;0,S473&lt;&gt;INDEX($S$13:$S$512,R473)),AND(F473&lt;&gt;"",NOT(ISNUMBER(F473)))),1,IF(ISNUMBER(F473),IF(ABS(F473-INDEX($F$13:$F$512,R473))&gt;0.00000001,1,0),0)))</f>
        <v>0</v>
      </c>
      <c r="U473" s="0" t="n">
        <f>IF(P473="DIRECTA",IF(AND(ISNUMBER(G473),COUNTA(H473:J473)=0),1,0),IF(P473="DIMENSIONES",IF(AND(COUNT(G473:J473)&gt;0,COUNTA(G473:J473)=COUNT(G473:J473)),1,0),0))</f>
        <v>0</v>
      </c>
      <c r="V473" s="0" t="n">
        <f>IF(O473=0,0,IF(COUNTIFS($O$13:O473,O473)=1,1,0))</f>
        <v>0</v>
      </c>
      <c r="W473" s="0">
        <f>IF(V473=1,COUNTIFS($V$13:V473,1),"")</f>
      </c>
      <c r="X473" s="0">
        <f>IF(COUNTA(B473:L473)=0,"",IF(OR(NOT(IF(ISNUMBER($E$6),AND($E$6&gt;=0,$E$6&lt;=6,$E$6=INT($E$6)),FALSE)),O473=0,R473=0,T473&gt;0,AND(P473&lt;&gt;"DIMENSIONES",P473&lt;&gt;"DIRECTA",P473&lt;&gt;"SIN LÍNEAS",P473&lt;&gt;"CABECERA"),AND(OR(P473="DIRECTA",P473="DIMENSIONES"),U473=0),AND(OR(P473="SIN LÍNEAS",P473="CABECERA"),COUNTA(G473:J473)&gt;0)),2,IF(OR(P473="SIN LÍNEAS",Y473&gt;0,Z473&gt;0,AA473&gt;0,SUMPRODUCT(--('LÉEME'!$B$65:$B$86=AC473))&lt;&gt;1),1,0)))</f>
      </c>
      <c r="Y473" s="0" t="n">
        <f>IF(AND(P473="DIMENSIONES",S473="m²",COUNT(H473:J473)=3),1,0)</f>
        <v>0</v>
      </c>
      <c r="Z473" s="0" t="n">
        <f>IF(IF(ISNUMBER($E$6),AND($E$6&gt;=0,$E$6&lt;=6,$E$6=INT($E$6)),FALSE),IF(SUM(IF(ISNUMBER(F473),IF(ABS(F473-ROUND(F473,$E$6))&gt;0.00000001,1,0),0),IF(ISNUMBER(G473),IF(ABS(G473-ROUND(G473,$E$6))&gt;0.00000001,1,0),0),IF(ISNUMBER(H473),IF(ABS(H473-ROUND(H473,$E$6))&gt;0.00000001,1,0),0),IF(ISNUMBER(I473),IF(ABS(I473-ROUND(I473,$E$6))&gt;0.00000001,1,0),0),IF(ISNUMBER(J473),IF(ABS(J473-ROUND(J473,$E$6))&gt;0.00000001,1,0),0),IF(ISNUMBER(M473),IF(ABS(M473-ROUND(M473,$E$6))&gt;0.00000001,1,0),0))&gt;0,1,0),0)</f>
        <v>0</v>
      </c>
      <c r="AA473" s="0" t="n">
        <f>IF(COUNTA(B473:L473)=0,0,IF(OR(AND(ISNUMBER(F473),F473&lt;0),AND(U473=1,OR(SUM(IF(ISNUMBER(G473),IF(G473=0,1,0),0),IF(ISNUMBER(H473),IF(H473=0,1,0),0),IF(ISNUMBER(I473),IF(I473=0,1,0),0),IF(ISNUMBER(J473),IF(J473=0,1,0),0))&gt;0,COUNTIFS(G473:J473,"&lt;0")&gt;0)),AND(P473="DIMENSIONES",U473=1,OR(AND(S473="m",COUNT(H473:J473)&lt;&gt;1),AND(S473="m²",COUNT(H473:J473)&lt;&gt;2,Y473=0),AND(S473="m³",COUNT(H473:J473)&lt;&gt;3),AND(S473="ud",COUNT(H473:J473)&gt;0))),AND(P473="DIRECTA",OR(S473="m",S473="m²",S473="m³"))),1,0))</f>
        <v>0</v>
      </c>
      <c r="AB473" s="0">
        <f>IF(LEN(TRIM(E473&amp;""))&gt;0,E473,IF(R473&gt;0,INDEX($E$13:$E$512,R473),""))</f>
      </c>
      <c r="AC473" s="0">
        <f>UPPER(SUBSTITUTE(SUBSTITUTE(SUBSTITUTE(SUBSTITUTE(SUBSTITUTE(TRIM(AB473),"²","2"),"³","3"),"^",""),".","")," ",""))</f>
      </c>
    </row>
    <row r="474" ht="35" customHeight="1">
      <c r="B474" s="35"/>
      <c r="C474" s="35"/>
      <c r="D474" s="37"/>
      <c r="E474" s="35"/>
      <c r="F474" s="38"/>
      <c r="G474" s="38"/>
      <c r="H474" s="38"/>
      <c r="I474" s="38"/>
      <c r="J474" s="38"/>
      <c r="K474" s="35"/>
      <c r="L474" s="35"/>
      <c r="M474" s="39">
        <f>IF(U474&lt;&gt;1,"",IF(P474="DIRECTA",G474,IF(ISNUMBER(G474),G474,1)*IF(ISNUMBER(H474),H474,1)*IF(ISNUMBER(I474),I474,1)*IF(ISNUMBER(J474),J474,1)))</f>
      </c>
      <c r="N474" s="30">
        <f>IF(COUNTA(B474:L474)=0,"",IF(X474=0,IF(P474="CABECERA","VERDE · Fila descriptiva; la suma usa las líneas del ID","VERDE · Datos numéricos interpretables"),IF(X474=2,"ROJO · ","ÁMBAR · ")&amp;IF(NOT(IF(ISNUMBER($E$6),AND($E$6&gt;=0,$E$6&lt;=6,$E$6=INT($E$6)),FALSE)),"Indicamos entre 0 y 6 decimales en E6. ","")&amp;IF(O474=0,"Falta un ID numérico. ","")&amp;IF(R474=0,"Faltan capítulo, código, unidad o total numérico del ID. ","")&amp;IF(T474&gt;0,"Los datos o el total del ID se contradicen. ","")&amp;IF(AND(P474&lt;&gt;"DIMENSIONES",P474&lt;&gt;"DIRECTA",P474&lt;&gt;"SIN LÍNEAS",P474&lt;&gt;"CABECERA"),"Tipo de fila no reconocido. ","")&amp;IF(AND(OR(P474="SIN LÍNEAS",P474="CABECERA"),COUNTA(G474:J474)&gt;0),"La fila dice que no mide, pero contiene medidas. ","")&amp;IF(AND(OR(P474="DIRECTA",P474="DIMENSIONES"),U474=0),"Línea incompleta o con medidas no numéricas. ","")&amp;IF(P474="SIN LÍNEAS","No constan medidas de esta fila. ","")&amp;IF(Y474&gt;0,"Parece m³: tres dimensiones bajo m². ","")&amp;IF(AND(AB474&lt;&gt;"",SUMPRODUCT(--('LÉEME'!$B$65:$B$86=AC474))&lt;&gt;1),"Revisamos el significado de la unidad. ","")&amp;IF(Z474&gt;0,"Más precisión que los decimales indicados: cotejamos el original. ","")&amp;IF(AA474&gt;0,"Revisamos dimensiones, cantidad directa, ceros o deducción. ","")))</f>
      </c>
      <c r="O474" s="0" t="n">
        <f>IF(ISNUMBER(K474),IF(AND(K474&gt;0,K474=INT(K474),K474&lt;=999999),K474,0),0)</f>
        <v>0</v>
      </c>
      <c r="P474" s="0">
        <f>IF(COUNTA(B474:L474)=0,"",IF(L474="",IF(COUNTA(G474:J474)&gt;0,"DIMENSIONES","SIN LÍNEAS"),UPPER(TRIM(L474))))</f>
      </c>
      <c r="Q474" s="0">
        <f>IF(AND(O474&gt;0,LEN(TRIM(B474&amp;""))&gt;0,LEN(TRIM(C474&amp;""))&gt;0,LEN(TRIM(E474&amp;""))&gt;0,ISNUMBER(F474)),O474,"")</f>
      </c>
      <c r="R474" s="0" t="n">
        <f>IF(O474=0,0,IF(COUNTIFS($Q$13:$Q$512,O474)&gt;0,MATCH(O474,$Q$13:$Q$512,0),0))</f>
        <v>0</v>
      </c>
      <c r="S474" s="0">
        <f>IF(AB474="","",IF(SUMPRODUCT(--('LÉEME'!$B$65:$B$86=AC474))=1,INDEX('LÉEME'!$C$65:$C$86,MATCH(AC474,'LÉEME'!$B$65:$B$86,0)),UPPER(TRIM(AB474))))</f>
      </c>
      <c r="T474" s="0" t="n">
        <f>IF(R474=0,0,IF(OR(AND(LEN(TRIM(B474&amp;""))&gt;0,UPPER(TRIM(B474&amp;""))&lt;&gt;UPPER(TRIM(INDEX($B$13:$B$512,R474)&amp;""))),AND(LEN(TRIM(C474&amp;""))&gt;0,UPPER(TRIM(C474&amp;""))&lt;&gt;UPPER(TRIM(INDEX($C$13:$C$512,R474)&amp;""))),AND(LEN(TRIM(E474&amp;""))&gt;0,S474&lt;&gt;INDEX($S$13:$S$512,R474)),AND(F474&lt;&gt;"",NOT(ISNUMBER(F474)))),1,IF(ISNUMBER(F474),IF(ABS(F474-INDEX($F$13:$F$512,R474))&gt;0.00000001,1,0),0)))</f>
        <v>0</v>
      </c>
      <c r="U474" s="0" t="n">
        <f>IF(P474="DIRECTA",IF(AND(ISNUMBER(G474),COUNTA(H474:J474)=0),1,0),IF(P474="DIMENSIONES",IF(AND(COUNT(G474:J474)&gt;0,COUNTA(G474:J474)=COUNT(G474:J474)),1,0),0))</f>
        <v>0</v>
      </c>
      <c r="V474" s="0" t="n">
        <f>IF(O474=0,0,IF(COUNTIFS($O$13:O474,O474)=1,1,0))</f>
        <v>0</v>
      </c>
      <c r="W474" s="0">
        <f>IF(V474=1,COUNTIFS($V$13:V474,1),"")</f>
      </c>
      <c r="X474" s="0">
        <f>IF(COUNTA(B474:L474)=0,"",IF(OR(NOT(IF(ISNUMBER($E$6),AND($E$6&gt;=0,$E$6&lt;=6,$E$6=INT($E$6)),FALSE)),O474=0,R474=0,T474&gt;0,AND(P474&lt;&gt;"DIMENSIONES",P474&lt;&gt;"DIRECTA",P474&lt;&gt;"SIN LÍNEAS",P474&lt;&gt;"CABECERA"),AND(OR(P474="DIRECTA",P474="DIMENSIONES"),U474=0),AND(OR(P474="SIN LÍNEAS",P474="CABECERA"),COUNTA(G474:J474)&gt;0)),2,IF(OR(P474="SIN LÍNEAS",Y474&gt;0,Z474&gt;0,AA474&gt;0,SUMPRODUCT(--('LÉEME'!$B$65:$B$86=AC474))&lt;&gt;1),1,0)))</f>
      </c>
      <c r="Y474" s="0" t="n">
        <f>IF(AND(P474="DIMENSIONES",S474="m²",COUNT(H474:J474)=3),1,0)</f>
        <v>0</v>
      </c>
      <c r="Z474" s="0" t="n">
        <f>IF(IF(ISNUMBER($E$6),AND($E$6&gt;=0,$E$6&lt;=6,$E$6=INT($E$6)),FALSE),IF(SUM(IF(ISNUMBER(F474),IF(ABS(F474-ROUND(F474,$E$6))&gt;0.00000001,1,0),0),IF(ISNUMBER(G474),IF(ABS(G474-ROUND(G474,$E$6))&gt;0.00000001,1,0),0),IF(ISNUMBER(H474),IF(ABS(H474-ROUND(H474,$E$6))&gt;0.00000001,1,0),0),IF(ISNUMBER(I474),IF(ABS(I474-ROUND(I474,$E$6))&gt;0.00000001,1,0),0),IF(ISNUMBER(J474),IF(ABS(J474-ROUND(J474,$E$6))&gt;0.00000001,1,0),0),IF(ISNUMBER(M474),IF(ABS(M474-ROUND(M474,$E$6))&gt;0.00000001,1,0),0))&gt;0,1,0),0)</f>
        <v>0</v>
      </c>
      <c r="AA474" s="0" t="n">
        <f>IF(COUNTA(B474:L474)=0,0,IF(OR(AND(ISNUMBER(F474),F474&lt;0),AND(U474=1,OR(SUM(IF(ISNUMBER(G474),IF(G474=0,1,0),0),IF(ISNUMBER(H474),IF(H474=0,1,0),0),IF(ISNUMBER(I474),IF(I474=0,1,0),0),IF(ISNUMBER(J474),IF(J474=0,1,0),0))&gt;0,COUNTIFS(G474:J474,"&lt;0")&gt;0)),AND(P474="DIMENSIONES",U474=1,OR(AND(S474="m",COUNT(H474:J474)&lt;&gt;1),AND(S474="m²",COUNT(H474:J474)&lt;&gt;2,Y474=0),AND(S474="m³",COUNT(H474:J474)&lt;&gt;3),AND(S474="ud",COUNT(H474:J474)&gt;0))),AND(P474="DIRECTA",OR(S474="m",S474="m²",S474="m³"))),1,0))</f>
        <v>0</v>
      </c>
      <c r="AB474" s="0">
        <f>IF(LEN(TRIM(E474&amp;""))&gt;0,E474,IF(R474&gt;0,INDEX($E$13:$E$512,R474),""))</f>
      </c>
      <c r="AC474" s="0">
        <f>UPPER(SUBSTITUTE(SUBSTITUTE(SUBSTITUTE(SUBSTITUTE(SUBSTITUTE(TRIM(AB474),"²","2"),"³","3"),"^",""),".","")," ",""))</f>
      </c>
    </row>
    <row r="475" ht="35" customHeight="1">
      <c r="B475" s="35"/>
      <c r="C475" s="35"/>
      <c r="D475" s="37"/>
      <c r="E475" s="35"/>
      <c r="F475" s="38"/>
      <c r="G475" s="38"/>
      <c r="H475" s="38"/>
      <c r="I475" s="38"/>
      <c r="J475" s="38"/>
      <c r="K475" s="35"/>
      <c r="L475" s="35"/>
      <c r="M475" s="39">
        <f>IF(U475&lt;&gt;1,"",IF(P475="DIRECTA",G475,IF(ISNUMBER(G475),G475,1)*IF(ISNUMBER(H475),H475,1)*IF(ISNUMBER(I475),I475,1)*IF(ISNUMBER(J475),J475,1)))</f>
      </c>
      <c r="N475" s="30">
        <f>IF(COUNTA(B475:L475)=0,"",IF(X475=0,IF(P475="CABECERA","VERDE · Fila descriptiva; la suma usa las líneas del ID","VERDE · Datos numéricos interpretables"),IF(X475=2,"ROJO · ","ÁMBAR · ")&amp;IF(NOT(IF(ISNUMBER($E$6),AND($E$6&gt;=0,$E$6&lt;=6,$E$6=INT($E$6)),FALSE)),"Indicamos entre 0 y 6 decimales en E6. ","")&amp;IF(O475=0,"Falta un ID numérico. ","")&amp;IF(R475=0,"Faltan capítulo, código, unidad o total numérico del ID. ","")&amp;IF(T475&gt;0,"Los datos o el total del ID se contradicen. ","")&amp;IF(AND(P475&lt;&gt;"DIMENSIONES",P475&lt;&gt;"DIRECTA",P475&lt;&gt;"SIN LÍNEAS",P475&lt;&gt;"CABECERA"),"Tipo de fila no reconocido. ","")&amp;IF(AND(OR(P475="SIN LÍNEAS",P475="CABECERA"),COUNTA(G475:J475)&gt;0),"La fila dice que no mide, pero contiene medidas. ","")&amp;IF(AND(OR(P475="DIRECTA",P475="DIMENSIONES"),U475=0),"Línea incompleta o con medidas no numéricas. ","")&amp;IF(P475="SIN LÍNEAS","No constan medidas de esta fila. ","")&amp;IF(Y475&gt;0,"Parece m³: tres dimensiones bajo m². ","")&amp;IF(AND(AB475&lt;&gt;"",SUMPRODUCT(--('LÉEME'!$B$65:$B$86=AC475))&lt;&gt;1),"Revisamos el significado de la unidad. ","")&amp;IF(Z475&gt;0,"Más precisión que los decimales indicados: cotejamos el original. ","")&amp;IF(AA475&gt;0,"Revisamos dimensiones, cantidad directa, ceros o deducción. ","")))</f>
      </c>
      <c r="O475" s="0" t="n">
        <f>IF(ISNUMBER(K475),IF(AND(K475&gt;0,K475=INT(K475),K475&lt;=999999),K475,0),0)</f>
        <v>0</v>
      </c>
      <c r="P475" s="0">
        <f>IF(COUNTA(B475:L475)=0,"",IF(L475="",IF(COUNTA(G475:J475)&gt;0,"DIMENSIONES","SIN LÍNEAS"),UPPER(TRIM(L475))))</f>
      </c>
      <c r="Q475" s="0">
        <f>IF(AND(O475&gt;0,LEN(TRIM(B475&amp;""))&gt;0,LEN(TRIM(C475&amp;""))&gt;0,LEN(TRIM(E475&amp;""))&gt;0,ISNUMBER(F475)),O475,"")</f>
      </c>
      <c r="R475" s="0" t="n">
        <f>IF(O475=0,0,IF(COUNTIFS($Q$13:$Q$512,O475)&gt;0,MATCH(O475,$Q$13:$Q$512,0),0))</f>
        <v>0</v>
      </c>
      <c r="S475" s="0">
        <f>IF(AB475="","",IF(SUMPRODUCT(--('LÉEME'!$B$65:$B$86=AC475))=1,INDEX('LÉEME'!$C$65:$C$86,MATCH(AC475,'LÉEME'!$B$65:$B$86,0)),UPPER(TRIM(AB475))))</f>
      </c>
      <c r="T475" s="0" t="n">
        <f>IF(R475=0,0,IF(OR(AND(LEN(TRIM(B475&amp;""))&gt;0,UPPER(TRIM(B475&amp;""))&lt;&gt;UPPER(TRIM(INDEX($B$13:$B$512,R475)&amp;""))),AND(LEN(TRIM(C475&amp;""))&gt;0,UPPER(TRIM(C475&amp;""))&lt;&gt;UPPER(TRIM(INDEX($C$13:$C$512,R475)&amp;""))),AND(LEN(TRIM(E475&amp;""))&gt;0,S475&lt;&gt;INDEX($S$13:$S$512,R475)),AND(F475&lt;&gt;"",NOT(ISNUMBER(F475)))),1,IF(ISNUMBER(F475),IF(ABS(F475-INDEX($F$13:$F$512,R475))&gt;0.00000001,1,0),0)))</f>
        <v>0</v>
      </c>
      <c r="U475" s="0" t="n">
        <f>IF(P475="DIRECTA",IF(AND(ISNUMBER(G475),COUNTA(H475:J475)=0),1,0),IF(P475="DIMENSIONES",IF(AND(COUNT(G475:J475)&gt;0,COUNTA(G475:J475)=COUNT(G475:J475)),1,0),0))</f>
        <v>0</v>
      </c>
      <c r="V475" s="0" t="n">
        <f>IF(O475=0,0,IF(COUNTIFS($O$13:O475,O475)=1,1,0))</f>
        <v>0</v>
      </c>
      <c r="W475" s="0">
        <f>IF(V475=1,COUNTIFS($V$13:V475,1),"")</f>
      </c>
      <c r="X475" s="0">
        <f>IF(COUNTA(B475:L475)=0,"",IF(OR(NOT(IF(ISNUMBER($E$6),AND($E$6&gt;=0,$E$6&lt;=6,$E$6=INT($E$6)),FALSE)),O475=0,R475=0,T475&gt;0,AND(P475&lt;&gt;"DIMENSIONES",P475&lt;&gt;"DIRECTA",P475&lt;&gt;"SIN LÍNEAS",P475&lt;&gt;"CABECERA"),AND(OR(P475="DIRECTA",P475="DIMENSIONES"),U475=0),AND(OR(P475="SIN LÍNEAS",P475="CABECERA"),COUNTA(G475:J475)&gt;0)),2,IF(OR(P475="SIN LÍNEAS",Y475&gt;0,Z475&gt;0,AA475&gt;0,SUMPRODUCT(--('LÉEME'!$B$65:$B$86=AC475))&lt;&gt;1),1,0)))</f>
      </c>
      <c r="Y475" s="0" t="n">
        <f>IF(AND(P475="DIMENSIONES",S475="m²",COUNT(H475:J475)=3),1,0)</f>
        <v>0</v>
      </c>
      <c r="Z475" s="0" t="n">
        <f>IF(IF(ISNUMBER($E$6),AND($E$6&gt;=0,$E$6&lt;=6,$E$6=INT($E$6)),FALSE),IF(SUM(IF(ISNUMBER(F475),IF(ABS(F475-ROUND(F475,$E$6))&gt;0.00000001,1,0),0),IF(ISNUMBER(G475),IF(ABS(G475-ROUND(G475,$E$6))&gt;0.00000001,1,0),0),IF(ISNUMBER(H475),IF(ABS(H475-ROUND(H475,$E$6))&gt;0.00000001,1,0),0),IF(ISNUMBER(I475),IF(ABS(I475-ROUND(I475,$E$6))&gt;0.00000001,1,0),0),IF(ISNUMBER(J475),IF(ABS(J475-ROUND(J475,$E$6))&gt;0.00000001,1,0),0),IF(ISNUMBER(M475),IF(ABS(M475-ROUND(M475,$E$6))&gt;0.00000001,1,0),0))&gt;0,1,0),0)</f>
        <v>0</v>
      </c>
      <c r="AA475" s="0" t="n">
        <f>IF(COUNTA(B475:L475)=0,0,IF(OR(AND(ISNUMBER(F475),F475&lt;0),AND(U475=1,OR(SUM(IF(ISNUMBER(G475),IF(G475=0,1,0),0),IF(ISNUMBER(H475),IF(H475=0,1,0),0),IF(ISNUMBER(I475),IF(I475=0,1,0),0),IF(ISNUMBER(J475),IF(J475=0,1,0),0))&gt;0,COUNTIFS(G475:J475,"&lt;0")&gt;0)),AND(P475="DIMENSIONES",U475=1,OR(AND(S475="m",COUNT(H475:J475)&lt;&gt;1),AND(S475="m²",COUNT(H475:J475)&lt;&gt;2,Y475=0),AND(S475="m³",COUNT(H475:J475)&lt;&gt;3),AND(S475="ud",COUNT(H475:J475)&gt;0))),AND(P475="DIRECTA",OR(S475="m",S475="m²",S475="m³"))),1,0))</f>
        <v>0</v>
      </c>
      <c r="AB475" s="0">
        <f>IF(LEN(TRIM(E475&amp;""))&gt;0,E475,IF(R475&gt;0,INDEX($E$13:$E$512,R475),""))</f>
      </c>
      <c r="AC475" s="0">
        <f>UPPER(SUBSTITUTE(SUBSTITUTE(SUBSTITUTE(SUBSTITUTE(SUBSTITUTE(TRIM(AB475),"²","2"),"³","3"),"^",""),".","")," ",""))</f>
      </c>
    </row>
    <row r="476" ht="35" customHeight="1">
      <c r="B476" s="35"/>
      <c r="C476" s="35"/>
      <c r="D476" s="37"/>
      <c r="E476" s="35"/>
      <c r="F476" s="38"/>
      <c r="G476" s="38"/>
      <c r="H476" s="38"/>
      <c r="I476" s="38"/>
      <c r="J476" s="38"/>
      <c r="K476" s="35"/>
      <c r="L476" s="35"/>
      <c r="M476" s="39">
        <f>IF(U476&lt;&gt;1,"",IF(P476="DIRECTA",G476,IF(ISNUMBER(G476),G476,1)*IF(ISNUMBER(H476),H476,1)*IF(ISNUMBER(I476),I476,1)*IF(ISNUMBER(J476),J476,1)))</f>
      </c>
      <c r="N476" s="30">
        <f>IF(COUNTA(B476:L476)=0,"",IF(X476=0,IF(P476="CABECERA","VERDE · Fila descriptiva; la suma usa las líneas del ID","VERDE · Datos numéricos interpretables"),IF(X476=2,"ROJO · ","ÁMBAR · ")&amp;IF(NOT(IF(ISNUMBER($E$6),AND($E$6&gt;=0,$E$6&lt;=6,$E$6=INT($E$6)),FALSE)),"Indicamos entre 0 y 6 decimales en E6. ","")&amp;IF(O476=0,"Falta un ID numérico. ","")&amp;IF(R476=0,"Faltan capítulo, código, unidad o total numérico del ID. ","")&amp;IF(T476&gt;0,"Los datos o el total del ID se contradicen. ","")&amp;IF(AND(P476&lt;&gt;"DIMENSIONES",P476&lt;&gt;"DIRECTA",P476&lt;&gt;"SIN LÍNEAS",P476&lt;&gt;"CABECERA"),"Tipo de fila no reconocido. ","")&amp;IF(AND(OR(P476="SIN LÍNEAS",P476="CABECERA"),COUNTA(G476:J476)&gt;0),"La fila dice que no mide, pero contiene medidas. ","")&amp;IF(AND(OR(P476="DIRECTA",P476="DIMENSIONES"),U476=0),"Línea incompleta o con medidas no numéricas. ","")&amp;IF(P476="SIN LÍNEAS","No constan medidas de esta fila. ","")&amp;IF(Y476&gt;0,"Parece m³: tres dimensiones bajo m². ","")&amp;IF(AND(AB476&lt;&gt;"",SUMPRODUCT(--('LÉEME'!$B$65:$B$86=AC476))&lt;&gt;1),"Revisamos el significado de la unidad. ","")&amp;IF(Z476&gt;0,"Más precisión que los decimales indicados: cotejamos el original. ","")&amp;IF(AA476&gt;0,"Revisamos dimensiones, cantidad directa, ceros o deducción. ","")))</f>
      </c>
      <c r="O476" s="0" t="n">
        <f>IF(ISNUMBER(K476),IF(AND(K476&gt;0,K476=INT(K476),K476&lt;=999999),K476,0),0)</f>
        <v>0</v>
      </c>
      <c r="P476" s="0">
        <f>IF(COUNTA(B476:L476)=0,"",IF(L476="",IF(COUNTA(G476:J476)&gt;0,"DIMENSIONES","SIN LÍNEAS"),UPPER(TRIM(L476))))</f>
      </c>
      <c r="Q476" s="0">
        <f>IF(AND(O476&gt;0,LEN(TRIM(B476&amp;""))&gt;0,LEN(TRIM(C476&amp;""))&gt;0,LEN(TRIM(E476&amp;""))&gt;0,ISNUMBER(F476)),O476,"")</f>
      </c>
      <c r="R476" s="0" t="n">
        <f>IF(O476=0,0,IF(COUNTIFS($Q$13:$Q$512,O476)&gt;0,MATCH(O476,$Q$13:$Q$512,0),0))</f>
        <v>0</v>
      </c>
      <c r="S476" s="0">
        <f>IF(AB476="","",IF(SUMPRODUCT(--('LÉEME'!$B$65:$B$86=AC476))=1,INDEX('LÉEME'!$C$65:$C$86,MATCH(AC476,'LÉEME'!$B$65:$B$86,0)),UPPER(TRIM(AB476))))</f>
      </c>
      <c r="T476" s="0" t="n">
        <f>IF(R476=0,0,IF(OR(AND(LEN(TRIM(B476&amp;""))&gt;0,UPPER(TRIM(B476&amp;""))&lt;&gt;UPPER(TRIM(INDEX($B$13:$B$512,R476)&amp;""))),AND(LEN(TRIM(C476&amp;""))&gt;0,UPPER(TRIM(C476&amp;""))&lt;&gt;UPPER(TRIM(INDEX($C$13:$C$512,R476)&amp;""))),AND(LEN(TRIM(E476&amp;""))&gt;0,S476&lt;&gt;INDEX($S$13:$S$512,R476)),AND(F476&lt;&gt;"",NOT(ISNUMBER(F476)))),1,IF(ISNUMBER(F476),IF(ABS(F476-INDEX($F$13:$F$512,R476))&gt;0.00000001,1,0),0)))</f>
        <v>0</v>
      </c>
      <c r="U476" s="0" t="n">
        <f>IF(P476="DIRECTA",IF(AND(ISNUMBER(G476),COUNTA(H476:J476)=0),1,0),IF(P476="DIMENSIONES",IF(AND(COUNT(G476:J476)&gt;0,COUNTA(G476:J476)=COUNT(G476:J476)),1,0),0))</f>
        <v>0</v>
      </c>
      <c r="V476" s="0" t="n">
        <f>IF(O476=0,0,IF(COUNTIFS($O$13:O476,O476)=1,1,0))</f>
        <v>0</v>
      </c>
      <c r="W476" s="0">
        <f>IF(V476=1,COUNTIFS($V$13:V476,1),"")</f>
      </c>
      <c r="X476" s="0">
        <f>IF(COUNTA(B476:L476)=0,"",IF(OR(NOT(IF(ISNUMBER($E$6),AND($E$6&gt;=0,$E$6&lt;=6,$E$6=INT($E$6)),FALSE)),O476=0,R476=0,T476&gt;0,AND(P476&lt;&gt;"DIMENSIONES",P476&lt;&gt;"DIRECTA",P476&lt;&gt;"SIN LÍNEAS",P476&lt;&gt;"CABECERA"),AND(OR(P476="DIRECTA",P476="DIMENSIONES"),U476=0),AND(OR(P476="SIN LÍNEAS",P476="CABECERA"),COUNTA(G476:J476)&gt;0)),2,IF(OR(P476="SIN LÍNEAS",Y476&gt;0,Z476&gt;0,AA476&gt;0,SUMPRODUCT(--('LÉEME'!$B$65:$B$86=AC476))&lt;&gt;1),1,0)))</f>
      </c>
      <c r="Y476" s="0" t="n">
        <f>IF(AND(P476="DIMENSIONES",S476="m²",COUNT(H476:J476)=3),1,0)</f>
        <v>0</v>
      </c>
      <c r="Z476" s="0" t="n">
        <f>IF(IF(ISNUMBER($E$6),AND($E$6&gt;=0,$E$6&lt;=6,$E$6=INT($E$6)),FALSE),IF(SUM(IF(ISNUMBER(F476),IF(ABS(F476-ROUND(F476,$E$6))&gt;0.00000001,1,0),0),IF(ISNUMBER(G476),IF(ABS(G476-ROUND(G476,$E$6))&gt;0.00000001,1,0),0),IF(ISNUMBER(H476),IF(ABS(H476-ROUND(H476,$E$6))&gt;0.00000001,1,0),0),IF(ISNUMBER(I476),IF(ABS(I476-ROUND(I476,$E$6))&gt;0.00000001,1,0),0),IF(ISNUMBER(J476),IF(ABS(J476-ROUND(J476,$E$6))&gt;0.00000001,1,0),0),IF(ISNUMBER(M476),IF(ABS(M476-ROUND(M476,$E$6))&gt;0.00000001,1,0),0))&gt;0,1,0),0)</f>
        <v>0</v>
      </c>
      <c r="AA476" s="0" t="n">
        <f>IF(COUNTA(B476:L476)=0,0,IF(OR(AND(ISNUMBER(F476),F476&lt;0),AND(U476=1,OR(SUM(IF(ISNUMBER(G476),IF(G476=0,1,0),0),IF(ISNUMBER(H476),IF(H476=0,1,0),0),IF(ISNUMBER(I476),IF(I476=0,1,0),0),IF(ISNUMBER(J476),IF(J476=0,1,0),0))&gt;0,COUNTIFS(G476:J476,"&lt;0")&gt;0)),AND(P476="DIMENSIONES",U476=1,OR(AND(S476="m",COUNT(H476:J476)&lt;&gt;1),AND(S476="m²",COUNT(H476:J476)&lt;&gt;2,Y476=0),AND(S476="m³",COUNT(H476:J476)&lt;&gt;3),AND(S476="ud",COUNT(H476:J476)&gt;0))),AND(P476="DIRECTA",OR(S476="m",S476="m²",S476="m³"))),1,0))</f>
        <v>0</v>
      </c>
      <c r="AB476" s="0">
        <f>IF(LEN(TRIM(E476&amp;""))&gt;0,E476,IF(R476&gt;0,INDEX($E$13:$E$512,R476),""))</f>
      </c>
      <c r="AC476" s="0">
        <f>UPPER(SUBSTITUTE(SUBSTITUTE(SUBSTITUTE(SUBSTITUTE(SUBSTITUTE(TRIM(AB476),"²","2"),"³","3"),"^",""),".","")," ",""))</f>
      </c>
    </row>
    <row r="477" ht="35" customHeight="1">
      <c r="B477" s="35"/>
      <c r="C477" s="35"/>
      <c r="D477" s="37"/>
      <c r="E477" s="35"/>
      <c r="F477" s="38"/>
      <c r="G477" s="38"/>
      <c r="H477" s="38"/>
      <c r="I477" s="38"/>
      <c r="J477" s="38"/>
      <c r="K477" s="35"/>
      <c r="L477" s="35"/>
      <c r="M477" s="39">
        <f>IF(U477&lt;&gt;1,"",IF(P477="DIRECTA",G477,IF(ISNUMBER(G477),G477,1)*IF(ISNUMBER(H477),H477,1)*IF(ISNUMBER(I477),I477,1)*IF(ISNUMBER(J477),J477,1)))</f>
      </c>
      <c r="N477" s="30">
        <f>IF(COUNTA(B477:L477)=0,"",IF(X477=0,IF(P477="CABECERA","VERDE · Fila descriptiva; la suma usa las líneas del ID","VERDE · Datos numéricos interpretables"),IF(X477=2,"ROJO · ","ÁMBAR · ")&amp;IF(NOT(IF(ISNUMBER($E$6),AND($E$6&gt;=0,$E$6&lt;=6,$E$6=INT($E$6)),FALSE)),"Indicamos entre 0 y 6 decimales en E6. ","")&amp;IF(O477=0,"Falta un ID numérico. ","")&amp;IF(R477=0,"Faltan capítulo, código, unidad o total numérico del ID. ","")&amp;IF(T477&gt;0,"Los datos o el total del ID se contradicen. ","")&amp;IF(AND(P477&lt;&gt;"DIMENSIONES",P477&lt;&gt;"DIRECTA",P477&lt;&gt;"SIN LÍNEAS",P477&lt;&gt;"CABECERA"),"Tipo de fila no reconocido. ","")&amp;IF(AND(OR(P477="SIN LÍNEAS",P477="CABECERA"),COUNTA(G477:J477)&gt;0),"La fila dice que no mide, pero contiene medidas. ","")&amp;IF(AND(OR(P477="DIRECTA",P477="DIMENSIONES"),U477=0),"Línea incompleta o con medidas no numéricas. ","")&amp;IF(P477="SIN LÍNEAS","No constan medidas de esta fila. ","")&amp;IF(Y477&gt;0,"Parece m³: tres dimensiones bajo m². ","")&amp;IF(AND(AB477&lt;&gt;"",SUMPRODUCT(--('LÉEME'!$B$65:$B$86=AC477))&lt;&gt;1),"Revisamos el significado de la unidad. ","")&amp;IF(Z477&gt;0,"Más precisión que los decimales indicados: cotejamos el original. ","")&amp;IF(AA477&gt;0,"Revisamos dimensiones, cantidad directa, ceros o deducción. ","")))</f>
      </c>
      <c r="O477" s="0" t="n">
        <f>IF(ISNUMBER(K477),IF(AND(K477&gt;0,K477=INT(K477),K477&lt;=999999),K477,0),0)</f>
        <v>0</v>
      </c>
      <c r="P477" s="0">
        <f>IF(COUNTA(B477:L477)=0,"",IF(L477="",IF(COUNTA(G477:J477)&gt;0,"DIMENSIONES","SIN LÍNEAS"),UPPER(TRIM(L477))))</f>
      </c>
      <c r="Q477" s="0">
        <f>IF(AND(O477&gt;0,LEN(TRIM(B477&amp;""))&gt;0,LEN(TRIM(C477&amp;""))&gt;0,LEN(TRIM(E477&amp;""))&gt;0,ISNUMBER(F477)),O477,"")</f>
      </c>
      <c r="R477" s="0" t="n">
        <f>IF(O477=0,0,IF(COUNTIFS($Q$13:$Q$512,O477)&gt;0,MATCH(O477,$Q$13:$Q$512,0),0))</f>
        <v>0</v>
      </c>
      <c r="S477" s="0">
        <f>IF(AB477="","",IF(SUMPRODUCT(--('LÉEME'!$B$65:$B$86=AC477))=1,INDEX('LÉEME'!$C$65:$C$86,MATCH(AC477,'LÉEME'!$B$65:$B$86,0)),UPPER(TRIM(AB477))))</f>
      </c>
      <c r="T477" s="0" t="n">
        <f>IF(R477=0,0,IF(OR(AND(LEN(TRIM(B477&amp;""))&gt;0,UPPER(TRIM(B477&amp;""))&lt;&gt;UPPER(TRIM(INDEX($B$13:$B$512,R477)&amp;""))),AND(LEN(TRIM(C477&amp;""))&gt;0,UPPER(TRIM(C477&amp;""))&lt;&gt;UPPER(TRIM(INDEX($C$13:$C$512,R477)&amp;""))),AND(LEN(TRIM(E477&amp;""))&gt;0,S477&lt;&gt;INDEX($S$13:$S$512,R477)),AND(F477&lt;&gt;"",NOT(ISNUMBER(F477)))),1,IF(ISNUMBER(F477),IF(ABS(F477-INDEX($F$13:$F$512,R477))&gt;0.00000001,1,0),0)))</f>
        <v>0</v>
      </c>
      <c r="U477" s="0" t="n">
        <f>IF(P477="DIRECTA",IF(AND(ISNUMBER(G477),COUNTA(H477:J477)=0),1,0),IF(P477="DIMENSIONES",IF(AND(COUNT(G477:J477)&gt;0,COUNTA(G477:J477)=COUNT(G477:J477)),1,0),0))</f>
        <v>0</v>
      </c>
      <c r="V477" s="0" t="n">
        <f>IF(O477=0,0,IF(COUNTIFS($O$13:O477,O477)=1,1,0))</f>
        <v>0</v>
      </c>
      <c r="W477" s="0">
        <f>IF(V477=1,COUNTIFS($V$13:V477,1),"")</f>
      </c>
      <c r="X477" s="0">
        <f>IF(COUNTA(B477:L477)=0,"",IF(OR(NOT(IF(ISNUMBER($E$6),AND($E$6&gt;=0,$E$6&lt;=6,$E$6=INT($E$6)),FALSE)),O477=0,R477=0,T477&gt;0,AND(P477&lt;&gt;"DIMENSIONES",P477&lt;&gt;"DIRECTA",P477&lt;&gt;"SIN LÍNEAS",P477&lt;&gt;"CABECERA"),AND(OR(P477="DIRECTA",P477="DIMENSIONES"),U477=0),AND(OR(P477="SIN LÍNEAS",P477="CABECERA"),COUNTA(G477:J477)&gt;0)),2,IF(OR(P477="SIN LÍNEAS",Y477&gt;0,Z477&gt;0,AA477&gt;0,SUMPRODUCT(--('LÉEME'!$B$65:$B$86=AC477))&lt;&gt;1),1,0)))</f>
      </c>
      <c r="Y477" s="0" t="n">
        <f>IF(AND(P477="DIMENSIONES",S477="m²",COUNT(H477:J477)=3),1,0)</f>
        <v>0</v>
      </c>
      <c r="Z477" s="0" t="n">
        <f>IF(IF(ISNUMBER($E$6),AND($E$6&gt;=0,$E$6&lt;=6,$E$6=INT($E$6)),FALSE),IF(SUM(IF(ISNUMBER(F477),IF(ABS(F477-ROUND(F477,$E$6))&gt;0.00000001,1,0),0),IF(ISNUMBER(G477),IF(ABS(G477-ROUND(G477,$E$6))&gt;0.00000001,1,0),0),IF(ISNUMBER(H477),IF(ABS(H477-ROUND(H477,$E$6))&gt;0.00000001,1,0),0),IF(ISNUMBER(I477),IF(ABS(I477-ROUND(I477,$E$6))&gt;0.00000001,1,0),0),IF(ISNUMBER(J477),IF(ABS(J477-ROUND(J477,$E$6))&gt;0.00000001,1,0),0),IF(ISNUMBER(M477),IF(ABS(M477-ROUND(M477,$E$6))&gt;0.00000001,1,0),0))&gt;0,1,0),0)</f>
        <v>0</v>
      </c>
      <c r="AA477" s="0" t="n">
        <f>IF(COUNTA(B477:L477)=0,0,IF(OR(AND(ISNUMBER(F477),F477&lt;0),AND(U477=1,OR(SUM(IF(ISNUMBER(G477),IF(G477=0,1,0),0),IF(ISNUMBER(H477),IF(H477=0,1,0),0),IF(ISNUMBER(I477),IF(I477=0,1,0),0),IF(ISNUMBER(J477),IF(J477=0,1,0),0))&gt;0,COUNTIFS(G477:J477,"&lt;0")&gt;0)),AND(P477="DIMENSIONES",U477=1,OR(AND(S477="m",COUNT(H477:J477)&lt;&gt;1),AND(S477="m²",COUNT(H477:J477)&lt;&gt;2,Y477=0),AND(S477="m³",COUNT(H477:J477)&lt;&gt;3),AND(S477="ud",COUNT(H477:J477)&gt;0))),AND(P477="DIRECTA",OR(S477="m",S477="m²",S477="m³"))),1,0))</f>
        <v>0</v>
      </c>
      <c r="AB477" s="0">
        <f>IF(LEN(TRIM(E477&amp;""))&gt;0,E477,IF(R477&gt;0,INDEX($E$13:$E$512,R477),""))</f>
      </c>
      <c r="AC477" s="0">
        <f>UPPER(SUBSTITUTE(SUBSTITUTE(SUBSTITUTE(SUBSTITUTE(SUBSTITUTE(TRIM(AB477),"²","2"),"³","3"),"^",""),".","")," ",""))</f>
      </c>
    </row>
    <row r="478" ht="35" customHeight="1">
      <c r="B478" s="35"/>
      <c r="C478" s="35"/>
      <c r="D478" s="37"/>
      <c r="E478" s="35"/>
      <c r="F478" s="38"/>
      <c r="G478" s="38"/>
      <c r="H478" s="38"/>
      <c r="I478" s="38"/>
      <c r="J478" s="38"/>
      <c r="K478" s="35"/>
      <c r="L478" s="35"/>
      <c r="M478" s="39">
        <f>IF(U478&lt;&gt;1,"",IF(P478="DIRECTA",G478,IF(ISNUMBER(G478),G478,1)*IF(ISNUMBER(H478),H478,1)*IF(ISNUMBER(I478),I478,1)*IF(ISNUMBER(J478),J478,1)))</f>
      </c>
      <c r="N478" s="30">
        <f>IF(COUNTA(B478:L478)=0,"",IF(X478=0,IF(P478="CABECERA","VERDE · Fila descriptiva; la suma usa las líneas del ID","VERDE · Datos numéricos interpretables"),IF(X478=2,"ROJO · ","ÁMBAR · ")&amp;IF(NOT(IF(ISNUMBER($E$6),AND($E$6&gt;=0,$E$6&lt;=6,$E$6=INT($E$6)),FALSE)),"Indicamos entre 0 y 6 decimales en E6. ","")&amp;IF(O478=0,"Falta un ID numérico. ","")&amp;IF(R478=0,"Faltan capítulo, código, unidad o total numérico del ID. ","")&amp;IF(T478&gt;0,"Los datos o el total del ID se contradicen. ","")&amp;IF(AND(P478&lt;&gt;"DIMENSIONES",P478&lt;&gt;"DIRECTA",P478&lt;&gt;"SIN LÍNEAS",P478&lt;&gt;"CABECERA"),"Tipo de fila no reconocido. ","")&amp;IF(AND(OR(P478="SIN LÍNEAS",P478="CABECERA"),COUNTA(G478:J478)&gt;0),"La fila dice que no mide, pero contiene medidas. ","")&amp;IF(AND(OR(P478="DIRECTA",P478="DIMENSIONES"),U478=0),"Línea incompleta o con medidas no numéricas. ","")&amp;IF(P478="SIN LÍNEAS","No constan medidas de esta fila. ","")&amp;IF(Y478&gt;0,"Parece m³: tres dimensiones bajo m². ","")&amp;IF(AND(AB478&lt;&gt;"",SUMPRODUCT(--('LÉEME'!$B$65:$B$86=AC478))&lt;&gt;1),"Revisamos el significado de la unidad. ","")&amp;IF(Z478&gt;0,"Más precisión que los decimales indicados: cotejamos el original. ","")&amp;IF(AA478&gt;0,"Revisamos dimensiones, cantidad directa, ceros o deducción. ","")))</f>
      </c>
      <c r="O478" s="0" t="n">
        <f>IF(ISNUMBER(K478),IF(AND(K478&gt;0,K478=INT(K478),K478&lt;=999999),K478,0),0)</f>
        <v>0</v>
      </c>
      <c r="P478" s="0">
        <f>IF(COUNTA(B478:L478)=0,"",IF(L478="",IF(COUNTA(G478:J478)&gt;0,"DIMENSIONES","SIN LÍNEAS"),UPPER(TRIM(L478))))</f>
      </c>
      <c r="Q478" s="0">
        <f>IF(AND(O478&gt;0,LEN(TRIM(B478&amp;""))&gt;0,LEN(TRIM(C478&amp;""))&gt;0,LEN(TRIM(E478&amp;""))&gt;0,ISNUMBER(F478)),O478,"")</f>
      </c>
      <c r="R478" s="0" t="n">
        <f>IF(O478=0,0,IF(COUNTIFS($Q$13:$Q$512,O478)&gt;0,MATCH(O478,$Q$13:$Q$512,0),0))</f>
        <v>0</v>
      </c>
      <c r="S478" s="0">
        <f>IF(AB478="","",IF(SUMPRODUCT(--('LÉEME'!$B$65:$B$86=AC478))=1,INDEX('LÉEME'!$C$65:$C$86,MATCH(AC478,'LÉEME'!$B$65:$B$86,0)),UPPER(TRIM(AB478))))</f>
      </c>
      <c r="T478" s="0" t="n">
        <f>IF(R478=0,0,IF(OR(AND(LEN(TRIM(B478&amp;""))&gt;0,UPPER(TRIM(B478&amp;""))&lt;&gt;UPPER(TRIM(INDEX($B$13:$B$512,R478)&amp;""))),AND(LEN(TRIM(C478&amp;""))&gt;0,UPPER(TRIM(C478&amp;""))&lt;&gt;UPPER(TRIM(INDEX($C$13:$C$512,R478)&amp;""))),AND(LEN(TRIM(E478&amp;""))&gt;0,S478&lt;&gt;INDEX($S$13:$S$512,R478)),AND(F478&lt;&gt;"",NOT(ISNUMBER(F478)))),1,IF(ISNUMBER(F478),IF(ABS(F478-INDEX($F$13:$F$512,R478))&gt;0.00000001,1,0),0)))</f>
        <v>0</v>
      </c>
      <c r="U478" s="0" t="n">
        <f>IF(P478="DIRECTA",IF(AND(ISNUMBER(G478),COUNTA(H478:J478)=0),1,0),IF(P478="DIMENSIONES",IF(AND(COUNT(G478:J478)&gt;0,COUNTA(G478:J478)=COUNT(G478:J478)),1,0),0))</f>
        <v>0</v>
      </c>
      <c r="V478" s="0" t="n">
        <f>IF(O478=0,0,IF(COUNTIFS($O$13:O478,O478)=1,1,0))</f>
        <v>0</v>
      </c>
      <c r="W478" s="0">
        <f>IF(V478=1,COUNTIFS($V$13:V478,1),"")</f>
      </c>
      <c r="X478" s="0">
        <f>IF(COUNTA(B478:L478)=0,"",IF(OR(NOT(IF(ISNUMBER($E$6),AND($E$6&gt;=0,$E$6&lt;=6,$E$6=INT($E$6)),FALSE)),O478=0,R478=0,T478&gt;0,AND(P478&lt;&gt;"DIMENSIONES",P478&lt;&gt;"DIRECTA",P478&lt;&gt;"SIN LÍNEAS",P478&lt;&gt;"CABECERA"),AND(OR(P478="DIRECTA",P478="DIMENSIONES"),U478=0),AND(OR(P478="SIN LÍNEAS",P478="CABECERA"),COUNTA(G478:J478)&gt;0)),2,IF(OR(P478="SIN LÍNEAS",Y478&gt;0,Z478&gt;0,AA478&gt;0,SUMPRODUCT(--('LÉEME'!$B$65:$B$86=AC478))&lt;&gt;1),1,0)))</f>
      </c>
      <c r="Y478" s="0" t="n">
        <f>IF(AND(P478="DIMENSIONES",S478="m²",COUNT(H478:J478)=3),1,0)</f>
        <v>0</v>
      </c>
      <c r="Z478" s="0" t="n">
        <f>IF(IF(ISNUMBER($E$6),AND($E$6&gt;=0,$E$6&lt;=6,$E$6=INT($E$6)),FALSE),IF(SUM(IF(ISNUMBER(F478),IF(ABS(F478-ROUND(F478,$E$6))&gt;0.00000001,1,0),0),IF(ISNUMBER(G478),IF(ABS(G478-ROUND(G478,$E$6))&gt;0.00000001,1,0),0),IF(ISNUMBER(H478),IF(ABS(H478-ROUND(H478,$E$6))&gt;0.00000001,1,0),0),IF(ISNUMBER(I478),IF(ABS(I478-ROUND(I478,$E$6))&gt;0.00000001,1,0),0),IF(ISNUMBER(J478),IF(ABS(J478-ROUND(J478,$E$6))&gt;0.00000001,1,0),0),IF(ISNUMBER(M478),IF(ABS(M478-ROUND(M478,$E$6))&gt;0.00000001,1,0),0))&gt;0,1,0),0)</f>
        <v>0</v>
      </c>
      <c r="AA478" s="0" t="n">
        <f>IF(COUNTA(B478:L478)=0,0,IF(OR(AND(ISNUMBER(F478),F478&lt;0),AND(U478=1,OR(SUM(IF(ISNUMBER(G478),IF(G478=0,1,0),0),IF(ISNUMBER(H478),IF(H478=0,1,0),0),IF(ISNUMBER(I478),IF(I478=0,1,0),0),IF(ISNUMBER(J478),IF(J478=0,1,0),0))&gt;0,COUNTIFS(G478:J478,"&lt;0")&gt;0)),AND(P478="DIMENSIONES",U478=1,OR(AND(S478="m",COUNT(H478:J478)&lt;&gt;1),AND(S478="m²",COUNT(H478:J478)&lt;&gt;2,Y478=0),AND(S478="m³",COUNT(H478:J478)&lt;&gt;3),AND(S478="ud",COUNT(H478:J478)&gt;0))),AND(P478="DIRECTA",OR(S478="m",S478="m²",S478="m³"))),1,0))</f>
        <v>0</v>
      </c>
      <c r="AB478" s="0">
        <f>IF(LEN(TRIM(E478&amp;""))&gt;0,E478,IF(R478&gt;0,INDEX($E$13:$E$512,R478),""))</f>
      </c>
      <c r="AC478" s="0">
        <f>UPPER(SUBSTITUTE(SUBSTITUTE(SUBSTITUTE(SUBSTITUTE(SUBSTITUTE(TRIM(AB478),"²","2"),"³","3"),"^",""),".","")," ",""))</f>
      </c>
    </row>
    <row r="479" ht="35" customHeight="1">
      <c r="B479" s="35"/>
      <c r="C479" s="35"/>
      <c r="D479" s="37"/>
      <c r="E479" s="35"/>
      <c r="F479" s="38"/>
      <c r="G479" s="38"/>
      <c r="H479" s="38"/>
      <c r="I479" s="38"/>
      <c r="J479" s="38"/>
      <c r="K479" s="35"/>
      <c r="L479" s="35"/>
      <c r="M479" s="39">
        <f>IF(U479&lt;&gt;1,"",IF(P479="DIRECTA",G479,IF(ISNUMBER(G479),G479,1)*IF(ISNUMBER(H479),H479,1)*IF(ISNUMBER(I479),I479,1)*IF(ISNUMBER(J479),J479,1)))</f>
      </c>
      <c r="N479" s="30">
        <f>IF(COUNTA(B479:L479)=0,"",IF(X479=0,IF(P479="CABECERA","VERDE · Fila descriptiva; la suma usa las líneas del ID","VERDE · Datos numéricos interpretables"),IF(X479=2,"ROJO · ","ÁMBAR · ")&amp;IF(NOT(IF(ISNUMBER($E$6),AND($E$6&gt;=0,$E$6&lt;=6,$E$6=INT($E$6)),FALSE)),"Indicamos entre 0 y 6 decimales en E6. ","")&amp;IF(O479=0,"Falta un ID numérico. ","")&amp;IF(R479=0,"Faltan capítulo, código, unidad o total numérico del ID. ","")&amp;IF(T479&gt;0,"Los datos o el total del ID se contradicen. ","")&amp;IF(AND(P479&lt;&gt;"DIMENSIONES",P479&lt;&gt;"DIRECTA",P479&lt;&gt;"SIN LÍNEAS",P479&lt;&gt;"CABECERA"),"Tipo de fila no reconocido. ","")&amp;IF(AND(OR(P479="SIN LÍNEAS",P479="CABECERA"),COUNTA(G479:J479)&gt;0),"La fila dice que no mide, pero contiene medidas. ","")&amp;IF(AND(OR(P479="DIRECTA",P479="DIMENSIONES"),U479=0),"Línea incompleta o con medidas no numéricas. ","")&amp;IF(P479="SIN LÍNEAS","No constan medidas de esta fila. ","")&amp;IF(Y479&gt;0,"Parece m³: tres dimensiones bajo m². ","")&amp;IF(AND(AB479&lt;&gt;"",SUMPRODUCT(--('LÉEME'!$B$65:$B$86=AC479))&lt;&gt;1),"Revisamos el significado de la unidad. ","")&amp;IF(Z479&gt;0,"Más precisión que los decimales indicados: cotejamos el original. ","")&amp;IF(AA479&gt;0,"Revisamos dimensiones, cantidad directa, ceros o deducción. ","")))</f>
      </c>
      <c r="O479" s="0" t="n">
        <f>IF(ISNUMBER(K479),IF(AND(K479&gt;0,K479=INT(K479),K479&lt;=999999),K479,0),0)</f>
        <v>0</v>
      </c>
      <c r="P479" s="0">
        <f>IF(COUNTA(B479:L479)=0,"",IF(L479="",IF(COUNTA(G479:J479)&gt;0,"DIMENSIONES","SIN LÍNEAS"),UPPER(TRIM(L479))))</f>
      </c>
      <c r="Q479" s="0">
        <f>IF(AND(O479&gt;0,LEN(TRIM(B479&amp;""))&gt;0,LEN(TRIM(C479&amp;""))&gt;0,LEN(TRIM(E479&amp;""))&gt;0,ISNUMBER(F479)),O479,"")</f>
      </c>
      <c r="R479" s="0" t="n">
        <f>IF(O479=0,0,IF(COUNTIFS($Q$13:$Q$512,O479)&gt;0,MATCH(O479,$Q$13:$Q$512,0),0))</f>
        <v>0</v>
      </c>
      <c r="S479" s="0">
        <f>IF(AB479="","",IF(SUMPRODUCT(--('LÉEME'!$B$65:$B$86=AC479))=1,INDEX('LÉEME'!$C$65:$C$86,MATCH(AC479,'LÉEME'!$B$65:$B$86,0)),UPPER(TRIM(AB479))))</f>
      </c>
      <c r="T479" s="0" t="n">
        <f>IF(R479=0,0,IF(OR(AND(LEN(TRIM(B479&amp;""))&gt;0,UPPER(TRIM(B479&amp;""))&lt;&gt;UPPER(TRIM(INDEX($B$13:$B$512,R479)&amp;""))),AND(LEN(TRIM(C479&amp;""))&gt;0,UPPER(TRIM(C479&amp;""))&lt;&gt;UPPER(TRIM(INDEX($C$13:$C$512,R479)&amp;""))),AND(LEN(TRIM(E479&amp;""))&gt;0,S479&lt;&gt;INDEX($S$13:$S$512,R479)),AND(F479&lt;&gt;"",NOT(ISNUMBER(F479)))),1,IF(ISNUMBER(F479),IF(ABS(F479-INDEX($F$13:$F$512,R479))&gt;0.00000001,1,0),0)))</f>
        <v>0</v>
      </c>
      <c r="U479" s="0" t="n">
        <f>IF(P479="DIRECTA",IF(AND(ISNUMBER(G479),COUNTA(H479:J479)=0),1,0),IF(P479="DIMENSIONES",IF(AND(COUNT(G479:J479)&gt;0,COUNTA(G479:J479)=COUNT(G479:J479)),1,0),0))</f>
        <v>0</v>
      </c>
      <c r="V479" s="0" t="n">
        <f>IF(O479=0,0,IF(COUNTIFS($O$13:O479,O479)=1,1,0))</f>
        <v>0</v>
      </c>
      <c r="W479" s="0">
        <f>IF(V479=1,COUNTIFS($V$13:V479,1),"")</f>
      </c>
      <c r="X479" s="0">
        <f>IF(COUNTA(B479:L479)=0,"",IF(OR(NOT(IF(ISNUMBER($E$6),AND($E$6&gt;=0,$E$6&lt;=6,$E$6=INT($E$6)),FALSE)),O479=0,R479=0,T479&gt;0,AND(P479&lt;&gt;"DIMENSIONES",P479&lt;&gt;"DIRECTA",P479&lt;&gt;"SIN LÍNEAS",P479&lt;&gt;"CABECERA"),AND(OR(P479="DIRECTA",P479="DIMENSIONES"),U479=0),AND(OR(P479="SIN LÍNEAS",P479="CABECERA"),COUNTA(G479:J479)&gt;0)),2,IF(OR(P479="SIN LÍNEAS",Y479&gt;0,Z479&gt;0,AA479&gt;0,SUMPRODUCT(--('LÉEME'!$B$65:$B$86=AC479))&lt;&gt;1),1,0)))</f>
      </c>
      <c r="Y479" s="0" t="n">
        <f>IF(AND(P479="DIMENSIONES",S479="m²",COUNT(H479:J479)=3),1,0)</f>
        <v>0</v>
      </c>
      <c r="Z479" s="0" t="n">
        <f>IF(IF(ISNUMBER($E$6),AND($E$6&gt;=0,$E$6&lt;=6,$E$6=INT($E$6)),FALSE),IF(SUM(IF(ISNUMBER(F479),IF(ABS(F479-ROUND(F479,$E$6))&gt;0.00000001,1,0),0),IF(ISNUMBER(G479),IF(ABS(G479-ROUND(G479,$E$6))&gt;0.00000001,1,0),0),IF(ISNUMBER(H479),IF(ABS(H479-ROUND(H479,$E$6))&gt;0.00000001,1,0),0),IF(ISNUMBER(I479),IF(ABS(I479-ROUND(I479,$E$6))&gt;0.00000001,1,0),0),IF(ISNUMBER(J479),IF(ABS(J479-ROUND(J479,$E$6))&gt;0.00000001,1,0),0),IF(ISNUMBER(M479),IF(ABS(M479-ROUND(M479,$E$6))&gt;0.00000001,1,0),0))&gt;0,1,0),0)</f>
        <v>0</v>
      </c>
      <c r="AA479" s="0" t="n">
        <f>IF(COUNTA(B479:L479)=0,0,IF(OR(AND(ISNUMBER(F479),F479&lt;0),AND(U479=1,OR(SUM(IF(ISNUMBER(G479),IF(G479=0,1,0),0),IF(ISNUMBER(H479),IF(H479=0,1,0),0),IF(ISNUMBER(I479),IF(I479=0,1,0),0),IF(ISNUMBER(J479),IF(J479=0,1,0),0))&gt;0,COUNTIFS(G479:J479,"&lt;0")&gt;0)),AND(P479="DIMENSIONES",U479=1,OR(AND(S479="m",COUNT(H479:J479)&lt;&gt;1),AND(S479="m²",COUNT(H479:J479)&lt;&gt;2,Y479=0),AND(S479="m³",COUNT(H479:J479)&lt;&gt;3),AND(S479="ud",COUNT(H479:J479)&gt;0))),AND(P479="DIRECTA",OR(S479="m",S479="m²",S479="m³"))),1,0))</f>
        <v>0</v>
      </c>
      <c r="AB479" s="0">
        <f>IF(LEN(TRIM(E479&amp;""))&gt;0,E479,IF(R479&gt;0,INDEX($E$13:$E$512,R479),""))</f>
      </c>
      <c r="AC479" s="0">
        <f>UPPER(SUBSTITUTE(SUBSTITUTE(SUBSTITUTE(SUBSTITUTE(SUBSTITUTE(TRIM(AB479),"²","2"),"³","3"),"^",""),".","")," ",""))</f>
      </c>
    </row>
    <row r="480" ht="35" customHeight="1">
      <c r="B480" s="35"/>
      <c r="C480" s="35"/>
      <c r="D480" s="37"/>
      <c r="E480" s="35"/>
      <c r="F480" s="38"/>
      <c r="G480" s="38"/>
      <c r="H480" s="38"/>
      <c r="I480" s="38"/>
      <c r="J480" s="38"/>
      <c r="K480" s="35"/>
      <c r="L480" s="35"/>
      <c r="M480" s="39">
        <f>IF(U480&lt;&gt;1,"",IF(P480="DIRECTA",G480,IF(ISNUMBER(G480),G480,1)*IF(ISNUMBER(H480),H480,1)*IF(ISNUMBER(I480),I480,1)*IF(ISNUMBER(J480),J480,1)))</f>
      </c>
      <c r="N480" s="30">
        <f>IF(COUNTA(B480:L480)=0,"",IF(X480=0,IF(P480="CABECERA","VERDE · Fila descriptiva; la suma usa las líneas del ID","VERDE · Datos numéricos interpretables"),IF(X480=2,"ROJO · ","ÁMBAR · ")&amp;IF(NOT(IF(ISNUMBER($E$6),AND($E$6&gt;=0,$E$6&lt;=6,$E$6=INT($E$6)),FALSE)),"Indicamos entre 0 y 6 decimales en E6. ","")&amp;IF(O480=0,"Falta un ID numérico. ","")&amp;IF(R480=0,"Faltan capítulo, código, unidad o total numérico del ID. ","")&amp;IF(T480&gt;0,"Los datos o el total del ID se contradicen. ","")&amp;IF(AND(P480&lt;&gt;"DIMENSIONES",P480&lt;&gt;"DIRECTA",P480&lt;&gt;"SIN LÍNEAS",P480&lt;&gt;"CABECERA"),"Tipo de fila no reconocido. ","")&amp;IF(AND(OR(P480="SIN LÍNEAS",P480="CABECERA"),COUNTA(G480:J480)&gt;0),"La fila dice que no mide, pero contiene medidas. ","")&amp;IF(AND(OR(P480="DIRECTA",P480="DIMENSIONES"),U480=0),"Línea incompleta o con medidas no numéricas. ","")&amp;IF(P480="SIN LÍNEAS","No constan medidas de esta fila. ","")&amp;IF(Y480&gt;0,"Parece m³: tres dimensiones bajo m². ","")&amp;IF(AND(AB480&lt;&gt;"",SUMPRODUCT(--('LÉEME'!$B$65:$B$86=AC480))&lt;&gt;1),"Revisamos el significado de la unidad. ","")&amp;IF(Z480&gt;0,"Más precisión que los decimales indicados: cotejamos el original. ","")&amp;IF(AA480&gt;0,"Revisamos dimensiones, cantidad directa, ceros o deducción. ","")))</f>
      </c>
      <c r="O480" s="0" t="n">
        <f>IF(ISNUMBER(K480),IF(AND(K480&gt;0,K480=INT(K480),K480&lt;=999999),K480,0),0)</f>
        <v>0</v>
      </c>
      <c r="P480" s="0">
        <f>IF(COUNTA(B480:L480)=0,"",IF(L480="",IF(COUNTA(G480:J480)&gt;0,"DIMENSIONES","SIN LÍNEAS"),UPPER(TRIM(L480))))</f>
      </c>
      <c r="Q480" s="0">
        <f>IF(AND(O480&gt;0,LEN(TRIM(B480&amp;""))&gt;0,LEN(TRIM(C480&amp;""))&gt;0,LEN(TRIM(E480&amp;""))&gt;0,ISNUMBER(F480)),O480,"")</f>
      </c>
      <c r="R480" s="0" t="n">
        <f>IF(O480=0,0,IF(COUNTIFS($Q$13:$Q$512,O480)&gt;0,MATCH(O480,$Q$13:$Q$512,0),0))</f>
        <v>0</v>
      </c>
      <c r="S480" s="0">
        <f>IF(AB480="","",IF(SUMPRODUCT(--('LÉEME'!$B$65:$B$86=AC480))=1,INDEX('LÉEME'!$C$65:$C$86,MATCH(AC480,'LÉEME'!$B$65:$B$86,0)),UPPER(TRIM(AB480))))</f>
      </c>
      <c r="T480" s="0" t="n">
        <f>IF(R480=0,0,IF(OR(AND(LEN(TRIM(B480&amp;""))&gt;0,UPPER(TRIM(B480&amp;""))&lt;&gt;UPPER(TRIM(INDEX($B$13:$B$512,R480)&amp;""))),AND(LEN(TRIM(C480&amp;""))&gt;0,UPPER(TRIM(C480&amp;""))&lt;&gt;UPPER(TRIM(INDEX($C$13:$C$512,R480)&amp;""))),AND(LEN(TRIM(E480&amp;""))&gt;0,S480&lt;&gt;INDEX($S$13:$S$512,R480)),AND(F480&lt;&gt;"",NOT(ISNUMBER(F480)))),1,IF(ISNUMBER(F480),IF(ABS(F480-INDEX($F$13:$F$512,R480))&gt;0.00000001,1,0),0)))</f>
        <v>0</v>
      </c>
      <c r="U480" s="0" t="n">
        <f>IF(P480="DIRECTA",IF(AND(ISNUMBER(G480),COUNTA(H480:J480)=0),1,0),IF(P480="DIMENSIONES",IF(AND(COUNT(G480:J480)&gt;0,COUNTA(G480:J480)=COUNT(G480:J480)),1,0),0))</f>
        <v>0</v>
      </c>
      <c r="V480" s="0" t="n">
        <f>IF(O480=0,0,IF(COUNTIFS($O$13:O480,O480)=1,1,0))</f>
        <v>0</v>
      </c>
      <c r="W480" s="0">
        <f>IF(V480=1,COUNTIFS($V$13:V480,1),"")</f>
      </c>
      <c r="X480" s="0">
        <f>IF(COUNTA(B480:L480)=0,"",IF(OR(NOT(IF(ISNUMBER($E$6),AND($E$6&gt;=0,$E$6&lt;=6,$E$6=INT($E$6)),FALSE)),O480=0,R480=0,T480&gt;0,AND(P480&lt;&gt;"DIMENSIONES",P480&lt;&gt;"DIRECTA",P480&lt;&gt;"SIN LÍNEAS",P480&lt;&gt;"CABECERA"),AND(OR(P480="DIRECTA",P480="DIMENSIONES"),U480=0),AND(OR(P480="SIN LÍNEAS",P480="CABECERA"),COUNTA(G480:J480)&gt;0)),2,IF(OR(P480="SIN LÍNEAS",Y480&gt;0,Z480&gt;0,AA480&gt;0,SUMPRODUCT(--('LÉEME'!$B$65:$B$86=AC480))&lt;&gt;1),1,0)))</f>
      </c>
      <c r="Y480" s="0" t="n">
        <f>IF(AND(P480="DIMENSIONES",S480="m²",COUNT(H480:J480)=3),1,0)</f>
        <v>0</v>
      </c>
      <c r="Z480" s="0" t="n">
        <f>IF(IF(ISNUMBER($E$6),AND($E$6&gt;=0,$E$6&lt;=6,$E$6=INT($E$6)),FALSE),IF(SUM(IF(ISNUMBER(F480),IF(ABS(F480-ROUND(F480,$E$6))&gt;0.00000001,1,0),0),IF(ISNUMBER(G480),IF(ABS(G480-ROUND(G480,$E$6))&gt;0.00000001,1,0),0),IF(ISNUMBER(H480),IF(ABS(H480-ROUND(H480,$E$6))&gt;0.00000001,1,0),0),IF(ISNUMBER(I480),IF(ABS(I480-ROUND(I480,$E$6))&gt;0.00000001,1,0),0),IF(ISNUMBER(J480),IF(ABS(J480-ROUND(J480,$E$6))&gt;0.00000001,1,0),0),IF(ISNUMBER(M480),IF(ABS(M480-ROUND(M480,$E$6))&gt;0.00000001,1,0),0))&gt;0,1,0),0)</f>
        <v>0</v>
      </c>
      <c r="AA480" s="0" t="n">
        <f>IF(COUNTA(B480:L480)=0,0,IF(OR(AND(ISNUMBER(F480),F480&lt;0),AND(U480=1,OR(SUM(IF(ISNUMBER(G480),IF(G480=0,1,0),0),IF(ISNUMBER(H480),IF(H480=0,1,0),0),IF(ISNUMBER(I480),IF(I480=0,1,0),0),IF(ISNUMBER(J480),IF(J480=0,1,0),0))&gt;0,COUNTIFS(G480:J480,"&lt;0")&gt;0)),AND(P480="DIMENSIONES",U480=1,OR(AND(S480="m",COUNT(H480:J480)&lt;&gt;1),AND(S480="m²",COUNT(H480:J480)&lt;&gt;2,Y480=0),AND(S480="m³",COUNT(H480:J480)&lt;&gt;3),AND(S480="ud",COUNT(H480:J480)&gt;0))),AND(P480="DIRECTA",OR(S480="m",S480="m²",S480="m³"))),1,0))</f>
        <v>0</v>
      </c>
      <c r="AB480" s="0">
        <f>IF(LEN(TRIM(E480&amp;""))&gt;0,E480,IF(R480&gt;0,INDEX($E$13:$E$512,R480),""))</f>
      </c>
      <c r="AC480" s="0">
        <f>UPPER(SUBSTITUTE(SUBSTITUTE(SUBSTITUTE(SUBSTITUTE(SUBSTITUTE(TRIM(AB480),"²","2"),"³","3"),"^",""),".","")," ",""))</f>
      </c>
    </row>
    <row r="481" ht="35" customHeight="1">
      <c r="B481" s="35"/>
      <c r="C481" s="35"/>
      <c r="D481" s="37"/>
      <c r="E481" s="35"/>
      <c r="F481" s="38"/>
      <c r="G481" s="38"/>
      <c r="H481" s="38"/>
      <c r="I481" s="38"/>
      <c r="J481" s="38"/>
      <c r="K481" s="35"/>
      <c r="L481" s="35"/>
      <c r="M481" s="39">
        <f>IF(U481&lt;&gt;1,"",IF(P481="DIRECTA",G481,IF(ISNUMBER(G481),G481,1)*IF(ISNUMBER(H481),H481,1)*IF(ISNUMBER(I481),I481,1)*IF(ISNUMBER(J481),J481,1)))</f>
      </c>
      <c r="N481" s="30">
        <f>IF(COUNTA(B481:L481)=0,"",IF(X481=0,IF(P481="CABECERA","VERDE · Fila descriptiva; la suma usa las líneas del ID","VERDE · Datos numéricos interpretables"),IF(X481=2,"ROJO · ","ÁMBAR · ")&amp;IF(NOT(IF(ISNUMBER($E$6),AND($E$6&gt;=0,$E$6&lt;=6,$E$6=INT($E$6)),FALSE)),"Indicamos entre 0 y 6 decimales en E6. ","")&amp;IF(O481=0,"Falta un ID numérico. ","")&amp;IF(R481=0,"Faltan capítulo, código, unidad o total numérico del ID. ","")&amp;IF(T481&gt;0,"Los datos o el total del ID se contradicen. ","")&amp;IF(AND(P481&lt;&gt;"DIMENSIONES",P481&lt;&gt;"DIRECTA",P481&lt;&gt;"SIN LÍNEAS",P481&lt;&gt;"CABECERA"),"Tipo de fila no reconocido. ","")&amp;IF(AND(OR(P481="SIN LÍNEAS",P481="CABECERA"),COUNTA(G481:J481)&gt;0),"La fila dice que no mide, pero contiene medidas. ","")&amp;IF(AND(OR(P481="DIRECTA",P481="DIMENSIONES"),U481=0),"Línea incompleta o con medidas no numéricas. ","")&amp;IF(P481="SIN LÍNEAS","No constan medidas de esta fila. ","")&amp;IF(Y481&gt;0,"Parece m³: tres dimensiones bajo m². ","")&amp;IF(AND(AB481&lt;&gt;"",SUMPRODUCT(--('LÉEME'!$B$65:$B$86=AC481))&lt;&gt;1),"Revisamos el significado de la unidad. ","")&amp;IF(Z481&gt;0,"Más precisión que los decimales indicados: cotejamos el original. ","")&amp;IF(AA481&gt;0,"Revisamos dimensiones, cantidad directa, ceros o deducción. ","")))</f>
      </c>
      <c r="O481" s="0" t="n">
        <f>IF(ISNUMBER(K481),IF(AND(K481&gt;0,K481=INT(K481),K481&lt;=999999),K481,0),0)</f>
        <v>0</v>
      </c>
      <c r="P481" s="0">
        <f>IF(COUNTA(B481:L481)=0,"",IF(L481="",IF(COUNTA(G481:J481)&gt;0,"DIMENSIONES","SIN LÍNEAS"),UPPER(TRIM(L481))))</f>
      </c>
      <c r="Q481" s="0">
        <f>IF(AND(O481&gt;0,LEN(TRIM(B481&amp;""))&gt;0,LEN(TRIM(C481&amp;""))&gt;0,LEN(TRIM(E481&amp;""))&gt;0,ISNUMBER(F481)),O481,"")</f>
      </c>
      <c r="R481" s="0" t="n">
        <f>IF(O481=0,0,IF(COUNTIFS($Q$13:$Q$512,O481)&gt;0,MATCH(O481,$Q$13:$Q$512,0),0))</f>
        <v>0</v>
      </c>
      <c r="S481" s="0">
        <f>IF(AB481="","",IF(SUMPRODUCT(--('LÉEME'!$B$65:$B$86=AC481))=1,INDEX('LÉEME'!$C$65:$C$86,MATCH(AC481,'LÉEME'!$B$65:$B$86,0)),UPPER(TRIM(AB481))))</f>
      </c>
      <c r="T481" s="0" t="n">
        <f>IF(R481=0,0,IF(OR(AND(LEN(TRIM(B481&amp;""))&gt;0,UPPER(TRIM(B481&amp;""))&lt;&gt;UPPER(TRIM(INDEX($B$13:$B$512,R481)&amp;""))),AND(LEN(TRIM(C481&amp;""))&gt;0,UPPER(TRIM(C481&amp;""))&lt;&gt;UPPER(TRIM(INDEX($C$13:$C$512,R481)&amp;""))),AND(LEN(TRIM(E481&amp;""))&gt;0,S481&lt;&gt;INDEX($S$13:$S$512,R481)),AND(F481&lt;&gt;"",NOT(ISNUMBER(F481)))),1,IF(ISNUMBER(F481),IF(ABS(F481-INDEX($F$13:$F$512,R481))&gt;0.00000001,1,0),0)))</f>
        <v>0</v>
      </c>
      <c r="U481" s="0" t="n">
        <f>IF(P481="DIRECTA",IF(AND(ISNUMBER(G481),COUNTA(H481:J481)=0),1,0),IF(P481="DIMENSIONES",IF(AND(COUNT(G481:J481)&gt;0,COUNTA(G481:J481)=COUNT(G481:J481)),1,0),0))</f>
        <v>0</v>
      </c>
      <c r="V481" s="0" t="n">
        <f>IF(O481=0,0,IF(COUNTIFS($O$13:O481,O481)=1,1,0))</f>
        <v>0</v>
      </c>
      <c r="W481" s="0">
        <f>IF(V481=1,COUNTIFS($V$13:V481,1),"")</f>
      </c>
      <c r="X481" s="0">
        <f>IF(COUNTA(B481:L481)=0,"",IF(OR(NOT(IF(ISNUMBER($E$6),AND($E$6&gt;=0,$E$6&lt;=6,$E$6=INT($E$6)),FALSE)),O481=0,R481=0,T481&gt;0,AND(P481&lt;&gt;"DIMENSIONES",P481&lt;&gt;"DIRECTA",P481&lt;&gt;"SIN LÍNEAS",P481&lt;&gt;"CABECERA"),AND(OR(P481="DIRECTA",P481="DIMENSIONES"),U481=0),AND(OR(P481="SIN LÍNEAS",P481="CABECERA"),COUNTA(G481:J481)&gt;0)),2,IF(OR(P481="SIN LÍNEAS",Y481&gt;0,Z481&gt;0,AA481&gt;0,SUMPRODUCT(--('LÉEME'!$B$65:$B$86=AC481))&lt;&gt;1),1,0)))</f>
      </c>
      <c r="Y481" s="0" t="n">
        <f>IF(AND(P481="DIMENSIONES",S481="m²",COUNT(H481:J481)=3),1,0)</f>
        <v>0</v>
      </c>
      <c r="Z481" s="0" t="n">
        <f>IF(IF(ISNUMBER($E$6),AND($E$6&gt;=0,$E$6&lt;=6,$E$6=INT($E$6)),FALSE),IF(SUM(IF(ISNUMBER(F481),IF(ABS(F481-ROUND(F481,$E$6))&gt;0.00000001,1,0),0),IF(ISNUMBER(G481),IF(ABS(G481-ROUND(G481,$E$6))&gt;0.00000001,1,0),0),IF(ISNUMBER(H481),IF(ABS(H481-ROUND(H481,$E$6))&gt;0.00000001,1,0),0),IF(ISNUMBER(I481),IF(ABS(I481-ROUND(I481,$E$6))&gt;0.00000001,1,0),0),IF(ISNUMBER(J481),IF(ABS(J481-ROUND(J481,$E$6))&gt;0.00000001,1,0),0),IF(ISNUMBER(M481),IF(ABS(M481-ROUND(M481,$E$6))&gt;0.00000001,1,0),0))&gt;0,1,0),0)</f>
        <v>0</v>
      </c>
      <c r="AA481" s="0" t="n">
        <f>IF(COUNTA(B481:L481)=0,0,IF(OR(AND(ISNUMBER(F481),F481&lt;0),AND(U481=1,OR(SUM(IF(ISNUMBER(G481),IF(G481=0,1,0),0),IF(ISNUMBER(H481),IF(H481=0,1,0),0),IF(ISNUMBER(I481),IF(I481=0,1,0),0),IF(ISNUMBER(J481),IF(J481=0,1,0),0))&gt;0,COUNTIFS(G481:J481,"&lt;0")&gt;0)),AND(P481="DIMENSIONES",U481=1,OR(AND(S481="m",COUNT(H481:J481)&lt;&gt;1),AND(S481="m²",COUNT(H481:J481)&lt;&gt;2,Y481=0),AND(S481="m³",COUNT(H481:J481)&lt;&gt;3),AND(S481="ud",COUNT(H481:J481)&gt;0))),AND(P481="DIRECTA",OR(S481="m",S481="m²",S481="m³"))),1,0))</f>
        <v>0</v>
      </c>
      <c r="AB481" s="0">
        <f>IF(LEN(TRIM(E481&amp;""))&gt;0,E481,IF(R481&gt;0,INDEX($E$13:$E$512,R481),""))</f>
      </c>
      <c r="AC481" s="0">
        <f>UPPER(SUBSTITUTE(SUBSTITUTE(SUBSTITUTE(SUBSTITUTE(SUBSTITUTE(TRIM(AB481),"²","2"),"³","3"),"^",""),".","")," ",""))</f>
      </c>
    </row>
    <row r="482" ht="35" customHeight="1">
      <c r="B482" s="35"/>
      <c r="C482" s="35"/>
      <c r="D482" s="37"/>
      <c r="E482" s="35"/>
      <c r="F482" s="38"/>
      <c r="G482" s="38"/>
      <c r="H482" s="38"/>
      <c r="I482" s="38"/>
      <c r="J482" s="38"/>
      <c r="K482" s="35"/>
      <c r="L482" s="35"/>
      <c r="M482" s="39">
        <f>IF(U482&lt;&gt;1,"",IF(P482="DIRECTA",G482,IF(ISNUMBER(G482),G482,1)*IF(ISNUMBER(H482),H482,1)*IF(ISNUMBER(I482),I482,1)*IF(ISNUMBER(J482),J482,1)))</f>
      </c>
      <c r="N482" s="30">
        <f>IF(COUNTA(B482:L482)=0,"",IF(X482=0,IF(P482="CABECERA","VERDE · Fila descriptiva; la suma usa las líneas del ID","VERDE · Datos numéricos interpretables"),IF(X482=2,"ROJO · ","ÁMBAR · ")&amp;IF(NOT(IF(ISNUMBER($E$6),AND($E$6&gt;=0,$E$6&lt;=6,$E$6=INT($E$6)),FALSE)),"Indicamos entre 0 y 6 decimales en E6. ","")&amp;IF(O482=0,"Falta un ID numérico. ","")&amp;IF(R482=0,"Faltan capítulo, código, unidad o total numérico del ID. ","")&amp;IF(T482&gt;0,"Los datos o el total del ID se contradicen. ","")&amp;IF(AND(P482&lt;&gt;"DIMENSIONES",P482&lt;&gt;"DIRECTA",P482&lt;&gt;"SIN LÍNEAS",P482&lt;&gt;"CABECERA"),"Tipo de fila no reconocido. ","")&amp;IF(AND(OR(P482="SIN LÍNEAS",P482="CABECERA"),COUNTA(G482:J482)&gt;0),"La fila dice que no mide, pero contiene medidas. ","")&amp;IF(AND(OR(P482="DIRECTA",P482="DIMENSIONES"),U482=0),"Línea incompleta o con medidas no numéricas. ","")&amp;IF(P482="SIN LÍNEAS","No constan medidas de esta fila. ","")&amp;IF(Y482&gt;0,"Parece m³: tres dimensiones bajo m². ","")&amp;IF(AND(AB482&lt;&gt;"",SUMPRODUCT(--('LÉEME'!$B$65:$B$86=AC482))&lt;&gt;1),"Revisamos el significado de la unidad. ","")&amp;IF(Z482&gt;0,"Más precisión que los decimales indicados: cotejamos el original. ","")&amp;IF(AA482&gt;0,"Revisamos dimensiones, cantidad directa, ceros o deducción. ","")))</f>
      </c>
      <c r="O482" s="0" t="n">
        <f>IF(ISNUMBER(K482),IF(AND(K482&gt;0,K482=INT(K482),K482&lt;=999999),K482,0),0)</f>
        <v>0</v>
      </c>
      <c r="P482" s="0">
        <f>IF(COUNTA(B482:L482)=0,"",IF(L482="",IF(COUNTA(G482:J482)&gt;0,"DIMENSIONES","SIN LÍNEAS"),UPPER(TRIM(L482))))</f>
      </c>
      <c r="Q482" s="0">
        <f>IF(AND(O482&gt;0,LEN(TRIM(B482&amp;""))&gt;0,LEN(TRIM(C482&amp;""))&gt;0,LEN(TRIM(E482&amp;""))&gt;0,ISNUMBER(F482)),O482,"")</f>
      </c>
      <c r="R482" s="0" t="n">
        <f>IF(O482=0,0,IF(COUNTIFS($Q$13:$Q$512,O482)&gt;0,MATCH(O482,$Q$13:$Q$512,0),0))</f>
        <v>0</v>
      </c>
      <c r="S482" s="0">
        <f>IF(AB482="","",IF(SUMPRODUCT(--('LÉEME'!$B$65:$B$86=AC482))=1,INDEX('LÉEME'!$C$65:$C$86,MATCH(AC482,'LÉEME'!$B$65:$B$86,0)),UPPER(TRIM(AB482))))</f>
      </c>
      <c r="T482" s="0" t="n">
        <f>IF(R482=0,0,IF(OR(AND(LEN(TRIM(B482&amp;""))&gt;0,UPPER(TRIM(B482&amp;""))&lt;&gt;UPPER(TRIM(INDEX($B$13:$B$512,R482)&amp;""))),AND(LEN(TRIM(C482&amp;""))&gt;0,UPPER(TRIM(C482&amp;""))&lt;&gt;UPPER(TRIM(INDEX($C$13:$C$512,R482)&amp;""))),AND(LEN(TRIM(E482&amp;""))&gt;0,S482&lt;&gt;INDEX($S$13:$S$512,R482)),AND(F482&lt;&gt;"",NOT(ISNUMBER(F482)))),1,IF(ISNUMBER(F482),IF(ABS(F482-INDEX($F$13:$F$512,R482))&gt;0.00000001,1,0),0)))</f>
        <v>0</v>
      </c>
      <c r="U482" s="0" t="n">
        <f>IF(P482="DIRECTA",IF(AND(ISNUMBER(G482),COUNTA(H482:J482)=0),1,0),IF(P482="DIMENSIONES",IF(AND(COUNT(G482:J482)&gt;0,COUNTA(G482:J482)=COUNT(G482:J482)),1,0),0))</f>
        <v>0</v>
      </c>
      <c r="V482" s="0" t="n">
        <f>IF(O482=0,0,IF(COUNTIFS($O$13:O482,O482)=1,1,0))</f>
        <v>0</v>
      </c>
      <c r="W482" s="0">
        <f>IF(V482=1,COUNTIFS($V$13:V482,1),"")</f>
      </c>
      <c r="X482" s="0">
        <f>IF(COUNTA(B482:L482)=0,"",IF(OR(NOT(IF(ISNUMBER($E$6),AND($E$6&gt;=0,$E$6&lt;=6,$E$6=INT($E$6)),FALSE)),O482=0,R482=0,T482&gt;0,AND(P482&lt;&gt;"DIMENSIONES",P482&lt;&gt;"DIRECTA",P482&lt;&gt;"SIN LÍNEAS",P482&lt;&gt;"CABECERA"),AND(OR(P482="DIRECTA",P482="DIMENSIONES"),U482=0),AND(OR(P482="SIN LÍNEAS",P482="CABECERA"),COUNTA(G482:J482)&gt;0)),2,IF(OR(P482="SIN LÍNEAS",Y482&gt;0,Z482&gt;0,AA482&gt;0,SUMPRODUCT(--('LÉEME'!$B$65:$B$86=AC482))&lt;&gt;1),1,0)))</f>
      </c>
      <c r="Y482" s="0" t="n">
        <f>IF(AND(P482="DIMENSIONES",S482="m²",COUNT(H482:J482)=3),1,0)</f>
        <v>0</v>
      </c>
      <c r="Z482" s="0" t="n">
        <f>IF(IF(ISNUMBER($E$6),AND($E$6&gt;=0,$E$6&lt;=6,$E$6=INT($E$6)),FALSE),IF(SUM(IF(ISNUMBER(F482),IF(ABS(F482-ROUND(F482,$E$6))&gt;0.00000001,1,0),0),IF(ISNUMBER(G482),IF(ABS(G482-ROUND(G482,$E$6))&gt;0.00000001,1,0),0),IF(ISNUMBER(H482),IF(ABS(H482-ROUND(H482,$E$6))&gt;0.00000001,1,0),0),IF(ISNUMBER(I482),IF(ABS(I482-ROUND(I482,$E$6))&gt;0.00000001,1,0),0),IF(ISNUMBER(J482),IF(ABS(J482-ROUND(J482,$E$6))&gt;0.00000001,1,0),0),IF(ISNUMBER(M482),IF(ABS(M482-ROUND(M482,$E$6))&gt;0.00000001,1,0),0))&gt;0,1,0),0)</f>
        <v>0</v>
      </c>
      <c r="AA482" s="0" t="n">
        <f>IF(COUNTA(B482:L482)=0,0,IF(OR(AND(ISNUMBER(F482),F482&lt;0),AND(U482=1,OR(SUM(IF(ISNUMBER(G482),IF(G482=0,1,0),0),IF(ISNUMBER(H482),IF(H482=0,1,0),0),IF(ISNUMBER(I482),IF(I482=0,1,0),0),IF(ISNUMBER(J482),IF(J482=0,1,0),0))&gt;0,COUNTIFS(G482:J482,"&lt;0")&gt;0)),AND(P482="DIMENSIONES",U482=1,OR(AND(S482="m",COUNT(H482:J482)&lt;&gt;1),AND(S482="m²",COUNT(H482:J482)&lt;&gt;2,Y482=0),AND(S482="m³",COUNT(H482:J482)&lt;&gt;3),AND(S482="ud",COUNT(H482:J482)&gt;0))),AND(P482="DIRECTA",OR(S482="m",S482="m²",S482="m³"))),1,0))</f>
        <v>0</v>
      </c>
      <c r="AB482" s="0">
        <f>IF(LEN(TRIM(E482&amp;""))&gt;0,E482,IF(R482&gt;0,INDEX($E$13:$E$512,R482),""))</f>
      </c>
      <c r="AC482" s="0">
        <f>UPPER(SUBSTITUTE(SUBSTITUTE(SUBSTITUTE(SUBSTITUTE(SUBSTITUTE(TRIM(AB482),"²","2"),"³","3"),"^",""),".","")," ",""))</f>
      </c>
    </row>
    <row r="483" ht="35" customHeight="1">
      <c r="B483" s="35"/>
      <c r="C483" s="35"/>
      <c r="D483" s="37"/>
      <c r="E483" s="35"/>
      <c r="F483" s="38"/>
      <c r="G483" s="38"/>
      <c r="H483" s="38"/>
      <c r="I483" s="38"/>
      <c r="J483" s="38"/>
      <c r="K483" s="35"/>
      <c r="L483" s="35"/>
      <c r="M483" s="39">
        <f>IF(U483&lt;&gt;1,"",IF(P483="DIRECTA",G483,IF(ISNUMBER(G483),G483,1)*IF(ISNUMBER(H483),H483,1)*IF(ISNUMBER(I483),I483,1)*IF(ISNUMBER(J483),J483,1)))</f>
      </c>
      <c r="N483" s="30">
        <f>IF(COUNTA(B483:L483)=0,"",IF(X483=0,IF(P483="CABECERA","VERDE · Fila descriptiva; la suma usa las líneas del ID","VERDE · Datos numéricos interpretables"),IF(X483=2,"ROJO · ","ÁMBAR · ")&amp;IF(NOT(IF(ISNUMBER($E$6),AND($E$6&gt;=0,$E$6&lt;=6,$E$6=INT($E$6)),FALSE)),"Indicamos entre 0 y 6 decimales en E6. ","")&amp;IF(O483=0,"Falta un ID numérico. ","")&amp;IF(R483=0,"Faltan capítulo, código, unidad o total numérico del ID. ","")&amp;IF(T483&gt;0,"Los datos o el total del ID se contradicen. ","")&amp;IF(AND(P483&lt;&gt;"DIMENSIONES",P483&lt;&gt;"DIRECTA",P483&lt;&gt;"SIN LÍNEAS",P483&lt;&gt;"CABECERA"),"Tipo de fila no reconocido. ","")&amp;IF(AND(OR(P483="SIN LÍNEAS",P483="CABECERA"),COUNTA(G483:J483)&gt;0),"La fila dice que no mide, pero contiene medidas. ","")&amp;IF(AND(OR(P483="DIRECTA",P483="DIMENSIONES"),U483=0),"Línea incompleta o con medidas no numéricas. ","")&amp;IF(P483="SIN LÍNEAS","No constan medidas de esta fila. ","")&amp;IF(Y483&gt;0,"Parece m³: tres dimensiones bajo m². ","")&amp;IF(AND(AB483&lt;&gt;"",SUMPRODUCT(--('LÉEME'!$B$65:$B$86=AC483))&lt;&gt;1),"Revisamos el significado de la unidad. ","")&amp;IF(Z483&gt;0,"Más precisión que los decimales indicados: cotejamos el original. ","")&amp;IF(AA483&gt;0,"Revisamos dimensiones, cantidad directa, ceros o deducción. ","")))</f>
      </c>
      <c r="O483" s="0" t="n">
        <f>IF(ISNUMBER(K483),IF(AND(K483&gt;0,K483=INT(K483),K483&lt;=999999),K483,0),0)</f>
        <v>0</v>
      </c>
      <c r="P483" s="0">
        <f>IF(COUNTA(B483:L483)=0,"",IF(L483="",IF(COUNTA(G483:J483)&gt;0,"DIMENSIONES","SIN LÍNEAS"),UPPER(TRIM(L483))))</f>
      </c>
      <c r="Q483" s="0">
        <f>IF(AND(O483&gt;0,LEN(TRIM(B483&amp;""))&gt;0,LEN(TRIM(C483&amp;""))&gt;0,LEN(TRIM(E483&amp;""))&gt;0,ISNUMBER(F483)),O483,"")</f>
      </c>
      <c r="R483" s="0" t="n">
        <f>IF(O483=0,0,IF(COUNTIFS($Q$13:$Q$512,O483)&gt;0,MATCH(O483,$Q$13:$Q$512,0),0))</f>
        <v>0</v>
      </c>
      <c r="S483" s="0">
        <f>IF(AB483="","",IF(SUMPRODUCT(--('LÉEME'!$B$65:$B$86=AC483))=1,INDEX('LÉEME'!$C$65:$C$86,MATCH(AC483,'LÉEME'!$B$65:$B$86,0)),UPPER(TRIM(AB483))))</f>
      </c>
      <c r="T483" s="0" t="n">
        <f>IF(R483=0,0,IF(OR(AND(LEN(TRIM(B483&amp;""))&gt;0,UPPER(TRIM(B483&amp;""))&lt;&gt;UPPER(TRIM(INDEX($B$13:$B$512,R483)&amp;""))),AND(LEN(TRIM(C483&amp;""))&gt;0,UPPER(TRIM(C483&amp;""))&lt;&gt;UPPER(TRIM(INDEX($C$13:$C$512,R483)&amp;""))),AND(LEN(TRIM(E483&amp;""))&gt;0,S483&lt;&gt;INDEX($S$13:$S$512,R483)),AND(F483&lt;&gt;"",NOT(ISNUMBER(F483)))),1,IF(ISNUMBER(F483),IF(ABS(F483-INDEX($F$13:$F$512,R483))&gt;0.00000001,1,0),0)))</f>
        <v>0</v>
      </c>
      <c r="U483" s="0" t="n">
        <f>IF(P483="DIRECTA",IF(AND(ISNUMBER(G483),COUNTA(H483:J483)=0),1,0),IF(P483="DIMENSIONES",IF(AND(COUNT(G483:J483)&gt;0,COUNTA(G483:J483)=COUNT(G483:J483)),1,0),0))</f>
        <v>0</v>
      </c>
      <c r="V483" s="0" t="n">
        <f>IF(O483=0,0,IF(COUNTIFS($O$13:O483,O483)=1,1,0))</f>
        <v>0</v>
      </c>
      <c r="W483" s="0">
        <f>IF(V483=1,COUNTIFS($V$13:V483,1),"")</f>
      </c>
      <c r="X483" s="0">
        <f>IF(COUNTA(B483:L483)=0,"",IF(OR(NOT(IF(ISNUMBER($E$6),AND($E$6&gt;=0,$E$6&lt;=6,$E$6=INT($E$6)),FALSE)),O483=0,R483=0,T483&gt;0,AND(P483&lt;&gt;"DIMENSIONES",P483&lt;&gt;"DIRECTA",P483&lt;&gt;"SIN LÍNEAS",P483&lt;&gt;"CABECERA"),AND(OR(P483="DIRECTA",P483="DIMENSIONES"),U483=0),AND(OR(P483="SIN LÍNEAS",P483="CABECERA"),COUNTA(G483:J483)&gt;0)),2,IF(OR(P483="SIN LÍNEAS",Y483&gt;0,Z483&gt;0,AA483&gt;0,SUMPRODUCT(--('LÉEME'!$B$65:$B$86=AC483))&lt;&gt;1),1,0)))</f>
      </c>
      <c r="Y483" s="0" t="n">
        <f>IF(AND(P483="DIMENSIONES",S483="m²",COUNT(H483:J483)=3),1,0)</f>
        <v>0</v>
      </c>
      <c r="Z483" s="0" t="n">
        <f>IF(IF(ISNUMBER($E$6),AND($E$6&gt;=0,$E$6&lt;=6,$E$6=INT($E$6)),FALSE),IF(SUM(IF(ISNUMBER(F483),IF(ABS(F483-ROUND(F483,$E$6))&gt;0.00000001,1,0),0),IF(ISNUMBER(G483),IF(ABS(G483-ROUND(G483,$E$6))&gt;0.00000001,1,0),0),IF(ISNUMBER(H483),IF(ABS(H483-ROUND(H483,$E$6))&gt;0.00000001,1,0),0),IF(ISNUMBER(I483),IF(ABS(I483-ROUND(I483,$E$6))&gt;0.00000001,1,0),0),IF(ISNUMBER(J483),IF(ABS(J483-ROUND(J483,$E$6))&gt;0.00000001,1,0),0),IF(ISNUMBER(M483),IF(ABS(M483-ROUND(M483,$E$6))&gt;0.00000001,1,0),0))&gt;0,1,0),0)</f>
        <v>0</v>
      </c>
      <c r="AA483" s="0" t="n">
        <f>IF(COUNTA(B483:L483)=0,0,IF(OR(AND(ISNUMBER(F483),F483&lt;0),AND(U483=1,OR(SUM(IF(ISNUMBER(G483),IF(G483=0,1,0),0),IF(ISNUMBER(H483),IF(H483=0,1,0),0),IF(ISNUMBER(I483),IF(I483=0,1,0),0),IF(ISNUMBER(J483),IF(J483=0,1,0),0))&gt;0,COUNTIFS(G483:J483,"&lt;0")&gt;0)),AND(P483="DIMENSIONES",U483=1,OR(AND(S483="m",COUNT(H483:J483)&lt;&gt;1),AND(S483="m²",COUNT(H483:J483)&lt;&gt;2,Y483=0),AND(S483="m³",COUNT(H483:J483)&lt;&gt;3),AND(S483="ud",COUNT(H483:J483)&gt;0))),AND(P483="DIRECTA",OR(S483="m",S483="m²",S483="m³"))),1,0))</f>
        <v>0</v>
      </c>
      <c r="AB483" s="0">
        <f>IF(LEN(TRIM(E483&amp;""))&gt;0,E483,IF(R483&gt;0,INDEX($E$13:$E$512,R483),""))</f>
      </c>
      <c r="AC483" s="0">
        <f>UPPER(SUBSTITUTE(SUBSTITUTE(SUBSTITUTE(SUBSTITUTE(SUBSTITUTE(TRIM(AB483),"²","2"),"³","3"),"^",""),".","")," ",""))</f>
      </c>
    </row>
    <row r="484" ht="35" customHeight="1">
      <c r="B484" s="35"/>
      <c r="C484" s="35"/>
      <c r="D484" s="37"/>
      <c r="E484" s="35"/>
      <c r="F484" s="38"/>
      <c r="G484" s="38"/>
      <c r="H484" s="38"/>
      <c r="I484" s="38"/>
      <c r="J484" s="38"/>
      <c r="K484" s="35"/>
      <c r="L484" s="35"/>
      <c r="M484" s="39">
        <f>IF(U484&lt;&gt;1,"",IF(P484="DIRECTA",G484,IF(ISNUMBER(G484),G484,1)*IF(ISNUMBER(H484),H484,1)*IF(ISNUMBER(I484),I484,1)*IF(ISNUMBER(J484),J484,1)))</f>
      </c>
      <c r="N484" s="30">
        <f>IF(COUNTA(B484:L484)=0,"",IF(X484=0,IF(P484="CABECERA","VERDE · Fila descriptiva; la suma usa las líneas del ID","VERDE · Datos numéricos interpretables"),IF(X484=2,"ROJO · ","ÁMBAR · ")&amp;IF(NOT(IF(ISNUMBER($E$6),AND($E$6&gt;=0,$E$6&lt;=6,$E$6=INT($E$6)),FALSE)),"Indicamos entre 0 y 6 decimales en E6. ","")&amp;IF(O484=0,"Falta un ID numérico. ","")&amp;IF(R484=0,"Faltan capítulo, código, unidad o total numérico del ID. ","")&amp;IF(T484&gt;0,"Los datos o el total del ID se contradicen. ","")&amp;IF(AND(P484&lt;&gt;"DIMENSIONES",P484&lt;&gt;"DIRECTA",P484&lt;&gt;"SIN LÍNEAS",P484&lt;&gt;"CABECERA"),"Tipo de fila no reconocido. ","")&amp;IF(AND(OR(P484="SIN LÍNEAS",P484="CABECERA"),COUNTA(G484:J484)&gt;0),"La fila dice que no mide, pero contiene medidas. ","")&amp;IF(AND(OR(P484="DIRECTA",P484="DIMENSIONES"),U484=0),"Línea incompleta o con medidas no numéricas. ","")&amp;IF(P484="SIN LÍNEAS","No constan medidas de esta fila. ","")&amp;IF(Y484&gt;0,"Parece m³: tres dimensiones bajo m². ","")&amp;IF(AND(AB484&lt;&gt;"",SUMPRODUCT(--('LÉEME'!$B$65:$B$86=AC484))&lt;&gt;1),"Revisamos el significado de la unidad. ","")&amp;IF(Z484&gt;0,"Más precisión que los decimales indicados: cotejamos el original. ","")&amp;IF(AA484&gt;0,"Revisamos dimensiones, cantidad directa, ceros o deducción. ","")))</f>
      </c>
      <c r="O484" s="0" t="n">
        <f>IF(ISNUMBER(K484),IF(AND(K484&gt;0,K484=INT(K484),K484&lt;=999999),K484,0),0)</f>
        <v>0</v>
      </c>
      <c r="P484" s="0">
        <f>IF(COUNTA(B484:L484)=0,"",IF(L484="",IF(COUNTA(G484:J484)&gt;0,"DIMENSIONES","SIN LÍNEAS"),UPPER(TRIM(L484))))</f>
      </c>
      <c r="Q484" s="0">
        <f>IF(AND(O484&gt;0,LEN(TRIM(B484&amp;""))&gt;0,LEN(TRIM(C484&amp;""))&gt;0,LEN(TRIM(E484&amp;""))&gt;0,ISNUMBER(F484)),O484,"")</f>
      </c>
      <c r="R484" s="0" t="n">
        <f>IF(O484=0,0,IF(COUNTIFS($Q$13:$Q$512,O484)&gt;0,MATCH(O484,$Q$13:$Q$512,0),0))</f>
        <v>0</v>
      </c>
      <c r="S484" s="0">
        <f>IF(AB484="","",IF(SUMPRODUCT(--('LÉEME'!$B$65:$B$86=AC484))=1,INDEX('LÉEME'!$C$65:$C$86,MATCH(AC484,'LÉEME'!$B$65:$B$86,0)),UPPER(TRIM(AB484))))</f>
      </c>
      <c r="T484" s="0" t="n">
        <f>IF(R484=0,0,IF(OR(AND(LEN(TRIM(B484&amp;""))&gt;0,UPPER(TRIM(B484&amp;""))&lt;&gt;UPPER(TRIM(INDEX($B$13:$B$512,R484)&amp;""))),AND(LEN(TRIM(C484&amp;""))&gt;0,UPPER(TRIM(C484&amp;""))&lt;&gt;UPPER(TRIM(INDEX($C$13:$C$512,R484)&amp;""))),AND(LEN(TRIM(E484&amp;""))&gt;0,S484&lt;&gt;INDEX($S$13:$S$512,R484)),AND(F484&lt;&gt;"",NOT(ISNUMBER(F484)))),1,IF(ISNUMBER(F484),IF(ABS(F484-INDEX($F$13:$F$512,R484))&gt;0.00000001,1,0),0)))</f>
        <v>0</v>
      </c>
      <c r="U484" s="0" t="n">
        <f>IF(P484="DIRECTA",IF(AND(ISNUMBER(G484),COUNTA(H484:J484)=0),1,0),IF(P484="DIMENSIONES",IF(AND(COUNT(G484:J484)&gt;0,COUNTA(G484:J484)=COUNT(G484:J484)),1,0),0))</f>
        <v>0</v>
      </c>
      <c r="V484" s="0" t="n">
        <f>IF(O484=0,0,IF(COUNTIFS($O$13:O484,O484)=1,1,0))</f>
        <v>0</v>
      </c>
      <c r="W484" s="0">
        <f>IF(V484=1,COUNTIFS($V$13:V484,1),"")</f>
      </c>
      <c r="X484" s="0">
        <f>IF(COUNTA(B484:L484)=0,"",IF(OR(NOT(IF(ISNUMBER($E$6),AND($E$6&gt;=0,$E$6&lt;=6,$E$6=INT($E$6)),FALSE)),O484=0,R484=0,T484&gt;0,AND(P484&lt;&gt;"DIMENSIONES",P484&lt;&gt;"DIRECTA",P484&lt;&gt;"SIN LÍNEAS",P484&lt;&gt;"CABECERA"),AND(OR(P484="DIRECTA",P484="DIMENSIONES"),U484=0),AND(OR(P484="SIN LÍNEAS",P484="CABECERA"),COUNTA(G484:J484)&gt;0)),2,IF(OR(P484="SIN LÍNEAS",Y484&gt;0,Z484&gt;0,AA484&gt;0,SUMPRODUCT(--('LÉEME'!$B$65:$B$86=AC484))&lt;&gt;1),1,0)))</f>
      </c>
      <c r="Y484" s="0" t="n">
        <f>IF(AND(P484="DIMENSIONES",S484="m²",COUNT(H484:J484)=3),1,0)</f>
        <v>0</v>
      </c>
      <c r="Z484" s="0" t="n">
        <f>IF(IF(ISNUMBER($E$6),AND($E$6&gt;=0,$E$6&lt;=6,$E$6=INT($E$6)),FALSE),IF(SUM(IF(ISNUMBER(F484),IF(ABS(F484-ROUND(F484,$E$6))&gt;0.00000001,1,0),0),IF(ISNUMBER(G484),IF(ABS(G484-ROUND(G484,$E$6))&gt;0.00000001,1,0),0),IF(ISNUMBER(H484),IF(ABS(H484-ROUND(H484,$E$6))&gt;0.00000001,1,0),0),IF(ISNUMBER(I484),IF(ABS(I484-ROUND(I484,$E$6))&gt;0.00000001,1,0),0),IF(ISNUMBER(J484),IF(ABS(J484-ROUND(J484,$E$6))&gt;0.00000001,1,0),0),IF(ISNUMBER(M484),IF(ABS(M484-ROUND(M484,$E$6))&gt;0.00000001,1,0),0))&gt;0,1,0),0)</f>
        <v>0</v>
      </c>
      <c r="AA484" s="0" t="n">
        <f>IF(COUNTA(B484:L484)=0,0,IF(OR(AND(ISNUMBER(F484),F484&lt;0),AND(U484=1,OR(SUM(IF(ISNUMBER(G484),IF(G484=0,1,0),0),IF(ISNUMBER(H484),IF(H484=0,1,0),0),IF(ISNUMBER(I484),IF(I484=0,1,0),0),IF(ISNUMBER(J484),IF(J484=0,1,0),0))&gt;0,COUNTIFS(G484:J484,"&lt;0")&gt;0)),AND(P484="DIMENSIONES",U484=1,OR(AND(S484="m",COUNT(H484:J484)&lt;&gt;1),AND(S484="m²",COUNT(H484:J484)&lt;&gt;2,Y484=0),AND(S484="m³",COUNT(H484:J484)&lt;&gt;3),AND(S484="ud",COUNT(H484:J484)&gt;0))),AND(P484="DIRECTA",OR(S484="m",S484="m²",S484="m³"))),1,0))</f>
        <v>0</v>
      </c>
      <c r="AB484" s="0">
        <f>IF(LEN(TRIM(E484&amp;""))&gt;0,E484,IF(R484&gt;0,INDEX($E$13:$E$512,R484),""))</f>
      </c>
      <c r="AC484" s="0">
        <f>UPPER(SUBSTITUTE(SUBSTITUTE(SUBSTITUTE(SUBSTITUTE(SUBSTITUTE(TRIM(AB484),"²","2"),"³","3"),"^",""),".","")," ",""))</f>
      </c>
    </row>
    <row r="485" ht="35" customHeight="1">
      <c r="B485" s="35"/>
      <c r="C485" s="35"/>
      <c r="D485" s="37"/>
      <c r="E485" s="35"/>
      <c r="F485" s="38"/>
      <c r="G485" s="38"/>
      <c r="H485" s="38"/>
      <c r="I485" s="38"/>
      <c r="J485" s="38"/>
      <c r="K485" s="35"/>
      <c r="L485" s="35"/>
      <c r="M485" s="39">
        <f>IF(U485&lt;&gt;1,"",IF(P485="DIRECTA",G485,IF(ISNUMBER(G485),G485,1)*IF(ISNUMBER(H485),H485,1)*IF(ISNUMBER(I485),I485,1)*IF(ISNUMBER(J485),J485,1)))</f>
      </c>
      <c r="N485" s="30">
        <f>IF(COUNTA(B485:L485)=0,"",IF(X485=0,IF(P485="CABECERA","VERDE · Fila descriptiva; la suma usa las líneas del ID","VERDE · Datos numéricos interpretables"),IF(X485=2,"ROJO · ","ÁMBAR · ")&amp;IF(NOT(IF(ISNUMBER($E$6),AND($E$6&gt;=0,$E$6&lt;=6,$E$6=INT($E$6)),FALSE)),"Indicamos entre 0 y 6 decimales en E6. ","")&amp;IF(O485=0,"Falta un ID numérico. ","")&amp;IF(R485=0,"Faltan capítulo, código, unidad o total numérico del ID. ","")&amp;IF(T485&gt;0,"Los datos o el total del ID se contradicen. ","")&amp;IF(AND(P485&lt;&gt;"DIMENSIONES",P485&lt;&gt;"DIRECTA",P485&lt;&gt;"SIN LÍNEAS",P485&lt;&gt;"CABECERA"),"Tipo de fila no reconocido. ","")&amp;IF(AND(OR(P485="SIN LÍNEAS",P485="CABECERA"),COUNTA(G485:J485)&gt;0),"La fila dice que no mide, pero contiene medidas. ","")&amp;IF(AND(OR(P485="DIRECTA",P485="DIMENSIONES"),U485=0),"Línea incompleta o con medidas no numéricas. ","")&amp;IF(P485="SIN LÍNEAS","No constan medidas de esta fila. ","")&amp;IF(Y485&gt;0,"Parece m³: tres dimensiones bajo m². ","")&amp;IF(AND(AB485&lt;&gt;"",SUMPRODUCT(--('LÉEME'!$B$65:$B$86=AC485))&lt;&gt;1),"Revisamos el significado de la unidad. ","")&amp;IF(Z485&gt;0,"Más precisión que los decimales indicados: cotejamos el original. ","")&amp;IF(AA485&gt;0,"Revisamos dimensiones, cantidad directa, ceros o deducción. ","")))</f>
      </c>
      <c r="O485" s="0" t="n">
        <f>IF(ISNUMBER(K485),IF(AND(K485&gt;0,K485=INT(K485),K485&lt;=999999),K485,0),0)</f>
        <v>0</v>
      </c>
      <c r="P485" s="0">
        <f>IF(COUNTA(B485:L485)=0,"",IF(L485="",IF(COUNTA(G485:J485)&gt;0,"DIMENSIONES","SIN LÍNEAS"),UPPER(TRIM(L485))))</f>
      </c>
      <c r="Q485" s="0">
        <f>IF(AND(O485&gt;0,LEN(TRIM(B485&amp;""))&gt;0,LEN(TRIM(C485&amp;""))&gt;0,LEN(TRIM(E485&amp;""))&gt;0,ISNUMBER(F485)),O485,"")</f>
      </c>
      <c r="R485" s="0" t="n">
        <f>IF(O485=0,0,IF(COUNTIFS($Q$13:$Q$512,O485)&gt;0,MATCH(O485,$Q$13:$Q$512,0),0))</f>
        <v>0</v>
      </c>
      <c r="S485" s="0">
        <f>IF(AB485="","",IF(SUMPRODUCT(--('LÉEME'!$B$65:$B$86=AC485))=1,INDEX('LÉEME'!$C$65:$C$86,MATCH(AC485,'LÉEME'!$B$65:$B$86,0)),UPPER(TRIM(AB485))))</f>
      </c>
      <c r="T485" s="0" t="n">
        <f>IF(R485=0,0,IF(OR(AND(LEN(TRIM(B485&amp;""))&gt;0,UPPER(TRIM(B485&amp;""))&lt;&gt;UPPER(TRIM(INDEX($B$13:$B$512,R485)&amp;""))),AND(LEN(TRIM(C485&amp;""))&gt;0,UPPER(TRIM(C485&amp;""))&lt;&gt;UPPER(TRIM(INDEX($C$13:$C$512,R485)&amp;""))),AND(LEN(TRIM(E485&amp;""))&gt;0,S485&lt;&gt;INDEX($S$13:$S$512,R485)),AND(F485&lt;&gt;"",NOT(ISNUMBER(F485)))),1,IF(ISNUMBER(F485),IF(ABS(F485-INDEX($F$13:$F$512,R485))&gt;0.00000001,1,0),0)))</f>
        <v>0</v>
      </c>
      <c r="U485" s="0" t="n">
        <f>IF(P485="DIRECTA",IF(AND(ISNUMBER(G485),COUNTA(H485:J485)=0),1,0),IF(P485="DIMENSIONES",IF(AND(COUNT(G485:J485)&gt;0,COUNTA(G485:J485)=COUNT(G485:J485)),1,0),0))</f>
        <v>0</v>
      </c>
      <c r="V485" s="0" t="n">
        <f>IF(O485=0,0,IF(COUNTIFS($O$13:O485,O485)=1,1,0))</f>
        <v>0</v>
      </c>
      <c r="W485" s="0">
        <f>IF(V485=1,COUNTIFS($V$13:V485,1),"")</f>
      </c>
      <c r="X485" s="0">
        <f>IF(COUNTA(B485:L485)=0,"",IF(OR(NOT(IF(ISNUMBER($E$6),AND($E$6&gt;=0,$E$6&lt;=6,$E$6=INT($E$6)),FALSE)),O485=0,R485=0,T485&gt;0,AND(P485&lt;&gt;"DIMENSIONES",P485&lt;&gt;"DIRECTA",P485&lt;&gt;"SIN LÍNEAS",P485&lt;&gt;"CABECERA"),AND(OR(P485="DIRECTA",P485="DIMENSIONES"),U485=0),AND(OR(P485="SIN LÍNEAS",P485="CABECERA"),COUNTA(G485:J485)&gt;0)),2,IF(OR(P485="SIN LÍNEAS",Y485&gt;0,Z485&gt;0,AA485&gt;0,SUMPRODUCT(--('LÉEME'!$B$65:$B$86=AC485))&lt;&gt;1),1,0)))</f>
      </c>
      <c r="Y485" s="0" t="n">
        <f>IF(AND(P485="DIMENSIONES",S485="m²",COUNT(H485:J485)=3),1,0)</f>
        <v>0</v>
      </c>
      <c r="Z485" s="0" t="n">
        <f>IF(IF(ISNUMBER($E$6),AND($E$6&gt;=0,$E$6&lt;=6,$E$6=INT($E$6)),FALSE),IF(SUM(IF(ISNUMBER(F485),IF(ABS(F485-ROUND(F485,$E$6))&gt;0.00000001,1,0),0),IF(ISNUMBER(G485),IF(ABS(G485-ROUND(G485,$E$6))&gt;0.00000001,1,0),0),IF(ISNUMBER(H485),IF(ABS(H485-ROUND(H485,$E$6))&gt;0.00000001,1,0),0),IF(ISNUMBER(I485),IF(ABS(I485-ROUND(I485,$E$6))&gt;0.00000001,1,0),0),IF(ISNUMBER(J485),IF(ABS(J485-ROUND(J485,$E$6))&gt;0.00000001,1,0),0),IF(ISNUMBER(M485),IF(ABS(M485-ROUND(M485,$E$6))&gt;0.00000001,1,0),0))&gt;0,1,0),0)</f>
        <v>0</v>
      </c>
      <c r="AA485" s="0" t="n">
        <f>IF(COUNTA(B485:L485)=0,0,IF(OR(AND(ISNUMBER(F485),F485&lt;0),AND(U485=1,OR(SUM(IF(ISNUMBER(G485),IF(G485=0,1,0),0),IF(ISNUMBER(H485),IF(H485=0,1,0),0),IF(ISNUMBER(I485),IF(I485=0,1,0),0),IF(ISNUMBER(J485),IF(J485=0,1,0),0))&gt;0,COUNTIFS(G485:J485,"&lt;0")&gt;0)),AND(P485="DIMENSIONES",U485=1,OR(AND(S485="m",COUNT(H485:J485)&lt;&gt;1),AND(S485="m²",COUNT(H485:J485)&lt;&gt;2,Y485=0),AND(S485="m³",COUNT(H485:J485)&lt;&gt;3),AND(S485="ud",COUNT(H485:J485)&gt;0))),AND(P485="DIRECTA",OR(S485="m",S485="m²",S485="m³"))),1,0))</f>
        <v>0</v>
      </c>
      <c r="AB485" s="0">
        <f>IF(LEN(TRIM(E485&amp;""))&gt;0,E485,IF(R485&gt;0,INDEX($E$13:$E$512,R485),""))</f>
      </c>
      <c r="AC485" s="0">
        <f>UPPER(SUBSTITUTE(SUBSTITUTE(SUBSTITUTE(SUBSTITUTE(SUBSTITUTE(TRIM(AB485),"²","2"),"³","3"),"^",""),".","")," ",""))</f>
      </c>
    </row>
    <row r="486" ht="35" customHeight="1">
      <c r="B486" s="35"/>
      <c r="C486" s="35"/>
      <c r="D486" s="37"/>
      <c r="E486" s="35"/>
      <c r="F486" s="38"/>
      <c r="G486" s="38"/>
      <c r="H486" s="38"/>
      <c r="I486" s="38"/>
      <c r="J486" s="38"/>
      <c r="K486" s="35"/>
      <c r="L486" s="35"/>
      <c r="M486" s="39">
        <f>IF(U486&lt;&gt;1,"",IF(P486="DIRECTA",G486,IF(ISNUMBER(G486),G486,1)*IF(ISNUMBER(H486),H486,1)*IF(ISNUMBER(I486),I486,1)*IF(ISNUMBER(J486),J486,1)))</f>
      </c>
      <c r="N486" s="30">
        <f>IF(COUNTA(B486:L486)=0,"",IF(X486=0,IF(P486="CABECERA","VERDE · Fila descriptiva; la suma usa las líneas del ID","VERDE · Datos numéricos interpretables"),IF(X486=2,"ROJO · ","ÁMBAR · ")&amp;IF(NOT(IF(ISNUMBER($E$6),AND($E$6&gt;=0,$E$6&lt;=6,$E$6=INT($E$6)),FALSE)),"Indicamos entre 0 y 6 decimales en E6. ","")&amp;IF(O486=0,"Falta un ID numérico. ","")&amp;IF(R486=0,"Faltan capítulo, código, unidad o total numérico del ID. ","")&amp;IF(T486&gt;0,"Los datos o el total del ID se contradicen. ","")&amp;IF(AND(P486&lt;&gt;"DIMENSIONES",P486&lt;&gt;"DIRECTA",P486&lt;&gt;"SIN LÍNEAS",P486&lt;&gt;"CABECERA"),"Tipo de fila no reconocido. ","")&amp;IF(AND(OR(P486="SIN LÍNEAS",P486="CABECERA"),COUNTA(G486:J486)&gt;0),"La fila dice que no mide, pero contiene medidas. ","")&amp;IF(AND(OR(P486="DIRECTA",P486="DIMENSIONES"),U486=0),"Línea incompleta o con medidas no numéricas. ","")&amp;IF(P486="SIN LÍNEAS","No constan medidas de esta fila. ","")&amp;IF(Y486&gt;0,"Parece m³: tres dimensiones bajo m². ","")&amp;IF(AND(AB486&lt;&gt;"",SUMPRODUCT(--('LÉEME'!$B$65:$B$86=AC486))&lt;&gt;1),"Revisamos el significado de la unidad. ","")&amp;IF(Z486&gt;0,"Más precisión que los decimales indicados: cotejamos el original. ","")&amp;IF(AA486&gt;0,"Revisamos dimensiones, cantidad directa, ceros o deducción. ","")))</f>
      </c>
      <c r="O486" s="0" t="n">
        <f>IF(ISNUMBER(K486),IF(AND(K486&gt;0,K486=INT(K486),K486&lt;=999999),K486,0),0)</f>
        <v>0</v>
      </c>
      <c r="P486" s="0">
        <f>IF(COUNTA(B486:L486)=0,"",IF(L486="",IF(COUNTA(G486:J486)&gt;0,"DIMENSIONES","SIN LÍNEAS"),UPPER(TRIM(L486))))</f>
      </c>
      <c r="Q486" s="0">
        <f>IF(AND(O486&gt;0,LEN(TRIM(B486&amp;""))&gt;0,LEN(TRIM(C486&amp;""))&gt;0,LEN(TRIM(E486&amp;""))&gt;0,ISNUMBER(F486)),O486,"")</f>
      </c>
      <c r="R486" s="0" t="n">
        <f>IF(O486=0,0,IF(COUNTIFS($Q$13:$Q$512,O486)&gt;0,MATCH(O486,$Q$13:$Q$512,0),0))</f>
        <v>0</v>
      </c>
      <c r="S486" s="0">
        <f>IF(AB486="","",IF(SUMPRODUCT(--('LÉEME'!$B$65:$B$86=AC486))=1,INDEX('LÉEME'!$C$65:$C$86,MATCH(AC486,'LÉEME'!$B$65:$B$86,0)),UPPER(TRIM(AB486))))</f>
      </c>
      <c r="T486" s="0" t="n">
        <f>IF(R486=0,0,IF(OR(AND(LEN(TRIM(B486&amp;""))&gt;0,UPPER(TRIM(B486&amp;""))&lt;&gt;UPPER(TRIM(INDEX($B$13:$B$512,R486)&amp;""))),AND(LEN(TRIM(C486&amp;""))&gt;0,UPPER(TRIM(C486&amp;""))&lt;&gt;UPPER(TRIM(INDEX($C$13:$C$512,R486)&amp;""))),AND(LEN(TRIM(E486&amp;""))&gt;0,S486&lt;&gt;INDEX($S$13:$S$512,R486)),AND(F486&lt;&gt;"",NOT(ISNUMBER(F486)))),1,IF(ISNUMBER(F486),IF(ABS(F486-INDEX($F$13:$F$512,R486))&gt;0.00000001,1,0),0)))</f>
        <v>0</v>
      </c>
      <c r="U486" s="0" t="n">
        <f>IF(P486="DIRECTA",IF(AND(ISNUMBER(G486),COUNTA(H486:J486)=0),1,0),IF(P486="DIMENSIONES",IF(AND(COUNT(G486:J486)&gt;0,COUNTA(G486:J486)=COUNT(G486:J486)),1,0),0))</f>
        <v>0</v>
      </c>
      <c r="V486" s="0" t="n">
        <f>IF(O486=0,0,IF(COUNTIFS($O$13:O486,O486)=1,1,0))</f>
        <v>0</v>
      </c>
      <c r="W486" s="0">
        <f>IF(V486=1,COUNTIFS($V$13:V486,1),"")</f>
      </c>
      <c r="X486" s="0">
        <f>IF(COUNTA(B486:L486)=0,"",IF(OR(NOT(IF(ISNUMBER($E$6),AND($E$6&gt;=0,$E$6&lt;=6,$E$6=INT($E$6)),FALSE)),O486=0,R486=0,T486&gt;0,AND(P486&lt;&gt;"DIMENSIONES",P486&lt;&gt;"DIRECTA",P486&lt;&gt;"SIN LÍNEAS",P486&lt;&gt;"CABECERA"),AND(OR(P486="DIRECTA",P486="DIMENSIONES"),U486=0),AND(OR(P486="SIN LÍNEAS",P486="CABECERA"),COUNTA(G486:J486)&gt;0)),2,IF(OR(P486="SIN LÍNEAS",Y486&gt;0,Z486&gt;0,AA486&gt;0,SUMPRODUCT(--('LÉEME'!$B$65:$B$86=AC486))&lt;&gt;1),1,0)))</f>
      </c>
      <c r="Y486" s="0" t="n">
        <f>IF(AND(P486="DIMENSIONES",S486="m²",COUNT(H486:J486)=3),1,0)</f>
        <v>0</v>
      </c>
      <c r="Z486" s="0" t="n">
        <f>IF(IF(ISNUMBER($E$6),AND($E$6&gt;=0,$E$6&lt;=6,$E$6=INT($E$6)),FALSE),IF(SUM(IF(ISNUMBER(F486),IF(ABS(F486-ROUND(F486,$E$6))&gt;0.00000001,1,0),0),IF(ISNUMBER(G486),IF(ABS(G486-ROUND(G486,$E$6))&gt;0.00000001,1,0),0),IF(ISNUMBER(H486),IF(ABS(H486-ROUND(H486,$E$6))&gt;0.00000001,1,0),0),IF(ISNUMBER(I486),IF(ABS(I486-ROUND(I486,$E$6))&gt;0.00000001,1,0),0),IF(ISNUMBER(J486),IF(ABS(J486-ROUND(J486,$E$6))&gt;0.00000001,1,0),0),IF(ISNUMBER(M486),IF(ABS(M486-ROUND(M486,$E$6))&gt;0.00000001,1,0),0))&gt;0,1,0),0)</f>
        <v>0</v>
      </c>
      <c r="AA486" s="0" t="n">
        <f>IF(COUNTA(B486:L486)=0,0,IF(OR(AND(ISNUMBER(F486),F486&lt;0),AND(U486=1,OR(SUM(IF(ISNUMBER(G486),IF(G486=0,1,0),0),IF(ISNUMBER(H486),IF(H486=0,1,0),0),IF(ISNUMBER(I486),IF(I486=0,1,0),0),IF(ISNUMBER(J486),IF(J486=0,1,0),0))&gt;0,COUNTIFS(G486:J486,"&lt;0")&gt;0)),AND(P486="DIMENSIONES",U486=1,OR(AND(S486="m",COUNT(H486:J486)&lt;&gt;1),AND(S486="m²",COUNT(H486:J486)&lt;&gt;2,Y486=0),AND(S486="m³",COUNT(H486:J486)&lt;&gt;3),AND(S486="ud",COUNT(H486:J486)&gt;0))),AND(P486="DIRECTA",OR(S486="m",S486="m²",S486="m³"))),1,0))</f>
        <v>0</v>
      </c>
      <c r="AB486" s="0">
        <f>IF(LEN(TRIM(E486&amp;""))&gt;0,E486,IF(R486&gt;0,INDEX($E$13:$E$512,R486),""))</f>
      </c>
      <c r="AC486" s="0">
        <f>UPPER(SUBSTITUTE(SUBSTITUTE(SUBSTITUTE(SUBSTITUTE(SUBSTITUTE(TRIM(AB486),"²","2"),"³","3"),"^",""),".","")," ",""))</f>
      </c>
    </row>
    <row r="487" ht="35" customHeight="1">
      <c r="B487" s="35"/>
      <c r="C487" s="35"/>
      <c r="D487" s="37"/>
      <c r="E487" s="35"/>
      <c r="F487" s="38"/>
      <c r="G487" s="38"/>
      <c r="H487" s="38"/>
      <c r="I487" s="38"/>
      <c r="J487" s="38"/>
      <c r="K487" s="35"/>
      <c r="L487" s="35"/>
      <c r="M487" s="39">
        <f>IF(U487&lt;&gt;1,"",IF(P487="DIRECTA",G487,IF(ISNUMBER(G487),G487,1)*IF(ISNUMBER(H487),H487,1)*IF(ISNUMBER(I487),I487,1)*IF(ISNUMBER(J487),J487,1)))</f>
      </c>
      <c r="N487" s="30">
        <f>IF(COUNTA(B487:L487)=0,"",IF(X487=0,IF(P487="CABECERA","VERDE · Fila descriptiva; la suma usa las líneas del ID","VERDE · Datos numéricos interpretables"),IF(X487=2,"ROJO · ","ÁMBAR · ")&amp;IF(NOT(IF(ISNUMBER($E$6),AND($E$6&gt;=0,$E$6&lt;=6,$E$6=INT($E$6)),FALSE)),"Indicamos entre 0 y 6 decimales en E6. ","")&amp;IF(O487=0,"Falta un ID numérico. ","")&amp;IF(R487=0,"Faltan capítulo, código, unidad o total numérico del ID. ","")&amp;IF(T487&gt;0,"Los datos o el total del ID se contradicen. ","")&amp;IF(AND(P487&lt;&gt;"DIMENSIONES",P487&lt;&gt;"DIRECTA",P487&lt;&gt;"SIN LÍNEAS",P487&lt;&gt;"CABECERA"),"Tipo de fila no reconocido. ","")&amp;IF(AND(OR(P487="SIN LÍNEAS",P487="CABECERA"),COUNTA(G487:J487)&gt;0),"La fila dice que no mide, pero contiene medidas. ","")&amp;IF(AND(OR(P487="DIRECTA",P487="DIMENSIONES"),U487=0),"Línea incompleta o con medidas no numéricas. ","")&amp;IF(P487="SIN LÍNEAS","No constan medidas de esta fila. ","")&amp;IF(Y487&gt;0,"Parece m³: tres dimensiones bajo m². ","")&amp;IF(AND(AB487&lt;&gt;"",SUMPRODUCT(--('LÉEME'!$B$65:$B$86=AC487))&lt;&gt;1),"Revisamos el significado de la unidad. ","")&amp;IF(Z487&gt;0,"Más precisión que los decimales indicados: cotejamos el original. ","")&amp;IF(AA487&gt;0,"Revisamos dimensiones, cantidad directa, ceros o deducción. ","")))</f>
      </c>
      <c r="O487" s="0" t="n">
        <f>IF(ISNUMBER(K487),IF(AND(K487&gt;0,K487=INT(K487),K487&lt;=999999),K487,0),0)</f>
        <v>0</v>
      </c>
      <c r="P487" s="0">
        <f>IF(COUNTA(B487:L487)=0,"",IF(L487="",IF(COUNTA(G487:J487)&gt;0,"DIMENSIONES","SIN LÍNEAS"),UPPER(TRIM(L487))))</f>
      </c>
      <c r="Q487" s="0">
        <f>IF(AND(O487&gt;0,LEN(TRIM(B487&amp;""))&gt;0,LEN(TRIM(C487&amp;""))&gt;0,LEN(TRIM(E487&amp;""))&gt;0,ISNUMBER(F487)),O487,"")</f>
      </c>
      <c r="R487" s="0" t="n">
        <f>IF(O487=0,0,IF(COUNTIFS($Q$13:$Q$512,O487)&gt;0,MATCH(O487,$Q$13:$Q$512,0),0))</f>
        <v>0</v>
      </c>
      <c r="S487" s="0">
        <f>IF(AB487="","",IF(SUMPRODUCT(--('LÉEME'!$B$65:$B$86=AC487))=1,INDEX('LÉEME'!$C$65:$C$86,MATCH(AC487,'LÉEME'!$B$65:$B$86,0)),UPPER(TRIM(AB487))))</f>
      </c>
      <c r="T487" s="0" t="n">
        <f>IF(R487=0,0,IF(OR(AND(LEN(TRIM(B487&amp;""))&gt;0,UPPER(TRIM(B487&amp;""))&lt;&gt;UPPER(TRIM(INDEX($B$13:$B$512,R487)&amp;""))),AND(LEN(TRIM(C487&amp;""))&gt;0,UPPER(TRIM(C487&amp;""))&lt;&gt;UPPER(TRIM(INDEX($C$13:$C$512,R487)&amp;""))),AND(LEN(TRIM(E487&amp;""))&gt;0,S487&lt;&gt;INDEX($S$13:$S$512,R487)),AND(F487&lt;&gt;"",NOT(ISNUMBER(F487)))),1,IF(ISNUMBER(F487),IF(ABS(F487-INDEX($F$13:$F$512,R487))&gt;0.00000001,1,0),0)))</f>
        <v>0</v>
      </c>
      <c r="U487" s="0" t="n">
        <f>IF(P487="DIRECTA",IF(AND(ISNUMBER(G487),COUNTA(H487:J487)=0),1,0),IF(P487="DIMENSIONES",IF(AND(COUNT(G487:J487)&gt;0,COUNTA(G487:J487)=COUNT(G487:J487)),1,0),0))</f>
        <v>0</v>
      </c>
      <c r="V487" s="0" t="n">
        <f>IF(O487=0,0,IF(COUNTIFS($O$13:O487,O487)=1,1,0))</f>
        <v>0</v>
      </c>
      <c r="W487" s="0">
        <f>IF(V487=1,COUNTIFS($V$13:V487,1),"")</f>
      </c>
      <c r="X487" s="0">
        <f>IF(COUNTA(B487:L487)=0,"",IF(OR(NOT(IF(ISNUMBER($E$6),AND($E$6&gt;=0,$E$6&lt;=6,$E$6=INT($E$6)),FALSE)),O487=0,R487=0,T487&gt;0,AND(P487&lt;&gt;"DIMENSIONES",P487&lt;&gt;"DIRECTA",P487&lt;&gt;"SIN LÍNEAS",P487&lt;&gt;"CABECERA"),AND(OR(P487="DIRECTA",P487="DIMENSIONES"),U487=0),AND(OR(P487="SIN LÍNEAS",P487="CABECERA"),COUNTA(G487:J487)&gt;0)),2,IF(OR(P487="SIN LÍNEAS",Y487&gt;0,Z487&gt;0,AA487&gt;0,SUMPRODUCT(--('LÉEME'!$B$65:$B$86=AC487))&lt;&gt;1),1,0)))</f>
      </c>
      <c r="Y487" s="0" t="n">
        <f>IF(AND(P487="DIMENSIONES",S487="m²",COUNT(H487:J487)=3),1,0)</f>
        <v>0</v>
      </c>
      <c r="Z487" s="0" t="n">
        <f>IF(IF(ISNUMBER($E$6),AND($E$6&gt;=0,$E$6&lt;=6,$E$6=INT($E$6)),FALSE),IF(SUM(IF(ISNUMBER(F487),IF(ABS(F487-ROUND(F487,$E$6))&gt;0.00000001,1,0),0),IF(ISNUMBER(G487),IF(ABS(G487-ROUND(G487,$E$6))&gt;0.00000001,1,0),0),IF(ISNUMBER(H487),IF(ABS(H487-ROUND(H487,$E$6))&gt;0.00000001,1,0),0),IF(ISNUMBER(I487),IF(ABS(I487-ROUND(I487,$E$6))&gt;0.00000001,1,0),0),IF(ISNUMBER(J487),IF(ABS(J487-ROUND(J487,$E$6))&gt;0.00000001,1,0),0),IF(ISNUMBER(M487),IF(ABS(M487-ROUND(M487,$E$6))&gt;0.00000001,1,0),0))&gt;0,1,0),0)</f>
        <v>0</v>
      </c>
      <c r="AA487" s="0" t="n">
        <f>IF(COUNTA(B487:L487)=0,0,IF(OR(AND(ISNUMBER(F487),F487&lt;0),AND(U487=1,OR(SUM(IF(ISNUMBER(G487),IF(G487=0,1,0),0),IF(ISNUMBER(H487),IF(H487=0,1,0),0),IF(ISNUMBER(I487),IF(I487=0,1,0),0),IF(ISNUMBER(J487),IF(J487=0,1,0),0))&gt;0,COUNTIFS(G487:J487,"&lt;0")&gt;0)),AND(P487="DIMENSIONES",U487=1,OR(AND(S487="m",COUNT(H487:J487)&lt;&gt;1),AND(S487="m²",COUNT(H487:J487)&lt;&gt;2,Y487=0),AND(S487="m³",COUNT(H487:J487)&lt;&gt;3),AND(S487="ud",COUNT(H487:J487)&gt;0))),AND(P487="DIRECTA",OR(S487="m",S487="m²",S487="m³"))),1,0))</f>
        <v>0</v>
      </c>
      <c r="AB487" s="0">
        <f>IF(LEN(TRIM(E487&amp;""))&gt;0,E487,IF(R487&gt;0,INDEX($E$13:$E$512,R487),""))</f>
      </c>
      <c r="AC487" s="0">
        <f>UPPER(SUBSTITUTE(SUBSTITUTE(SUBSTITUTE(SUBSTITUTE(SUBSTITUTE(TRIM(AB487),"²","2"),"³","3"),"^",""),".","")," ",""))</f>
      </c>
    </row>
    <row r="488" ht="35" customHeight="1">
      <c r="B488" s="35"/>
      <c r="C488" s="35"/>
      <c r="D488" s="37"/>
      <c r="E488" s="35"/>
      <c r="F488" s="38"/>
      <c r="G488" s="38"/>
      <c r="H488" s="38"/>
      <c r="I488" s="38"/>
      <c r="J488" s="38"/>
      <c r="K488" s="35"/>
      <c r="L488" s="35"/>
      <c r="M488" s="39">
        <f>IF(U488&lt;&gt;1,"",IF(P488="DIRECTA",G488,IF(ISNUMBER(G488),G488,1)*IF(ISNUMBER(H488),H488,1)*IF(ISNUMBER(I488),I488,1)*IF(ISNUMBER(J488),J488,1)))</f>
      </c>
      <c r="N488" s="30">
        <f>IF(COUNTA(B488:L488)=0,"",IF(X488=0,IF(P488="CABECERA","VERDE · Fila descriptiva; la suma usa las líneas del ID","VERDE · Datos numéricos interpretables"),IF(X488=2,"ROJO · ","ÁMBAR · ")&amp;IF(NOT(IF(ISNUMBER($E$6),AND($E$6&gt;=0,$E$6&lt;=6,$E$6=INT($E$6)),FALSE)),"Indicamos entre 0 y 6 decimales en E6. ","")&amp;IF(O488=0,"Falta un ID numérico. ","")&amp;IF(R488=0,"Faltan capítulo, código, unidad o total numérico del ID. ","")&amp;IF(T488&gt;0,"Los datos o el total del ID se contradicen. ","")&amp;IF(AND(P488&lt;&gt;"DIMENSIONES",P488&lt;&gt;"DIRECTA",P488&lt;&gt;"SIN LÍNEAS",P488&lt;&gt;"CABECERA"),"Tipo de fila no reconocido. ","")&amp;IF(AND(OR(P488="SIN LÍNEAS",P488="CABECERA"),COUNTA(G488:J488)&gt;0),"La fila dice que no mide, pero contiene medidas. ","")&amp;IF(AND(OR(P488="DIRECTA",P488="DIMENSIONES"),U488=0),"Línea incompleta o con medidas no numéricas. ","")&amp;IF(P488="SIN LÍNEAS","No constan medidas de esta fila. ","")&amp;IF(Y488&gt;0,"Parece m³: tres dimensiones bajo m². ","")&amp;IF(AND(AB488&lt;&gt;"",SUMPRODUCT(--('LÉEME'!$B$65:$B$86=AC488))&lt;&gt;1),"Revisamos el significado de la unidad. ","")&amp;IF(Z488&gt;0,"Más precisión que los decimales indicados: cotejamos el original. ","")&amp;IF(AA488&gt;0,"Revisamos dimensiones, cantidad directa, ceros o deducción. ","")))</f>
      </c>
      <c r="O488" s="0" t="n">
        <f>IF(ISNUMBER(K488),IF(AND(K488&gt;0,K488=INT(K488),K488&lt;=999999),K488,0),0)</f>
        <v>0</v>
      </c>
      <c r="P488" s="0">
        <f>IF(COUNTA(B488:L488)=0,"",IF(L488="",IF(COUNTA(G488:J488)&gt;0,"DIMENSIONES","SIN LÍNEAS"),UPPER(TRIM(L488))))</f>
      </c>
      <c r="Q488" s="0">
        <f>IF(AND(O488&gt;0,LEN(TRIM(B488&amp;""))&gt;0,LEN(TRIM(C488&amp;""))&gt;0,LEN(TRIM(E488&amp;""))&gt;0,ISNUMBER(F488)),O488,"")</f>
      </c>
      <c r="R488" s="0" t="n">
        <f>IF(O488=0,0,IF(COUNTIFS($Q$13:$Q$512,O488)&gt;0,MATCH(O488,$Q$13:$Q$512,0),0))</f>
        <v>0</v>
      </c>
      <c r="S488" s="0">
        <f>IF(AB488="","",IF(SUMPRODUCT(--('LÉEME'!$B$65:$B$86=AC488))=1,INDEX('LÉEME'!$C$65:$C$86,MATCH(AC488,'LÉEME'!$B$65:$B$86,0)),UPPER(TRIM(AB488))))</f>
      </c>
      <c r="T488" s="0" t="n">
        <f>IF(R488=0,0,IF(OR(AND(LEN(TRIM(B488&amp;""))&gt;0,UPPER(TRIM(B488&amp;""))&lt;&gt;UPPER(TRIM(INDEX($B$13:$B$512,R488)&amp;""))),AND(LEN(TRIM(C488&amp;""))&gt;0,UPPER(TRIM(C488&amp;""))&lt;&gt;UPPER(TRIM(INDEX($C$13:$C$512,R488)&amp;""))),AND(LEN(TRIM(E488&amp;""))&gt;0,S488&lt;&gt;INDEX($S$13:$S$512,R488)),AND(F488&lt;&gt;"",NOT(ISNUMBER(F488)))),1,IF(ISNUMBER(F488),IF(ABS(F488-INDEX($F$13:$F$512,R488))&gt;0.00000001,1,0),0)))</f>
        <v>0</v>
      </c>
      <c r="U488" s="0" t="n">
        <f>IF(P488="DIRECTA",IF(AND(ISNUMBER(G488),COUNTA(H488:J488)=0),1,0),IF(P488="DIMENSIONES",IF(AND(COUNT(G488:J488)&gt;0,COUNTA(G488:J488)=COUNT(G488:J488)),1,0),0))</f>
        <v>0</v>
      </c>
      <c r="V488" s="0" t="n">
        <f>IF(O488=0,0,IF(COUNTIFS($O$13:O488,O488)=1,1,0))</f>
        <v>0</v>
      </c>
      <c r="W488" s="0">
        <f>IF(V488=1,COUNTIFS($V$13:V488,1),"")</f>
      </c>
      <c r="X488" s="0">
        <f>IF(COUNTA(B488:L488)=0,"",IF(OR(NOT(IF(ISNUMBER($E$6),AND($E$6&gt;=0,$E$6&lt;=6,$E$6=INT($E$6)),FALSE)),O488=0,R488=0,T488&gt;0,AND(P488&lt;&gt;"DIMENSIONES",P488&lt;&gt;"DIRECTA",P488&lt;&gt;"SIN LÍNEAS",P488&lt;&gt;"CABECERA"),AND(OR(P488="DIRECTA",P488="DIMENSIONES"),U488=0),AND(OR(P488="SIN LÍNEAS",P488="CABECERA"),COUNTA(G488:J488)&gt;0)),2,IF(OR(P488="SIN LÍNEAS",Y488&gt;0,Z488&gt;0,AA488&gt;0,SUMPRODUCT(--('LÉEME'!$B$65:$B$86=AC488))&lt;&gt;1),1,0)))</f>
      </c>
      <c r="Y488" s="0" t="n">
        <f>IF(AND(P488="DIMENSIONES",S488="m²",COUNT(H488:J488)=3),1,0)</f>
        <v>0</v>
      </c>
      <c r="Z488" s="0" t="n">
        <f>IF(IF(ISNUMBER($E$6),AND($E$6&gt;=0,$E$6&lt;=6,$E$6=INT($E$6)),FALSE),IF(SUM(IF(ISNUMBER(F488),IF(ABS(F488-ROUND(F488,$E$6))&gt;0.00000001,1,0),0),IF(ISNUMBER(G488),IF(ABS(G488-ROUND(G488,$E$6))&gt;0.00000001,1,0),0),IF(ISNUMBER(H488),IF(ABS(H488-ROUND(H488,$E$6))&gt;0.00000001,1,0),0),IF(ISNUMBER(I488),IF(ABS(I488-ROUND(I488,$E$6))&gt;0.00000001,1,0),0),IF(ISNUMBER(J488),IF(ABS(J488-ROUND(J488,$E$6))&gt;0.00000001,1,0),0),IF(ISNUMBER(M488),IF(ABS(M488-ROUND(M488,$E$6))&gt;0.00000001,1,0),0))&gt;0,1,0),0)</f>
        <v>0</v>
      </c>
      <c r="AA488" s="0" t="n">
        <f>IF(COUNTA(B488:L488)=0,0,IF(OR(AND(ISNUMBER(F488),F488&lt;0),AND(U488=1,OR(SUM(IF(ISNUMBER(G488),IF(G488=0,1,0),0),IF(ISNUMBER(H488),IF(H488=0,1,0),0),IF(ISNUMBER(I488),IF(I488=0,1,0),0),IF(ISNUMBER(J488),IF(J488=0,1,0),0))&gt;0,COUNTIFS(G488:J488,"&lt;0")&gt;0)),AND(P488="DIMENSIONES",U488=1,OR(AND(S488="m",COUNT(H488:J488)&lt;&gt;1),AND(S488="m²",COUNT(H488:J488)&lt;&gt;2,Y488=0),AND(S488="m³",COUNT(H488:J488)&lt;&gt;3),AND(S488="ud",COUNT(H488:J488)&gt;0))),AND(P488="DIRECTA",OR(S488="m",S488="m²",S488="m³"))),1,0))</f>
        <v>0</v>
      </c>
      <c r="AB488" s="0">
        <f>IF(LEN(TRIM(E488&amp;""))&gt;0,E488,IF(R488&gt;0,INDEX($E$13:$E$512,R488),""))</f>
      </c>
      <c r="AC488" s="0">
        <f>UPPER(SUBSTITUTE(SUBSTITUTE(SUBSTITUTE(SUBSTITUTE(SUBSTITUTE(TRIM(AB488),"²","2"),"³","3"),"^",""),".","")," ",""))</f>
      </c>
    </row>
    <row r="489" ht="35" customHeight="1">
      <c r="B489" s="35"/>
      <c r="C489" s="35"/>
      <c r="D489" s="37"/>
      <c r="E489" s="35"/>
      <c r="F489" s="38"/>
      <c r="G489" s="38"/>
      <c r="H489" s="38"/>
      <c r="I489" s="38"/>
      <c r="J489" s="38"/>
      <c r="K489" s="35"/>
      <c r="L489" s="35"/>
      <c r="M489" s="39">
        <f>IF(U489&lt;&gt;1,"",IF(P489="DIRECTA",G489,IF(ISNUMBER(G489),G489,1)*IF(ISNUMBER(H489),H489,1)*IF(ISNUMBER(I489),I489,1)*IF(ISNUMBER(J489),J489,1)))</f>
      </c>
      <c r="N489" s="30">
        <f>IF(COUNTA(B489:L489)=0,"",IF(X489=0,IF(P489="CABECERA","VERDE · Fila descriptiva; la suma usa las líneas del ID","VERDE · Datos numéricos interpretables"),IF(X489=2,"ROJO · ","ÁMBAR · ")&amp;IF(NOT(IF(ISNUMBER($E$6),AND($E$6&gt;=0,$E$6&lt;=6,$E$6=INT($E$6)),FALSE)),"Indicamos entre 0 y 6 decimales en E6. ","")&amp;IF(O489=0,"Falta un ID numérico. ","")&amp;IF(R489=0,"Faltan capítulo, código, unidad o total numérico del ID. ","")&amp;IF(T489&gt;0,"Los datos o el total del ID se contradicen. ","")&amp;IF(AND(P489&lt;&gt;"DIMENSIONES",P489&lt;&gt;"DIRECTA",P489&lt;&gt;"SIN LÍNEAS",P489&lt;&gt;"CABECERA"),"Tipo de fila no reconocido. ","")&amp;IF(AND(OR(P489="SIN LÍNEAS",P489="CABECERA"),COUNTA(G489:J489)&gt;0),"La fila dice que no mide, pero contiene medidas. ","")&amp;IF(AND(OR(P489="DIRECTA",P489="DIMENSIONES"),U489=0),"Línea incompleta o con medidas no numéricas. ","")&amp;IF(P489="SIN LÍNEAS","No constan medidas de esta fila. ","")&amp;IF(Y489&gt;0,"Parece m³: tres dimensiones bajo m². ","")&amp;IF(AND(AB489&lt;&gt;"",SUMPRODUCT(--('LÉEME'!$B$65:$B$86=AC489))&lt;&gt;1),"Revisamos el significado de la unidad. ","")&amp;IF(Z489&gt;0,"Más precisión que los decimales indicados: cotejamos el original. ","")&amp;IF(AA489&gt;0,"Revisamos dimensiones, cantidad directa, ceros o deducción. ","")))</f>
      </c>
      <c r="O489" s="0" t="n">
        <f>IF(ISNUMBER(K489),IF(AND(K489&gt;0,K489=INT(K489),K489&lt;=999999),K489,0),0)</f>
        <v>0</v>
      </c>
      <c r="P489" s="0">
        <f>IF(COUNTA(B489:L489)=0,"",IF(L489="",IF(COUNTA(G489:J489)&gt;0,"DIMENSIONES","SIN LÍNEAS"),UPPER(TRIM(L489))))</f>
      </c>
      <c r="Q489" s="0">
        <f>IF(AND(O489&gt;0,LEN(TRIM(B489&amp;""))&gt;0,LEN(TRIM(C489&amp;""))&gt;0,LEN(TRIM(E489&amp;""))&gt;0,ISNUMBER(F489)),O489,"")</f>
      </c>
      <c r="R489" s="0" t="n">
        <f>IF(O489=0,0,IF(COUNTIFS($Q$13:$Q$512,O489)&gt;0,MATCH(O489,$Q$13:$Q$512,0),0))</f>
        <v>0</v>
      </c>
      <c r="S489" s="0">
        <f>IF(AB489="","",IF(SUMPRODUCT(--('LÉEME'!$B$65:$B$86=AC489))=1,INDEX('LÉEME'!$C$65:$C$86,MATCH(AC489,'LÉEME'!$B$65:$B$86,0)),UPPER(TRIM(AB489))))</f>
      </c>
      <c r="T489" s="0" t="n">
        <f>IF(R489=0,0,IF(OR(AND(LEN(TRIM(B489&amp;""))&gt;0,UPPER(TRIM(B489&amp;""))&lt;&gt;UPPER(TRIM(INDEX($B$13:$B$512,R489)&amp;""))),AND(LEN(TRIM(C489&amp;""))&gt;0,UPPER(TRIM(C489&amp;""))&lt;&gt;UPPER(TRIM(INDEX($C$13:$C$512,R489)&amp;""))),AND(LEN(TRIM(E489&amp;""))&gt;0,S489&lt;&gt;INDEX($S$13:$S$512,R489)),AND(F489&lt;&gt;"",NOT(ISNUMBER(F489)))),1,IF(ISNUMBER(F489),IF(ABS(F489-INDEX($F$13:$F$512,R489))&gt;0.00000001,1,0),0)))</f>
        <v>0</v>
      </c>
      <c r="U489" s="0" t="n">
        <f>IF(P489="DIRECTA",IF(AND(ISNUMBER(G489),COUNTA(H489:J489)=0),1,0),IF(P489="DIMENSIONES",IF(AND(COUNT(G489:J489)&gt;0,COUNTA(G489:J489)=COUNT(G489:J489)),1,0),0))</f>
        <v>0</v>
      </c>
      <c r="V489" s="0" t="n">
        <f>IF(O489=0,0,IF(COUNTIFS($O$13:O489,O489)=1,1,0))</f>
        <v>0</v>
      </c>
      <c r="W489" s="0">
        <f>IF(V489=1,COUNTIFS($V$13:V489,1),"")</f>
      </c>
      <c r="X489" s="0">
        <f>IF(COUNTA(B489:L489)=0,"",IF(OR(NOT(IF(ISNUMBER($E$6),AND($E$6&gt;=0,$E$6&lt;=6,$E$6=INT($E$6)),FALSE)),O489=0,R489=0,T489&gt;0,AND(P489&lt;&gt;"DIMENSIONES",P489&lt;&gt;"DIRECTA",P489&lt;&gt;"SIN LÍNEAS",P489&lt;&gt;"CABECERA"),AND(OR(P489="DIRECTA",P489="DIMENSIONES"),U489=0),AND(OR(P489="SIN LÍNEAS",P489="CABECERA"),COUNTA(G489:J489)&gt;0)),2,IF(OR(P489="SIN LÍNEAS",Y489&gt;0,Z489&gt;0,AA489&gt;0,SUMPRODUCT(--('LÉEME'!$B$65:$B$86=AC489))&lt;&gt;1),1,0)))</f>
      </c>
      <c r="Y489" s="0" t="n">
        <f>IF(AND(P489="DIMENSIONES",S489="m²",COUNT(H489:J489)=3),1,0)</f>
        <v>0</v>
      </c>
      <c r="Z489" s="0" t="n">
        <f>IF(IF(ISNUMBER($E$6),AND($E$6&gt;=0,$E$6&lt;=6,$E$6=INT($E$6)),FALSE),IF(SUM(IF(ISNUMBER(F489),IF(ABS(F489-ROUND(F489,$E$6))&gt;0.00000001,1,0),0),IF(ISNUMBER(G489),IF(ABS(G489-ROUND(G489,$E$6))&gt;0.00000001,1,0),0),IF(ISNUMBER(H489),IF(ABS(H489-ROUND(H489,$E$6))&gt;0.00000001,1,0),0),IF(ISNUMBER(I489),IF(ABS(I489-ROUND(I489,$E$6))&gt;0.00000001,1,0),0),IF(ISNUMBER(J489),IF(ABS(J489-ROUND(J489,$E$6))&gt;0.00000001,1,0),0),IF(ISNUMBER(M489),IF(ABS(M489-ROUND(M489,$E$6))&gt;0.00000001,1,0),0))&gt;0,1,0),0)</f>
        <v>0</v>
      </c>
      <c r="AA489" s="0" t="n">
        <f>IF(COUNTA(B489:L489)=0,0,IF(OR(AND(ISNUMBER(F489),F489&lt;0),AND(U489=1,OR(SUM(IF(ISNUMBER(G489),IF(G489=0,1,0),0),IF(ISNUMBER(H489),IF(H489=0,1,0),0),IF(ISNUMBER(I489),IF(I489=0,1,0),0),IF(ISNUMBER(J489),IF(J489=0,1,0),0))&gt;0,COUNTIFS(G489:J489,"&lt;0")&gt;0)),AND(P489="DIMENSIONES",U489=1,OR(AND(S489="m",COUNT(H489:J489)&lt;&gt;1),AND(S489="m²",COUNT(H489:J489)&lt;&gt;2,Y489=0),AND(S489="m³",COUNT(H489:J489)&lt;&gt;3),AND(S489="ud",COUNT(H489:J489)&gt;0))),AND(P489="DIRECTA",OR(S489="m",S489="m²",S489="m³"))),1,0))</f>
        <v>0</v>
      </c>
      <c r="AB489" s="0">
        <f>IF(LEN(TRIM(E489&amp;""))&gt;0,E489,IF(R489&gt;0,INDEX($E$13:$E$512,R489),""))</f>
      </c>
      <c r="AC489" s="0">
        <f>UPPER(SUBSTITUTE(SUBSTITUTE(SUBSTITUTE(SUBSTITUTE(SUBSTITUTE(TRIM(AB489),"²","2"),"³","3"),"^",""),".","")," ",""))</f>
      </c>
    </row>
    <row r="490" ht="35" customHeight="1">
      <c r="B490" s="35"/>
      <c r="C490" s="35"/>
      <c r="D490" s="37"/>
      <c r="E490" s="35"/>
      <c r="F490" s="38"/>
      <c r="G490" s="38"/>
      <c r="H490" s="38"/>
      <c r="I490" s="38"/>
      <c r="J490" s="38"/>
      <c r="K490" s="35"/>
      <c r="L490" s="35"/>
      <c r="M490" s="39">
        <f>IF(U490&lt;&gt;1,"",IF(P490="DIRECTA",G490,IF(ISNUMBER(G490),G490,1)*IF(ISNUMBER(H490),H490,1)*IF(ISNUMBER(I490),I490,1)*IF(ISNUMBER(J490),J490,1)))</f>
      </c>
      <c r="N490" s="30">
        <f>IF(COUNTA(B490:L490)=0,"",IF(X490=0,IF(P490="CABECERA","VERDE · Fila descriptiva; la suma usa las líneas del ID","VERDE · Datos numéricos interpretables"),IF(X490=2,"ROJO · ","ÁMBAR · ")&amp;IF(NOT(IF(ISNUMBER($E$6),AND($E$6&gt;=0,$E$6&lt;=6,$E$6=INT($E$6)),FALSE)),"Indicamos entre 0 y 6 decimales en E6. ","")&amp;IF(O490=0,"Falta un ID numérico. ","")&amp;IF(R490=0,"Faltan capítulo, código, unidad o total numérico del ID. ","")&amp;IF(T490&gt;0,"Los datos o el total del ID se contradicen. ","")&amp;IF(AND(P490&lt;&gt;"DIMENSIONES",P490&lt;&gt;"DIRECTA",P490&lt;&gt;"SIN LÍNEAS",P490&lt;&gt;"CABECERA"),"Tipo de fila no reconocido. ","")&amp;IF(AND(OR(P490="SIN LÍNEAS",P490="CABECERA"),COUNTA(G490:J490)&gt;0),"La fila dice que no mide, pero contiene medidas. ","")&amp;IF(AND(OR(P490="DIRECTA",P490="DIMENSIONES"),U490=0),"Línea incompleta o con medidas no numéricas. ","")&amp;IF(P490="SIN LÍNEAS","No constan medidas de esta fila. ","")&amp;IF(Y490&gt;0,"Parece m³: tres dimensiones bajo m². ","")&amp;IF(AND(AB490&lt;&gt;"",SUMPRODUCT(--('LÉEME'!$B$65:$B$86=AC490))&lt;&gt;1),"Revisamos el significado de la unidad. ","")&amp;IF(Z490&gt;0,"Más precisión que los decimales indicados: cotejamos el original. ","")&amp;IF(AA490&gt;0,"Revisamos dimensiones, cantidad directa, ceros o deducción. ","")))</f>
      </c>
      <c r="O490" s="0" t="n">
        <f>IF(ISNUMBER(K490),IF(AND(K490&gt;0,K490=INT(K490),K490&lt;=999999),K490,0),0)</f>
        <v>0</v>
      </c>
      <c r="P490" s="0">
        <f>IF(COUNTA(B490:L490)=0,"",IF(L490="",IF(COUNTA(G490:J490)&gt;0,"DIMENSIONES","SIN LÍNEAS"),UPPER(TRIM(L490))))</f>
      </c>
      <c r="Q490" s="0">
        <f>IF(AND(O490&gt;0,LEN(TRIM(B490&amp;""))&gt;0,LEN(TRIM(C490&amp;""))&gt;0,LEN(TRIM(E490&amp;""))&gt;0,ISNUMBER(F490)),O490,"")</f>
      </c>
      <c r="R490" s="0" t="n">
        <f>IF(O490=0,0,IF(COUNTIFS($Q$13:$Q$512,O490)&gt;0,MATCH(O490,$Q$13:$Q$512,0),0))</f>
        <v>0</v>
      </c>
      <c r="S490" s="0">
        <f>IF(AB490="","",IF(SUMPRODUCT(--('LÉEME'!$B$65:$B$86=AC490))=1,INDEX('LÉEME'!$C$65:$C$86,MATCH(AC490,'LÉEME'!$B$65:$B$86,0)),UPPER(TRIM(AB490))))</f>
      </c>
      <c r="T490" s="0" t="n">
        <f>IF(R490=0,0,IF(OR(AND(LEN(TRIM(B490&amp;""))&gt;0,UPPER(TRIM(B490&amp;""))&lt;&gt;UPPER(TRIM(INDEX($B$13:$B$512,R490)&amp;""))),AND(LEN(TRIM(C490&amp;""))&gt;0,UPPER(TRIM(C490&amp;""))&lt;&gt;UPPER(TRIM(INDEX($C$13:$C$512,R490)&amp;""))),AND(LEN(TRIM(E490&amp;""))&gt;0,S490&lt;&gt;INDEX($S$13:$S$512,R490)),AND(F490&lt;&gt;"",NOT(ISNUMBER(F490)))),1,IF(ISNUMBER(F490),IF(ABS(F490-INDEX($F$13:$F$512,R490))&gt;0.00000001,1,0),0)))</f>
        <v>0</v>
      </c>
      <c r="U490" s="0" t="n">
        <f>IF(P490="DIRECTA",IF(AND(ISNUMBER(G490),COUNTA(H490:J490)=0),1,0),IF(P490="DIMENSIONES",IF(AND(COUNT(G490:J490)&gt;0,COUNTA(G490:J490)=COUNT(G490:J490)),1,0),0))</f>
        <v>0</v>
      </c>
      <c r="V490" s="0" t="n">
        <f>IF(O490=0,0,IF(COUNTIFS($O$13:O490,O490)=1,1,0))</f>
        <v>0</v>
      </c>
      <c r="W490" s="0">
        <f>IF(V490=1,COUNTIFS($V$13:V490,1),"")</f>
      </c>
      <c r="X490" s="0">
        <f>IF(COUNTA(B490:L490)=0,"",IF(OR(NOT(IF(ISNUMBER($E$6),AND($E$6&gt;=0,$E$6&lt;=6,$E$6=INT($E$6)),FALSE)),O490=0,R490=0,T490&gt;0,AND(P490&lt;&gt;"DIMENSIONES",P490&lt;&gt;"DIRECTA",P490&lt;&gt;"SIN LÍNEAS",P490&lt;&gt;"CABECERA"),AND(OR(P490="DIRECTA",P490="DIMENSIONES"),U490=0),AND(OR(P490="SIN LÍNEAS",P490="CABECERA"),COUNTA(G490:J490)&gt;0)),2,IF(OR(P490="SIN LÍNEAS",Y490&gt;0,Z490&gt;0,AA490&gt;0,SUMPRODUCT(--('LÉEME'!$B$65:$B$86=AC490))&lt;&gt;1),1,0)))</f>
      </c>
      <c r="Y490" s="0" t="n">
        <f>IF(AND(P490="DIMENSIONES",S490="m²",COUNT(H490:J490)=3),1,0)</f>
        <v>0</v>
      </c>
      <c r="Z490" s="0" t="n">
        <f>IF(IF(ISNUMBER($E$6),AND($E$6&gt;=0,$E$6&lt;=6,$E$6=INT($E$6)),FALSE),IF(SUM(IF(ISNUMBER(F490),IF(ABS(F490-ROUND(F490,$E$6))&gt;0.00000001,1,0),0),IF(ISNUMBER(G490),IF(ABS(G490-ROUND(G490,$E$6))&gt;0.00000001,1,0),0),IF(ISNUMBER(H490),IF(ABS(H490-ROUND(H490,$E$6))&gt;0.00000001,1,0),0),IF(ISNUMBER(I490),IF(ABS(I490-ROUND(I490,$E$6))&gt;0.00000001,1,0),0),IF(ISNUMBER(J490),IF(ABS(J490-ROUND(J490,$E$6))&gt;0.00000001,1,0),0),IF(ISNUMBER(M490),IF(ABS(M490-ROUND(M490,$E$6))&gt;0.00000001,1,0),0))&gt;0,1,0),0)</f>
        <v>0</v>
      </c>
      <c r="AA490" s="0" t="n">
        <f>IF(COUNTA(B490:L490)=0,0,IF(OR(AND(ISNUMBER(F490),F490&lt;0),AND(U490=1,OR(SUM(IF(ISNUMBER(G490),IF(G490=0,1,0),0),IF(ISNUMBER(H490),IF(H490=0,1,0),0),IF(ISNUMBER(I490),IF(I490=0,1,0),0),IF(ISNUMBER(J490),IF(J490=0,1,0),0))&gt;0,COUNTIFS(G490:J490,"&lt;0")&gt;0)),AND(P490="DIMENSIONES",U490=1,OR(AND(S490="m",COUNT(H490:J490)&lt;&gt;1),AND(S490="m²",COUNT(H490:J490)&lt;&gt;2,Y490=0),AND(S490="m³",COUNT(H490:J490)&lt;&gt;3),AND(S490="ud",COUNT(H490:J490)&gt;0))),AND(P490="DIRECTA",OR(S490="m",S490="m²",S490="m³"))),1,0))</f>
        <v>0</v>
      </c>
      <c r="AB490" s="0">
        <f>IF(LEN(TRIM(E490&amp;""))&gt;0,E490,IF(R490&gt;0,INDEX($E$13:$E$512,R490),""))</f>
      </c>
      <c r="AC490" s="0">
        <f>UPPER(SUBSTITUTE(SUBSTITUTE(SUBSTITUTE(SUBSTITUTE(SUBSTITUTE(TRIM(AB490),"²","2"),"³","3"),"^",""),".","")," ",""))</f>
      </c>
    </row>
    <row r="491" ht="35" customHeight="1">
      <c r="B491" s="35"/>
      <c r="C491" s="35"/>
      <c r="D491" s="37"/>
      <c r="E491" s="35"/>
      <c r="F491" s="38"/>
      <c r="G491" s="38"/>
      <c r="H491" s="38"/>
      <c r="I491" s="38"/>
      <c r="J491" s="38"/>
      <c r="K491" s="35"/>
      <c r="L491" s="35"/>
      <c r="M491" s="39">
        <f>IF(U491&lt;&gt;1,"",IF(P491="DIRECTA",G491,IF(ISNUMBER(G491),G491,1)*IF(ISNUMBER(H491),H491,1)*IF(ISNUMBER(I491),I491,1)*IF(ISNUMBER(J491),J491,1)))</f>
      </c>
      <c r="N491" s="30">
        <f>IF(COUNTA(B491:L491)=0,"",IF(X491=0,IF(P491="CABECERA","VERDE · Fila descriptiva; la suma usa las líneas del ID","VERDE · Datos numéricos interpretables"),IF(X491=2,"ROJO · ","ÁMBAR · ")&amp;IF(NOT(IF(ISNUMBER($E$6),AND($E$6&gt;=0,$E$6&lt;=6,$E$6=INT($E$6)),FALSE)),"Indicamos entre 0 y 6 decimales en E6. ","")&amp;IF(O491=0,"Falta un ID numérico. ","")&amp;IF(R491=0,"Faltan capítulo, código, unidad o total numérico del ID. ","")&amp;IF(T491&gt;0,"Los datos o el total del ID se contradicen. ","")&amp;IF(AND(P491&lt;&gt;"DIMENSIONES",P491&lt;&gt;"DIRECTA",P491&lt;&gt;"SIN LÍNEAS",P491&lt;&gt;"CABECERA"),"Tipo de fila no reconocido. ","")&amp;IF(AND(OR(P491="SIN LÍNEAS",P491="CABECERA"),COUNTA(G491:J491)&gt;0),"La fila dice que no mide, pero contiene medidas. ","")&amp;IF(AND(OR(P491="DIRECTA",P491="DIMENSIONES"),U491=0),"Línea incompleta o con medidas no numéricas. ","")&amp;IF(P491="SIN LÍNEAS","No constan medidas de esta fila. ","")&amp;IF(Y491&gt;0,"Parece m³: tres dimensiones bajo m². ","")&amp;IF(AND(AB491&lt;&gt;"",SUMPRODUCT(--('LÉEME'!$B$65:$B$86=AC491))&lt;&gt;1),"Revisamos el significado de la unidad. ","")&amp;IF(Z491&gt;0,"Más precisión que los decimales indicados: cotejamos el original. ","")&amp;IF(AA491&gt;0,"Revisamos dimensiones, cantidad directa, ceros o deducción. ","")))</f>
      </c>
      <c r="O491" s="0" t="n">
        <f>IF(ISNUMBER(K491),IF(AND(K491&gt;0,K491=INT(K491),K491&lt;=999999),K491,0),0)</f>
        <v>0</v>
      </c>
      <c r="P491" s="0">
        <f>IF(COUNTA(B491:L491)=0,"",IF(L491="",IF(COUNTA(G491:J491)&gt;0,"DIMENSIONES","SIN LÍNEAS"),UPPER(TRIM(L491))))</f>
      </c>
      <c r="Q491" s="0">
        <f>IF(AND(O491&gt;0,LEN(TRIM(B491&amp;""))&gt;0,LEN(TRIM(C491&amp;""))&gt;0,LEN(TRIM(E491&amp;""))&gt;0,ISNUMBER(F491)),O491,"")</f>
      </c>
      <c r="R491" s="0" t="n">
        <f>IF(O491=0,0,IF(COUNTIFS($Q$13:$Q$512,O491)&gt;0,MATCH(O491,$Q$13:$Q$512,0),0))</f>
        <v>0</v>
      </c>
      <c r="S491" s="0">
        <f>IF(AB491="","",IF(SUMPRODUCT(--('LÉEME'!$B$65:$B$86=AC491))=1,INDEX('LÉEME'!$C$65:$C$86,MATCH(AC491,'LÉEME'!$B$65:$B$86,0)),UPPER(TRIM(AB491))))</f>
      </c>
      <c r="T491" s="0" t="n">
        <f>IF(R491=0,0,IF(OR(AND(LEN(TRIM(B491&amp;""))&gt;0,UPPER(TRIM(B491&amp;""))&lt;&gt;UPPER(TRIM(INDEX($B$13:$B$512,R491)&amp;""))),AND(LEN(TRIM(C491&amp;""))&gt;0,UPPER(TRIM(C491&amp;""))&lt;&gt;UPPER(TRIM(INDEX($C$13:$C$512,R491)&amp;""))),AND(LEN(TRIM(E491&amp;""))&gt;0,S491&lt;&gt;INDEX($S$13:$S$512,R491)),AND(F491&lt;&gt;"",NOT(ISNUMBER(F491)))),1,IF(ISNUMBER(F491),IF(ABS(F491-INDEX($F$13:$F$512,R491))&gt;0.00000001,1,0),0)))</f>
        <v>0</v>
      </c>
      <c r="U491" s="0" t="n">
        <f>IF(P491="DIRECTA",IF(AND(ISNUMBER(G491),COUNTA(H491:J491)=0),1,0),IF(P491="DIMENSIONES",IF(AND(COUNT(G491:J491)&gt;0,COUNTA(G491:J491)=COUNT(G491:J491)),1,0),0))</f>
        <v>0</v>
      </c>
      <c r="V491" s="0" t="n">
        <f>IF(O491=0,0,IF(COUNTIFS($O$13:O491,O491)=1,1,0))</f>
        <v>0</v>
      </c>
      <c r="W491" s="0">
        <f>IF(V491=1,COUNTIFS($V$13:V491,1),"")</f>
      </c>
      <c r="X491" s="0">
        <f>IF(COUNTA(B491:L491)=0,"",IF(OR(NOT(IF(ISNUMBER($E$6),AND($E$6&gt;=0,$E$6&lt;=6,$E$6=INT($E$6)),FALSE)),O491=0,R491=0,T491&gt;0,AND(P491&lt;&gt;"DIMENSIONES",P491&lt;&gt;"DIRECTA",P491&lt;&gt;"SIN LÍNEAS",P491&lt;&gt;"CABECERA"),AND(OR(P491="DIRECTA",P491="DIMENSIONES"),U491=0),AND(OR(P491="SIN LÍNEAS",P491="CABECERA"),COUNTA(G491:J491)&gt;0)),2,IF(OR(P491="SIN LÍNEAS",Y491&gt;0,Z491&gt;0,AA491&gt;0,SUMPRODUCT(--('LÉEME'!$B$65:$B$86=AC491))&lt;&gt;1),1,0)))</f>
      </c>
      <c r="Y491" s="0" t="n">
        <f>IF(AND(P491="DIMENSIONES",S491="m²",COUNT(H491:J491)=3),1,0)</f>
        <v>0</v>
      </c>
      <c r="Z491" s="0" t="n">
        <f>IF(IF(ISNUMBER($E$6),AND($E$6&gt;=0,$E$6&lt;=6,$E$6=INT($E$6)),FALSE),IF(SUM(IF(ISNUMBER(F491),IF(ABS(F491-ROUND(F491,$E$6))&gt;0.00000001,1,0),0),IF(ISNUMBER(G491),IF(ABS(G491-ROUND(G491,$E$6))&gt;0.00000001,1,0),0),IF(ISNUMBER(H491),IF(ABS(H491-ROUND(H491,$E$6))&gt;0.00000001,1,0),0),IF(ISNUMBER(I491),IF(ABS(I491-ROUND(I491,$E$6))&gt;0.00000001,1,0),0),IF(ISNUMBER(J491),IF(ABS(J491-ROUND(J491,$E$6))&gt;0.00000001,1,0),0),IF(ISNUMBER(M491),IF(ABS(M491-ROUND(M491,$E$6))&gt;0.00000001,1,0),0))&gt;0,1,0),0)</f>
        <v>0</v>
      </c>
      <c r="AA491" s="0" t="n">
        <f>IF(COUNTA(B491:L491)=0,0,IF(OR(AND(ISNUMBER(F491),F491&lt;0),AND(U491=1,OR(SUM(IF(ISNUMBER(G491),IF(G491=0,1,0),0),IF(ISNUMBER(H491),IF(H491=0,1,0),0),IF(ISNUMBER(I491),IF(I491=0,1,0),0),IF(ISNUMBER(J491),IF(J491=0,1,0),0))&gt;0,COUNTIFS(G491:J491,"&lt;0")&gt;0)),AND(P491="DIMENSIONES",U491=1,OR(AND(S491="m",COUNT(H491:J491)&lt;&gt;1),AND(S491="m²",COUNT(H491:J491)&lt;&gt;2,Y491=0),AND(S491="m³",COUNT(H491:J491)&lt;&gt;3),AND(S491="ud",COUNT(H491:J491)&gt;0))),AND(P491="DIRECTA",OR(S491="m",S491="m²",S491="m³"))),1,0))</f>
        <v>0</v>
      </c>
      <c r="AB491" s="0">
        <f>IF(LEN(TRIM(E491&amp;""))&gt;0,E491,IF(R491&gt;0,INDEX($E$13:$E$512,R491),""))</f>
      </c>
      <c r="AC491" s="0">
        <f>UPPER(SUBSTITUTE(SUBSTITUTE(SUBSTITUTE(SUBSTITUTE(SUBSTITUTE(TRIM(AB491),"²","2"),"³","3"),"^",""),".","")," ",""))</f>
      </c>
    </row>
    <row r="492" ht="35" customHeight="1">
      <c r="B492" s="35"/>
      <c r="C492" s="35"/>
      <c r="D492" s="37"/>
      <c r="E492" s="35"/>
      <c r="F492" s="38"/>
      <c r="G492" s="38"/>
      <c r="H492" s="38"/>
      <c r="I492" s="38"/>
      <c r="J492" s="38"/>
      <c r="K492" s="35"/>
      <c r="L492" s="35"/>
      <c r="M492" s="39">
        <f>IF(U492&lt;&gt;1,"",IF(P492="DIRECTA",G492,IF(ISNUMBER(G492),G492,1)*IF(ISNUMBER(H492),H492,1)*IF(ISNUMBER(I492),I492,1)*IF(ISNUMBER(J492),J492,1)))</f>
      </c>
      <c r="N492" s="30">
        <f>IF(COUNTA(B492:L492)=0,"",IF(X492=0,IF(P492="CABECERA","VERDE · Fila descriptiva; la suma usa las líneas del ID","VERDE · Datos numéricos interpretables"),IF(X492=2,"ROJO · ","ÁMBAR · ")&amp;IF(NOT(IF(ISNUMBER($E$6),AND($E$6&gt;=0,$E$6&lt;=6,$E$6=INT($E$6)),FALSE)),"Indicamos entre 0 y 6 decimales en E6. ","")&amp;IF(O492=0,"Falta un ID numérico. ","")&amp;IF(R492=0,"Faltan capítulo, código, unidad o total numérico del ID. ","")&amp;IF(T492&gt;0,"Los datos o el total del ID se contradicen. ","")&amp;IF(AND(P492&lt;&gt;"DIMENSIONES",P492&lt;&gt;"DIRECTA",P492&lt;&gt;"SIN LÍNEAS",P492&lt;&gt;"CABECERA"),"Tipo de fila no reconocido. ","")&amp;IF(AND(OR(P492="SIN LÍNEAS",P492="CABECERA"),COUNTA(G492:J492)&gt;0),"La fila dice que no mide, pero contiene medidas. ","")&amp;IF(AND(OR(P492="DIRECTA",P492="DIMENSIONES"),U492=0),"Línea incompleta o con medidas no numéricas. ","")&amp;IF(P492="SIN LÍNEAS","No constan medidas de esta fila. ","")&amp;IF(Y492&gt;0,"Parece m³: tres dimensiones bajo m². ","")&amp;IF(AND(AB492&lt;&gt;"",SUMPRODUCT(--('LÉEME'!$B$65:$B$86=AC492))&lt;&gt;1),"Revisamos el significado de la unidad. ","")&amp;IF(Z492&gt;0,"Más precisión que los decimales indicados: cotejamos el original. ","")&amp;IF(AA492&gt;0,"Revisamos dimensiones, cantidad directa, ceros o deducción. ","")))</f>
      </c>
      <c r="O492" s="0" t="n">
        <f>IF(ISNUMBER(K492),IF(AND(K492&gt;0,K492=INT(K492),K492&lt;=999999),K492,0),0)</f>
        <v>0</v>
      </c>
      <c r="P492" s="0">
        <f>IF(COUNTA(B492:L492)=0,"",IF(L492="",IF(COUNTA(G492:J492)&gt;0,"DIMENSIONES","SIN LÍNEAS"),UPPER(TRIM(L492))))</f>
      </c>
      <c r="Q492" s="0">
        <f>IF(AND(O492&gt;0,LEN(TRIM(B492&amp;""))&gt;0,LEN(TRIM(C492&amp;""))&gt;0,LEN(TRIM(E492&amp;""))&gt;0,ISNUMBER(F492)),O492,"")</f>
      </c>
      <c r="R492" s="0" t="n">
        <f>IF(O492=0,0,IF(COUNTIFS($Q$13:$Q$512,O492)&gt;0,MATCH(O492,$Q$13:$Q$512,0),0))</f>
        <v>0</v>
      </c>
      <c r="S492" s="0">
        <f>IF(AB492="","",IF(SUMPRODUCT(--('LÉEME'!$B$65:$B$86=AC492))=1,INDEX('LÉEME'!$C$65:$C$86,MATCH(AC492,'LÉEME'!$B$65:$B$86,0)),UPPER(TRIM(AB492))))</f>
      </c>
      <c r="T492" s="0" t="n">
        <f>IF(R492=0,0,IF(OR(AND(LEN(TRIM(B492&amp;""))&gt;0,UPPER(TRIM(B492&amp;""))&lt;&gt;UPPER(TRIM(INDEX($B$13:$B$512,R492)&amp;""))),AND(LEN(TRIM(C492&amp;""))&gt;0,UPPER(TRIM(C492&amp;""))&lt;&gt;UPPER(TRIM(INDEX($C$13:$C$512,R492)&amp;""))),AND(LEN(TRIM(E492&amp;""))&gt;0,S492&lt;&gt;INDEX($S$13:$S$512,R492)),AND(F492&lt;&gt;"",NOT(ISNUMBER(F492)))),1,IF(ISNUMBER(F492),IF(ABS(F492-INDEX($F$13:$F$512,R492))&gt;0.00000001,1,0),0)))</f>
        <v>0</v>
      </c>
      <c r="U492" s="0" t="n">
        <f>IF(P492="DIRECTA",IF(AND(ISNUMBER(G492),COUNTA(H492:J492)=0),1,0),IF(P492="DIMENSIONES",IF(AND(COUNT(G492:J492)&gt;0,COUNTA(G492:J492)=COUNT(G492:J492)),1,0),0))</f>
        <v>0</v>
      </c>
      <c r="V492" s="0" t="n">
        <f>IF(O492=0,0,IF(COUNTIFS($O$13:O492,O492)=1,1,0))</f>
        <v>0</v>
      </c>
      <c r="W492" s="0">
        <f>IF(V492=1,COUNTIFS($V$13:V492,1),"")</f>
      </c>
      <c r="X492" s="0">
        <f>IF(COUNTA(B492:L492)=0,"",IF(OR(NOT(IF(ISNUMBER($E$6),AND($E$6&gt;=0,$E$6&lt;=6,$E$6=INT($E$6)),FALSE)),O492=0,R492=0,T492&gt;0,AND(P492&lt;&gt;"DIMENSIONES",P492&lt;&gt;"DIRECTA",P492&lt;&gt;"SIN LÍNEAS",P492&lt;&gt;"CABECERA"),AND(OR(P492="DIRECTA",P492="DIMENSIONES"),U492=0),AND(OR(P492="SIN LÍNEAS",P492="CABECERA"),COUNTA(G492:J492)&gt;0)),2,IF(OR(P492="SIN LÍNEAS",Y492&gt;0,Z492&gt;0,AA492&gt;0,SUMPRODUCT(--('LÉEME'!$B$65:$B$86=AC492))&lt;&gt;1),1,0)))</f>
      </c>
      <c r="Y492" s="0" t="n">
        <f>IF(AND(P492="DIMENSIONES",S492="m²",COUNT(H492:J492)=3),1,0)</f>
        <v>0</v>
      </c>
      <c r="Z492" s="0" t="n">
        <f>IF(IF(ISNUMBER($E$6),AND($E$6&gt;=0,$E$6&lt;=6,$E$6=INT($E$6)),FALSE),IF(SUM(IF(ISNUMBER(F492),IF(ABS(F492-ROUND(F492,$E$6))&gt;0.00000001,1,0),0),IF(ISNUMBER(G492),IF(ABS(G492-ROUND(G492,$E$6))&gt;0.00000001,1,0),0),IF(ISNUMBER(H492),IF(ABS(H492-ROUND(H492,$E$6))&gt;0.00000001,1,0),0),IF(ISNUMBER(I492),IF(ABS(I492-ROUND(I492,$E$6))&gt;0.00000001,1,0),0),IF(ISNUMBER(J492),IF(ABS(J492-ROUND(J492,$E$6))&gt;0.00000001,1,0),0),IF(ISNUMBER(M492),IF(ABS(M492-ROUND(M492,$E$6))&gt;0.00000001,1,0),0))&gt;0,1,0),0)</f>
        <v>0</v>
      </c>
      <c r="AA492" s="0" t="n">
        <f>IF(COUNTA(B492:L492)=0,0,IF(OR(AND(ISNUMBER(F492),F492&lt;0),AND(U492=1,OR(SUM(IF(ISNUMBER(G492),IF(G492=0,1,0),0),IF(ISNUMBER(H492),IF(H492=0,1,0),0),IF(ISNUMBER(I492),IF(I492=0,1,0),0),IF(ISNUMBER(J492),IF(J492=0,1,0),0))&gt;0,COUNTIFS(G492:J492,"&lt;0")&gt;0)),AND(P492="DIMENSIONES",U492=1,OR(AND(S492="m",COUNT(H492:J492)&lt;&gt;1),AND(S492="m²",COUNT(H492:J492)&lt;&gt;2,Y492=0),AND(S492="m³",COUNT(H492:J492)&lt;&gt;3),AND(S492="ud",COUNT(H492:J492)&gt;0))),AND(P492="DIRECTA",OR(S492="m",S492="m²",S492="m³"))),1,0))</f>
        <v>0</v>
      </c>
      <c r="AB492" s="0">
        <f>IF(LEN(TRIM(E492&amp;""))&gt;0,E492,IF(R492&gt;0,INDEX($E$13:$E$512,R492),""))</f>
      </c>
      <c r="AC492" s="0">
        <f>UPPER(SUBSTITUTE(SUBSTITUTE(SUBSTITUTE(SUBSTITUTE(SUBSTITUTE(TRIM(AB492),"²","2"),"³","3"),"^",""),".","")," ",""))</f>
      </c>
    </row>
    <row r="493" ht="35" customHeight="1">
      <c r="B493" s="35"/>
      <c r="C493" s="35"/>
      <c r="D493" s="37"/>
      <c r="E493" s="35"/>
      <c r="F493" s="38"/>
      <c r="G493" s="38"/>
      <c r="H493" s="38"/>
      <c r="I493" s="38"/>
      <c r="J493" s="38"/>
      <c r="K493" s="35"/>
      <c r="L493" s="35"/>
      <c r="M493" s="39">
        <f>IF(U493&lt;&gt;1,"",IF(P493="DIRECTA",G493,IF(ISNUMBER(G493),G493,1)*IF(ISNUMBER(H493),H493,1)*IF(ISNUMBER(I493),I493,1)*IF(ISNUMBER(J493),J493,1)))</f>
      </c>
      <c r="N493" s="30">
        <f>IF(COUNTA(B493:L493)=0,"",IF(X493=0,IF(P493="CABECERA","VERDE · Fila descriptiva; la suma usa las líneas del ID","VERDE · Datos numéricos interpretables"),IF(X493=2,"ROJO · ","ÁMBAR · ")&amp;IF(NOT(IF(ISNUMBER($E$6),AND($E$6&gt;=0,$E$6&lt;=6,$E$6=INT($E$6)),FALSE)),"Indicamos entre 0 y 6 decimales en E6. ","")&amp;IF(O493=0,"Falta un ID numérico. ","")&amp;IF(R493=0,"Faltan capítulo, código, unidad o total numérico del ID. ","")&amp;IF(T493&gt;0,"Los datos o el total del ID se contradicen. ","")&amp;IF(AND(P493&lt;&gt;"DIMENSIONES",P493&lt;&gt;"DIRECTA",P493&lt;&gt;"SIN LÍNEAS",P493&lt;&gt;"CABECERA"),"Tipo de fila no reconocido. ","")&amp;IF(AND(OR(P493="SIN LÍNEAS",P493="CABECERA"),COUNTA(G493:J493)&gt;0),"La fila dice que no mide, pero contiene medidas. ","")&amp;IF(AND(OR(P493="DIRECTA",P493="DIMENSIONES"),U493=0),"Línea incompleta o con medidas no numéricas. ","")&amp;IF(P493="SIN LÍNEAS","No constan medidas de esta fila. ","")&amp;IF(Y493&gt;0,"Parece m³: tres dimensiones bajo m². ","")&amp;IF(AND(AB493&lt;&gt;"",SUMPRODUCT(--('LÉEME'!$B$65:$B$86=AC493))&lt;&gt;1),"Revisamos el significado de la unidad. ","")&amp;IF(Z493&gt;0,"Más precisión que los decimales indicados: cotejamos el original. ","")&amp;IF(AA493&gt;0,"Revisamos dimensiones, cantidad directa, ceros o deducción. ","")))</f>
      </c>
      <c r="O493" s="0" t="n">
        <f>IF(ISNUMBER(K493),IF(AND(K493&gt;0,K493=INT(K493),K493&lt;=999999),K493,0),0)</f>
        <v>0</v>
      </c>
      <c r="P493" s="0">
        <f>IF(COUNTA(B493:L493)=0,"",IF(L493="",IF(COUNTA(G493:J493)&gt;0,"DIMENSIONES","SIN LÍNEAS"),UPPER(TRIM(L493))))</f>
      </c>
      <c r="Q493" s="0">
        <f>IF(AND(O493&gt;0,LEN(TRIM(B493&amp;""))&gt;0,LEN(TRIM(C493&amp;""))&gt;0,LEN(TRIM(E493&amp;""))&gt;0,ISNUMBER(F493)),O493,"")</f>
      </c>
      <c r="R493" s="0" t="n">
        <f>IF(O493=0,0,IF(COUNTIFS($Q$13:$Q$512,O493)&gt;0,MATCH(O493,$Q$13:$Q$512,0),0))</f>
        <v>0</v>
      </c>
      <c r="S493" s="0">
        <f>IF(AB493="","",IF(SUMPRODUCT(--('LÉEME'!$B$65:$B$86=AC493))=1,INDEX('LÉEME'!$C$65:$C$86,MATCH(AC493,'LÉEME'!$B$65:$B$86,0)),UPPER(TRIM(AB493))))</f>
      </c>
      <c r="T493" s="0" t="n">
        <f>IF(R493=0,0,IF(OR(AND(LEN(TRIM(B493&amp;""))&gt;0,UPPER(TRIM(B493&amp;""))&lt;&gt;UPPER(TRIM(INDEX($B$13:$B$512,R493)&amp;""))),AND(LEN(TRIM(C493&amp;""))&gt;0,UPPER(TRIM(C493&amp;""))&lt;&gt;UPPER(TRIM(INDEX($C$13:$C$512,R493)&amp;""))),AND(LEN(TRIM(E493&amp;""))&gt;0,S493&lt;&gt;INDEX($S$13:$S$512,R493)),AND(F493&lt;&gt;"",NOT(ISNUMBER(F493)))),1,IF(ISNUMBER(F493),IF(ABS(F493-INDEX($F$13:$F$512,R493))&gt;0.00000001,1,0),0)))</f>
        <v>0</v>
      </c>
      <c r="U493" s="0" t="n">
        <f>IF(P493="DIRECTA",IF(AND(ISNUMBER(G493),COUNTA(H493:J493)=0),1,0),IF(P493="DIMENSIONES",IF(AND(COUNT(G493:J493)&gt;0,COUNTA(G493:J493)=COUNT(G493:J493)),1,0),0))</f>
        <v>0</v>
      </c>
      <c r="V493" s="0" t="n">
        <f>IF(O493=0,0,IF(COUNTIFS($O$13:O493,O493)=1,1,0))</f>
        <v>0</v>
      </c>
      <c r="W493" s="0">
        <f>IF(V493=1,COUNTIFS($V$13:V493,1),"")</f>
      </c>
      <c r="X493" s="0">
        <f>IF(COUNTA(B493:L493)=0,"",IF(OR(NOT(IF(ISNUMBER($E$6),AND($E$6&gt;=0,$E$6&lt;=6,$E$6=INT($E$6)),FALSE)),O493=0,R493=0,T493&gt;0,AND(P493&lt;&gt;"DIMENSIONES",P493&lt;&gt;"DIRECTA",P493&lt;&gt;"SIN LÍNEAS",P493&lt;&gt;"CABECERA"),AND(OR(P493="DIRECTA",P493="DIMENSIONES"),U493=0),AND(OR(P493="SIN LÍNEAS",P493="CABECERA"),COUNTA(G493:J493)&gt;0)),2,IF(OR(P493="SIN LÍNEAS",Y493&gt;0,Z493&gt;0,AA493&gt;0,SUMPRODUCT(--('LÉEME'!$B$65:$B$86=AC493))&lt;&gt;1),1,0)))</f>
      </c>
      <c r="Y493" s="0" t="n">
        <f>IF(AND(P493="DIMENSIONES",S493="m²",COUNT(H493:J493)=3),1,0)</f>
        <v>0</v>
      </c>
      <c r="Z493" s="0" t="n">
        <f>IF(IF(ISNUMBER($E$6),AND($E$6&gt;=0,$E$6&lt;=6,$E$6=INT($E$6)),FALSE),IF(SUM(IF(ISNUMBER(F493),IF(ABS(F493-ROUND(F493,$E$6))&gt;0.00000001,1,0),0),IF(ISNUMBER(G493),IF(ABS(G493-ROUND(G493,$E$6))&gt;0.00000001,1,0),0),IF(ISNUMBER(H493),IF(ABS(H493-ROUND(H493,$E$6))&gt;0.00000001,1,0),0),IF(ISNUMBER(I493),IF(ABS(I493-ROUND(I493,$E$6))&gt;0.00000001,1,0),0),IF(ISNUMBER(J493),IF(ABS(J493-ROUND(J493,$E$6))&gt;0.00000001,1,0),0),IF(ISNUMBER(M493),IF(ABS(M493-ROUND(M493,$E$6))&gt;0.00000001,1,0),0))&gt;0,1,0),0)</f>
        <v>0</v>
      </c>
      <c r="AA493" s="0" t="n">
        <f>IF(COUNTA(B493:L493)=0,0,IF(OR(AND(ISNUMBER(F493),F493&lt;0),AND(U493=1,OR(SUM(IF(ISNUMBER(G493),IF(G493=0,1,0),0),IF(ISNUMBER(H493),IF(H493=0,1,0),0),IF(ISNUMBER(I493),IF(I493=0,1,0),0),IF(ISNUMBER(J493),IF(J493=0,1,0),0))&gt;0,COUNTIFS(G493:J493,"&lt;0")&gt;0)),AND(P493="DIMENSIONES",U493=1,OR(AND(S493="m",COUNT(H493:J493)&lt;&gt;1),AND(S493="m²",COUNT(H493:J493)&lt;&gt;2,Y493=0),AND(S493="m³",COUNT(H493:J493)&lt;&gt;3),AND(S493="ud",COUNT(H493:J493)&gt;0))),AND(P493="DIRECTA",OR(S493="m",S493="m²",S493="m³"))),1,0))</f>
        <v>0</v>
      </c>
      <c r="AB493" s="0">
        <f>IF(LEN(TRIM(E493&amp;""))&gt;0,E493,IF(R493&gt;0,INDEX($E$13:$E$512,R493),""))</f>
      </c>
      <c r="AC493" s="0">
        <f>UPPER(SUBSTITUTE(SUBSTITUTE(SUBSTITUTE(SUBSTITUTE(SUBSTITUTE(TRIM(AB493),"²","2"),"³","3"),"^",""),".","")," ",""))</f>
      </c>
    </row>
    <row r="494" ht="35" customHeight="1">
      <c r="B494" s="35"/>
      <c r="C494" s="35"/>
      <c r="D494" s="37"/>
      <c r="E494" s="35"/>
      <c r="F494" s="38"/>
      <c r="G494" s="38"/>
      <c r="H494" s="38"/>
      <c r="I494" s="38"/>
      <c r="J494" s="38"/>
      <c r="K494" s="35"/>
      <c r="L494" s="35"/>
      <c r="M494" s="39">
        <f>IF(U494&lt;&gt;1,"",IF(P494="DIRECTA",G494,IF(ISNUMBER(G494),G494,1)*IF(ISNUMBER(H494),H494,1)*IF(ISNUMBER(I494),I494,1)*IF(ISNUMBER(J494),J494,1)))</f>
      </c>
      <c r="N494" s="30">
        <f>IF(COUNTA(B494:L494)=0,"",IF(X494=0,IF(P494="CABECERA","VERDE · Fila descriptiva; la suma usa las líneas del ID","VERDE · Datos numéricos interpretables"),IF(X494=2,"ROJO · ","ÁMBAR · ")&amp;IF(NOT(IF(ISNUMBER($E$6),AND($E$6&gt;=0,$E$6&lt;=6,$E$6=INT($E$6)),FALSE)),"Indicamos entre 0 y 6 decimales en E6. ","")&amp;IF(O494=0,"Falta un ID numérico. ","")&amp;IF(R494=0,"Faltan capítulo, código, unidad o total numérico del ID. ","")&amp;IF(T494&gt;0,"Los datos o el total del ID se contradicen. ","")&amp;IF(AND(P494&lt;&gt;"DIMENSIONES",P494&lt;&gt;"DIRECTA",P494&lt;&gt;"SIN LÍNEAS",P494&lt;&gt;"CABECERA"),"Tipo de fila no reconocido. ","")&amp;IF(AND(OR(P494="SIN LÍNEAS",P494="CABECERA"),COUNTA(G494:J494)&gt;0),"La fila dice que no mide, pero contiene medidas. ","")&amp;IF(AND(OR(P494="DIRECTA",P494="DIMENSIONES"),U494=0),"Línea incompleta o con medidas no numéricas. ","")&amp;IF(P494="SIN LÍNEAS","No constan medidas de esta fila. ","")&amp;IF(Y494&gt;0,"Parece m³: tres dimensiones bajo m². ","")&amp;IF(AND(AB494&lt;&gt;"",SUMPRODUCT(--('LÉEME'!$B$65:$B$86=AC494))&lt;&gt;1),"Revisamos el significado de la unidad. ","")&amp;IF(Z494&gt;0,"Más precisión que los decimales indicados: cotejamos el original. ","")&amp;IF(AA494&gt;0,"Revisamos dimensiones, cantidad directa, ceros o deducción. ","")))</f>
      </c>
      <c r="O494" s="0" t="n">
        <f>IF(ISNUMBER(K494),IF(AND(K494&gt;0,K494=INT(K494),K494&lt;=999999),K494,0),0)</f>
        <v>0</v>
      </c>
      <c r="P494" s="0">
        <f>IF(COUNTA(B494:L494)=0,"",IF(L494="",IF(COUNTA(G494:J494)&gt;0,"DIMENSIONES","SIN LÍNEAS"),UPPER(TRIM(L494))))</f>
      </c>
      <c r="Q494" s="0">
        <f>IF(AND(O494&gt;0,LEN(TRIM(B494&amp;""))&gt;0,LEN(TRIM(C494&amp;""))&gt;0,LEN(TRIM(E494&amp;""))&gt;0,ISNUMBER(F494)),O494,"")</f>
      </c>
      <c r="R494" s="0" t="n">
        <f>IF(O494=0,0,IF(COUNTIFS($Q$13:$Q$512,O494)&gt;0,MATCH(O494,$Q$13:$Q$512,0),0))</f>
        <v>0</v>
      </c>
      <c r="S494" s="0">
        <f>IF(AB494="","",IF(SUMPRODUCT(--('LÉEME'!$B$65:$B$86=AC494))=1,INDEX('LÉEME'!$C$65:$C$86,MATCH(AC494,'LÉEME'!$B$65:$B$86,0)),UPPER(TRIM(AB494))))</f>
      </c>
      <c r="T494" s="0" t="n">
        <f>IF(R494=0,0,IF(OR(AND(LEN(TRIM(B494&amp;""))&gt;0,UPPER(TRIM(B494&amp;""))&lt;&gt;UPPER(TRIM(INDEX($B$13:$B$512,R494)&amp;""))),AND(LEN(TRIM(C494&amp;""))&gt;0,UPPER(TRIM(C494&amp;""))&lt;&gt;UPPER(TRIM(INDEX($C$13:$C$512,R494)&amp;""))),AND(LEN(TRIM(E494&amp;""))&gt;0,S494&lt;&gt;INDEX($S$13:$S$512,R494)),AND(F494&lt;&gt;"",NOT(ISNUMBER(F494)))),1,IF(ISNUMBER(F494),IF(ABS(F494-INDEX($F$13:$F$512,R494))&gt;0.00000001,1,0),0)))</f>
        <v>0</v>
      </c>
      <c r="U494" s="0" t="n">
        <f>IF(P494="DIRECTA",IF(AND(ISNUMBER(G494),COUNTA(H494:J494)=0),1,0),IF(P494="DIMENSIONES",IF(AND(COUNT(G494:J494)&gt;0,COUNTA(G494:J494)=COUNT(G494:J494)),1,0),0))</f>
        <v>0</v>
      </c>
      <c r="V494" s="0" t="n">
        <f>IF(O494=0,0,IF(COUNTIFS($O$13:O494,O494)=1,1,0))</f>
        <v>0</v>
      </c>
      <c r="W494" s="0">
        <f>IF(V494=1,COUNTIFS($V$13:V494,1),"")</f>
      </c>
      <c r="X494" s="0">
        <f>IF(COUNTA(B494:L494)=0,"",IF(OR(NOT(IF(ISNUMBER($E$6),AND($E$6&gt;=0,$E$6&lt;=6,$E$6=INT($E$6)),FALSE)),O494=0,R494=0,T494&gt;0,AND(P494&lt;&gt;"DIMENSIONES",P494&lt;&gt;"DIRECTA",P494&lt;&gt;"SIN LÍNEAS",P494&lt;&gt;"CABECERA"),AND(OR(P494="DIRECTA",P494="DIMENSIONES"),U494=0),AND(OR(P494="SIN LÍNEAS",P494="CABECERA"),COUNTA(G494:J494)&gt;0)),2,IF(OR(P494="SIN LÍNEAS",Y494&gt;0,Z494&gt;0,AA494&gt;0,SUMPRODUCT(--('LÉEME'!$B$65:$B$86=AC494))&lt;&gt;1),1,0)))</f>
      </c>
      <c r="Y494" s="0" t="n">
        <f>IF(AND(P494="DIMENSIONES",S494="m²",COUNT(H494:J494)=3),1,0)</f>
        <v>0</v>
      </c>
      <c r="Z494" s="0" t="n">
        <f>IF(IF(ISNUMBER($E$6),AND($E$6&gt;=0,$E$6&lt;=6,$E$6=INT($E$6)),FALSE),IF(SUM(IF(ISNUMBER(F494),IF(ABS(F494-ROUND(F494,$E$6))&gt;0.00000001,1,0),0),IF(ISNUMBER(G494),IF(ABS(G494-ROUND(G494,$E$6))&gt;0.00000001,1,0),0),IF(ISNUMBER(H494),IF(ABS(H494-ROUND(H494,$E$6))&gt;0.00000001,1,0),0),IF(ISNUMBER(I494),IF(ABS(I494-ROUND(I494,$E$6))&gt;0.00000001,1,0),0),IF(ISNUMBER(J494),IF(ABS(J494-ROUND(J494,$E$6))&gt;0.00000001,1,0),0),IF(ISNUMBER(M494),IF(ABS(M494-ROUND(M494,$E$6))&gt;0.00000001,1,0),0))&gt;0,1,0),0)</f>
        <v>0</v>
      </c>
      <c r="AA494" s="0" t="n">
        <f>IF(COUNTA(B494:L494)=0,0,IF(OR(AND(ISNUMBER(F494),F494&lt;0),AND(U494=1,OR(SUM(IF(ISNUMBER(G494),IF(G494=0,1,0),0),IF(ISNUMBER(H494),IF(H494=0,1,0),0),IF(ISNUMBER(I494),IF(I494=0,1,0),0),IF(ISNUMBER(J494),IF(J494=0,1,0),0))&gt;0,COUNTIFS(G494:J494,"&lt;0")&gt;0)),AND(P494="DIMENSIONES",U494=1,OR(AND(S494="m",COUNT(H494:J494)&lt;&gt;1),AND(S494="m²",COUNT(H494:J494)&lt;&gt;2,Y494=0),AND(S494="m³",COUNT(H494:J494)&lt;&gt;3),AND(S494="ud",COUNT(H494:J494)&gt;0))),AND(P494="DIRECTA",OR(S494="m",S494="m²",S494="m³"))),1,0))</f>
        <v>0</v>
      </c>
      <c r="AB494" s="0">
        <f>IF(LEN(TRIM(E494&amp;""))&gt;0,E494,IF(R494&gt;0,INDEX($E$13:$E$512,R494),""))</f>
      </c>
      <c r="AC494" s="0">
        <f>UPPER(SUBSTITUTE(SUBSTITUTE(SUBSTITUTE(SUBSTITUTE(SUBSTITUTE(TRIM(AB494),"²","2"),"³","3"),"^",""),".","")," ",""))</f>
      </c>
    </row>
    <row r="495" ht="35" customHeight="1">
      <c r="B495" s="35"/>
      <c r="C495" s="35"/>
      <c r="D495" s="37"/>
      <c r="E495" s="35"/>
      <c r="F495" s="38"/>
      <c r="G495" s="38"/>
      <c r="H495" s="38"/>
      <c r="I495" s="38"/>
      <c r="J495" s="38"/>
      <c r="K495" s="35"/>
      <c r="L495" s="35"/>
      <c r="M495" s="39">
        <f>IF(U495&lt;&gt;1,"",IF(P495="DIRECTA",G495,IF(ISNUMBER(G495),G495,1)*IF(ISNUMBER(H495),H495,1)*IF(ISNUMBER(I495),I495,1)*IF(ISNUMBER(J495),J495,1)))</f>
      </c>
      <c r="N495" s="30">
        <f>IF(COUNTA(B495:L495)=0,"",IF(X495=0,IF(P495="CABECERA","VERDE · Fila descriptiva; la suma usa las líneas del ID","VERDE · Datos numéricos interpretables"),IF(X495=2,"ROJO · ","ÁMBAR · ")&amp;IF(NOT(IF(ISNUMBER($E$6),AND($E$6&gt;=0,$E$6&lt;=6,$E$6=INT($E$6)),FALSE)),"Indicamos entre 0 y 6 decimales en E6. ","")&amp;IF(O495=0,"Falta un ID numérico. ","")&amp;IF(R495=0,"Faltan capítulo, código, unidad o total numérico del ID. ","")&amp;IF(T495&gt;0,"Los datos o el total del ID se contradicen. ","")&amp;IF(AND(P495&lt;&gt;"DIMENSIONES",P495&lt;&gt;"DIRECTA",P495&lt;&gt;"SIN LÍNEAS",P495&lt;&gt;"CABECERA"),"Tipo de fila no reconocido. ","")&amp;IF(AND(OR(P495="SIN LÍNEAS",P495="CABECERA"),COUNTA(G495:J495)&gt;0),"La fila dice que no mide, pero contiene medidas. ","")&amp;IF(AND(OR(P495="DIRECTA",P495="DIMENSIONES"),U495=0),"Línea incompleta o con medidas no numéricas. ","")&amp;IF(P495="SIN LÍNEAS","No constan medidas de esta fila. ","")&amp;IF(Y495&gt;0,"Parece m³: tres dimensiones bajo m². ","")&amp;IF(AND(AB495&lt;&gt;"",SUMPRODUCT(--('LÉEME'!$B$65:$B$86=AC495))&lt;&gt;1),"Revisamos el significado de la unidad. ","")&amp;IF(Z495&gt;0,"Más precisión que los decimales indicados: cotejamos el original. ","")&amp;IF(AA495&gt;0,"Revisamos dimensiones, cantidad directa, ceros o deducción. ","")))</f>
      </c>
      <c r="O495" s="0" t="n">
        <f>IF(ISNUMBER(K495),IF(AND(K495&gt;0,K495=INT(K495),K495&lt;=999999),K495,0),0)</f>
        <v>0</v>
      </c>
      <c r="P495" s="0">
        <f>IF(COUNTA(B495:L495)=0,"",IF(L495="",IF(COUNTA(G495:J495)&gt;0,"DIMENSIONES","SIN LÍNEAS"),UPPER(TRIM(L495))))</f>
      </c>
      <c r="Q495" s="0">
        <f>IF(AND(O495&gt;0,LEN(TRIM(B495&amp;""))&gt;0,LEN(TRIM(C495&amp;""))&gt;0,LEN(TRIM(E495&amp;""))&gt;0,ISNUMBER(F495)),O495,"")</f>
      </c>
      <c r="R495" s="0" t="n">
        <f>IF(O495=0,0,IF(COUNTIFS($Q$13:$Q$512,O495)&gt;0,MATCH(O495,$Q$13:$Q$512,0),0))</f>
        <v>0</v>
      </c>
      <c r="S495" s="0">
        <f>IF(AB495="","",IF(SUMPRODUCT(--('LÉEME'!$B$65:$B$86=AC495))=1,INDEX('LÉEME'!$C$65:$C$86,MATCH(AC495,'LÉEME'!$B$65:$B$86,0)),UPPER(TRIM(AB495))))</f>
      </c>
      <c r="T495" s="0" t="n">
        <f>IF(R495=0,0,IF(OR(AND(LEN(TRIM(B495&amp;""))&gt;0,UPPER(TRIM(B495&amp;""))&lt;&gt;UPPER(TRIM(INDEX($B$13:$B$512,R495)&amp;""))),AND(LEN(TRIM(C495&amp;""))&gt;0,UPPER(TRIM(C495&amp;""))&lt;&gt;UPPER(TRIM(INDEX($C$13:$C$512,R495)&amp;""))),AND(LEN(TRIM(E495&amp;""))&gt;0,S495&lt;&gt;INDEX($S$13:$S$512,R495)),AND(F495&lt;&gt;"",NOT(ISNUMBER(F495)))),1,IF(ISNUMBER(F495),IF(ABS(F495-INDEX($F$13:$F$512,R495))&gt;0.00000001,1,0),0)))</f>
        <v>0</v>
      </c>
      <c r="U495" s="0" t="n">
        <f>IF(P495="DIRECTA",IF(AND(ISNUMBER(G495),COUNTA(H495:J495)=0),1,0),IF(P495="DIMENSIONES",IF(AND(COUNT(G495:J495)&gt;0,COUNTA(G495:J495)=COUNT(G495:J495)),1,0),0))</f>
        <v>0</v>
      </c>
      <c r="V495" s="0" t="n">
        <f>IF(O495=0,0,IF(COUNTIFS($O$13:O495,O495)=1,1,0))</f>
        <v>0</v>
      </c>
      <c r="W495" s="0">
        <f>IF(V495=1,COUNTIFS($V$13:V495,1),"")</f>
      </c>
      <c r="X495" s="0">
        <f>IF(COUNTA(B495:L495)=0,"",IF(OR(NOT(IF(ISNUMBER($E$6),AND($E$6&gt;=0,$E$6&lt;=6,$E$6=INT($E$6)),FALSE)),O495=0,R495=0,T495&gt;0,AND(P495&lt;&gt;"DIMENSIONES",P495&lt;&gt;"DIRECTA",P495&lt;&gt;"SIN LÍNEAS",P495&lt;&gt;"CABECERA"),AND(OR(P495="DIRECTA",P495="DIMENSIONES"),U495=0),AND(OR(P495="SIN LÍNEAS",P495="CABECERA"),COUNTA(G495:J495)&gt;0)),2,IF(OR(P495="SIN LÍNEAS",Y495&gt;0,Z495&gt;0,AA495&gt;0,SUMPRODUCT(--('LÉEME'!$B$65:$B$86=AC495))&lt;&gt;1),1,0)))</f>
      </c>
      <c r="Y495" s="0" t="n">
        <f>IF(AND(P495="DIMENSIONES",S495="m²",COUNT(H495:J495)=3),1,0)</f>
        <v>0</v>
      </c>
      <c r="Z495" s="0" t="n">
        <f>IF(IF(ISNUMBER($E$6),AND($E$6&gt;=0,$E$6&lt;=6,$E$6=INT($E$6)),FALSE),IF(SUM(IF(ISNUMBER(F495),IF(ABS(F495-ROUND(F495,$E$6))&gt;0.00000001,1,0),0),IF(ISNUMBER(G495),IF(ABS(G495-ROUND(G495,$E$6))&gt;0.00000001,1,0),0),IF(ISNUMBER(H495),IF(ABS(H495-ROUND(H495,$E$6))&gt;0.00000001,1,0),0),IF(ISNUMBER(I495),IF(ABS(I495-ROUND(I495,$E$6))&gt;0.00000001,1,0),0),IF(ISNUMBER(J495),IF(ABS(J495-ROUND(J495,$E$6))&gt;0.00000001,1,0),0),IF(ISNUMBER(M495),IF(ABS(M495-ROUND(M495,$E$6))&gt;0.00000001,1,0),0))&gt;0,1,0),0)</f>
        <v>0</v>
      </c>
      <c r="AA495" s="0" t="n">
        <f>IF(COUNTA(B495:L495)=0,0,IF(OR(AND(ISNUMBER(F495),F495&lt;0),AND(U495=1,OR(SUM(IF(ISNUMBER(G495),IF(G495=0,1,0),0),IF(ISNUMBER(H495),IF(H495=0,1,0),0),IF(ISNUMBER(I495),IF(I495=0,1,0),0),IF(ISNUMBER(J495),IF(J495=0,1,0),0))&gt;0,COUNTIFS(G495:J495,"&lt;0")&gt;0)),AND(P495="DIMENSIONES",U495=1,OR(AND(S495="m",COUNT(H495:J495)&lt;&gt;1),AND(S495="m²",COUNT(H495:J495)&lt;&gt;2,Y495=0),AND(S495="m³",COUNT(H495:J495)&lt;&gt;3),AND(S495="ud",COUNT(H495:J495)&gt;0))),AND(P495="DIRECTA",OR(S495="m",S495="m²",S495="m³"))),1,0))</f>
        <v>0</v>
      </c>
      <c r="AB495" s="0">
        <f>IF(LEN(TRIM(E495&amp;""))&gt;0,E495,IF(R495&gt;0,INDEX($E$13:$E$512,R495),""))</f>
      </c>
      <c r="AC495" s="0">
        <f>UPPER(SUBSTITUTE(SUBSTITUTE(SUBSTITUTE(SUBSTITUTE(SUBSTITUTE(TRIM(AB495),"²","2"),"³","3"),"^",""),".","")," ",""))</f>
      </c>
    </row>
    <row r="496" ht="35" customHeight="1">
      <c r="B496" s="35"/>
      <c r="C496" s="35"/>
      <c r="D496" s="37"/>
      <c r="E496" s="35"/>
      <c r="F496" s="38"/>
      <c r="G496" s="38"/>
      <c r="H496" s="38"/>
      <c r="I496" s="38"/>
      <c r="J496" s="38"/>
      <c r="K496" s="35"/>
      <c r="L496" s="35"/>
      <c r="M496" s="39">
        <f>IF(U496&lt;&gt;1,"",IF(P496="DIRECTA",G496,IF(ISNUMBER(G496),G496,1)*IF(ISNUMBER(H496),H496,1)*IF(ISNUMBER(I496),I496,1)*IF(ISNUMBER(J496),J496,1)))</f>
      </c>
      <c r="N496" s="30">
        <f>IF(COUNTA(B496:L496)=0,"",IF(X496=0,IF(P496="CABECERA","VERDE · Fila descriptiva; la suma usa las líneas del ID","VERDE · Datos numéricos interpretables"),IF(X496=2,"ROJO · ","ÁMBAR · ")&amp;IF(NOT(IF(ISNUMBER($E$6),AND($E$6&gt;=0,$E$6&lt;=6,$E$6=INT($E$6)),FALSE)),"Indicamos entre 0 y 6 decimales en E6. ","")&amp;IF(O496=0,"Falta un ID numérico. ","")&amp;IF(R496=0,"Faltan capítulo, código, unidad o total numérico del ID. ","")&amp;IF(T496&gt;0,"Los datos o el total del ID se contradicen. ","")&amp;IF(AND(P496&lt;&gt;"DIMENSIONES",P496&lt;&gt;"DIRECTA",P496&lt;&gt;"SIN LÍNEAS",P496&lt;&gt;"CABECERA"),"Tipo de fila no reconocido. ","")&amp;IF(AND(OR(P496="SIN LÍNEAS",P496="CABECERA"),COUNTA(G496:J496)&gt;0),"La fila dice que no mide, pero contiene medidas. ","")&amp;IF(AND(OR(P496="DIRECTA",P496="DIMENSIONES"),U496=0),"Línea incompleta o con medidas no numéricas. ","")&amp;IF(P496="SIN LÍNEAS","No constan medidas de esta fila. ","")&amp;IF(Y496&gt;0,"Parece m³: tres dimensiones bajo m². ","")&amp;IF(AND(AB496&lt;&gt;"",SUMPRODUCT(--('LÉEME'!$B$65:$B$86=AC496))&lt;&gt;1),"Revisamos el significado de la unidad. ","")&amp;IF(Z496&gt;0,"Más precisión que los decimales indicados: cotejamos el original. ","")&amp;IF(AA496&gt;0,"Revisamos dimensiones, cantidad directa, ceros o deducción. ","")))</f>
      </c>
      <c r="O496" s="0" t="n">
        <f>IF(ISNUMBER(K496),IF(AND(K496&gt;0,K496=INT(K496),K496&lt;=999999),K496,0),0)</f>
        <v>0</v>
      </c>
      <c r="P496" s="0">
        <f>IF(COUNTA(B496:L496)=0,"",IF(L496="",IF(COUNTA(G496:J496)&gt;0,"DIMENSIONES","SIN LÍNEAS"),UPPER(TRIM(L496))))</f>
      </c>
      <c r="Q496" s="0">
        <f>IF(AND(O496&gt;0,LEN(TRIM(B496&amp;""))&gt;0,LEN(TRIM(C496&amp;""))&gt;0,LEN(TRIM(E496&amp;""))&gt;0,ISNUMBER(F496)),O496,"")</f>
      </c>
      <c r="R496" s="0" t="n">
        <f>IF(O496=0,0,IF(COUNTIFS($Q$13:$Q$512,O496)&gt;0,MATCH(O496,$Q$13:$Q$512,0),0))</f>
        <v>0</v>
      </c>
      <c r="S496" s="0">
        <f>IF(AB496="","",IF(SUMPRODUCT(--('LÉEME'!$B$65:$B$86=AC496))=1,INDEX('LÉEME'!$C$65:$C$86,MATCH(AC496,'LÉEME'!$B$65:$B$86,0)),UPPER(TRIM(AB496))))</f>
      </c>
      <c r="T496" s="0" t="n">
        <f>IF(R496=0,0,IF(OR(AND(LEN(TRIM(B496&amp;""))&gt;0,UPPER(TRIM(B496&amp;""))&lt;&gt;UPPER(TRIM(INDEX($B$13:$B$512,R496)&amp;""))),AND(LEN(TRIM(C496&amp;""))&gt;0,UPPER(TRIM(C496&amp;""))&lt;&gt;UPPER(TRIM(INDEX($C$13:$C$512,R496)&amp;""))),AND(LEN(TRIM(E496&amp;""))&gt;0,S496&lt;&gt;INDEX($S$13:$S$512,R496)),AND(F496&lt;&gt;"",NOT(ISNUMBER(F496)))),1,IF(ISNUMBER(F496),IF(ABS(F496-INDEX($F$13:$F$512,R496))&gt;0.00000001,1,0),0)))</f>
        <v>0</v>
      </c>
      <c r="U496" s="0" t="n">
        <f>IF(P496="DIRECTA",IF(AND(ISNUMBER(G496),COUNTA(H496:J496)=0),1,0),IF(P496="DIMENSIONES",IF(AND(COUNT(G496:J496)&gt;0,COUNTA(G496:J496)=COUNT(G496:J496)),1,0),0))</f>
        <v>0</v>
      </c>
      <c r="V496" s="0" t="n">
        <f>IF(O496=0,0,IF(COUNTIFS($O$13:O496,O496)=1,1,0))</f>
        <v>0</v>
      </c>
      <c r="W496" s="0">
        <f>IF(V496=1,COUNTIFS($V$13:V496,1),"")</f>
      </c>
      <c r="X496" s="0">
        <f>IF(COUNTA(B496:L496)=0,"",IF(OR(NOT(IF(ISNUMBER($E$6),AND($E$6&gt;=0,$E$6&lt;=6,$E$6=INT($E$6)),FALSE)),O496=0,R496=0,T496&gt;0,AND(P496&lt;&gt;"DIMENSIONES",P496&lt;&gt;"DIRECTA",P496&lt;&gt;"SIN LÍNEAS",P496&lt;&gt;"CABECERA"),AND(OR(P496="DIRECTA",P496="DIMENSIONES"),U496=0),AND(OR(P496="SIN LÍNEAS",P496="CABECERA"),COUNTA(G496:J496)&gt;0)),2,IF(OR(P496="SIN LÍNEAS",Y496&gt;0,Z496&gt;0,AA496&gt;0,SUMPRODUCT(--('LÉEME'!$B$65:$B$86=AC496))&lt;&gt;1),1,0)))</f>
      </c>
      <c r="Y496" s="0" t="n">
        <f>IF(AND(P496="DIMENSIONES",S496="m²",COUNT(H496:J496)=3),1,0)</f>
        <v>0</v>
      </c>
      <c r="Z496" s="0" t="n">
        <f>IF(IF(ISNUMBER($E$6),AND($E$6&gt;=0,$E$6&lt;=6,$E$6=INT($E$6)),FALSE),IF(SUM(IF(ISNUMBER(F496),IF(ABS(F496-ROUND(F496,$E$6))&gt;0.00000001,1,0),0),IF(ISNUMBER(G496),IF(ABS(G496-ROUND(G496,$E$6))&gt;0.00000001,1,0),0),IF(ISNUMBER(H496),IF(ABS(H496-ROUND(H496,$E$6))&gt;0.00000001,1,0),0),IF(ISNUMBER(I496),IF(ABS(I496-ROUND(I496,$E$6))&gt;0.00000001,1,0),0),IF(ISNUMBER(J496),IF(ABS(J496-ROUND(J496,$E$6))&gt;0.00000001,1,0),0),IF(ISNUMBER(M496),IF(ABS(M496-ROUND(M496,$E$6))&gt;0.00000001,1,0),0))&gt;0,1,0),0)</f>
        <v>0</v>
      </c>
      <c r="AA496" s="0" t="n">
        <f>IF(COUNTA(B496:L496)=0,0,IF(OR(AND(ISNUMBER(F496),F496&lt;0),AND(U496=1,OR(SUM(IF(ISNUMBER(G496),IF(G496=0,1,0),0),IF(ISNUMBER(H496),IF(H496=0,1,0),0),IF(ISNUMBER(I496),IF(I496=0,1,0),0),IF(ISNUMBER(J496),IF(J496=0,1,0),0))&gt;0,COUNTIFS(G496:J496,"&lt;0")&gt;0)),AND(P496="DIMENSIONES",U496=1,OR(AND(S496="m",COUNT(H496:J496)&lt;&gt;1),AND(S496="m²",COUNT(H496:J496)&lt;&gt;2,Y496=0),AND(S496="m³",COUNT(H496:J496)&lt;&gt;3),AND(S496="ud",COUNT(H496:J496)&gt;0))),AND(P496="DIRECTA",OR(S496="m",S496="m²",S496="m³"))),1,0))</f>
        <v>0</v>
      </c>
      <c r="AB496" s="0">
        <f>IF(LEN(TRIM(E496&amp;""))&gt;0,E496,IF(R496&gt;0,INDEX($E$13:$E$512,R496),""))</f>
      </c>
      <c r="AC496" s="0">
        <f>UPPER(SUBSTITUTE(SUBSTITUTE(SUBSTITUTE(SUBSTITUTE(SUBSTITUTE(TRIM(AB496),"²","2"),"³","3"),"^",""),".","")," ",""))</f>
      </c>
    </row>
    <row r="497" ht="35" customHeight="1">
      <c r="B497" s="35"/>
      <c r="C497" s="35"/>
      <c r="D497" s="37"/>
      <c r="E497" s="35"/>
      <c r="F497" s="38"/>
      <c r="G497" s="38"/>
      <c r="H497" s="38"/>
      <c r="I497" s="38"/>
      <c r="J497" s="38"/>
      <c r="K497" s="35"/>
      <c r="L497" s="35"/>
      <c r="M497" s="39">
        <f>IF(U497&lt;&gt;1,"",IF(P497="DIRECTA",G497,IF(ISNUMBER(G497),G497,1)*IF(ISNUMBER(H497),H497,1)*IF(ISNUMBER(I497),I497,1)*IF(ISNUMBER(J497),J497,1)))</f>
      </c>
      <c r="N497" s="30">
        <f>IF(COUNTA(B497:L497)=0,"",IF(X497=0,IF(P497="CABECERA","VERDE · Fila descriptiva; la suma usa las líneas del ID","VERDE · Datos numéricos interpretables"),IF(X497=2,"ROJO · ","ÁMBAR · ")&amp;IF(NOT(IF(ISNUMBER($E$6),AND($E$6&gt;=0,$E$6&lt;=6,$E$6=INT($E$6)),FALSE)),"Indicamos entre 0 y 6 decimales en E6. ","")&amp;IF(O497=0,"Falta un ID numérico. ","")&amp;IF(R497=0,"Faltan capítulo, código, unidad o total numérico del ID. ","")&amp;IF(T497&gt;0,"Los datos o el total del ID se contradicen. ","")&amp;IF(AND(P497&lt;&gt;"DIMENSIONES",P497&lt;&gt;"DIRECTA",P497&lt;&gt;"SIN LÍNEAS",P497&lt;&gt;"CABECERA"),"Tipo de fila no reconocido. ","")&amp;IF(AND(OR(P497="SIN LÍNEAS",P497="CABECERA"),COUNTA(G497:J497)&gt;0),"La fila dice que no mide, pero contiene medidas. ","")&amp;IF(AND(OR(P497="DIRECTA",P497="DIMENSIONES"),U497=0),"Línea incompleta o con medidas no numéricas. ","")&amp;IF(P497="SIN LÍNEAS","No constan medidas de esta fila. ","")&amp;IF(Y497&gt;0,"Parece m³: tres dimensiones bajo m². ","")&amp;IF(AND(AB497&lt;&gt;"",SUMPRODUCT(--('LÉEME'!$B$65:$B$86=AC497))&lt;&gt;1),"Revisamos el significado de la unidad. ","")&amp;IF(Z497&gt;0,"Más precisión que los decimales indicados: cotejamos el original. ","")&amp;IF(AA497&gt;0,"Revisamos dimensiones, cantidad directa, ceros o deducción. ","")))</f>
      </c>
      <c r="O497" s="0" t="n">
        <f>IF(ISNUMBER(K497),IF(AND(K497&gt;0,K497=INT(K497),K497&lt;=999999),K497,0),0)</f>
        <v>0</v>
      </c>
      <c r="P497" s="0">
        <f>IF(COUNTA(B497:L497)=0,"",IF(L497="",IF(COUNTA(G497:J497)&gt;0,"DIMENSIONES","SIN LÍNEAS"),UPPER(TRIM(L497))))</f>
      </c>
      <c r="Q497" s="0">
        <f>IF(AND(O497&gt;0,LEN(TRIM(B497&amp;""))&gt;0,LEN(TRIM(C497&amp;""))&gt;0,LEN(TRIM(E497&amp;""))&gt;0,ISNUMBER(F497)),O497,"")</f>
      </c>
      <c r="R497" s="0" t="n">
        <f>IF(O497=0,0,IF(COUNTIFS($Q$13:$Q$512,O497)&gt;0,MATCH(O497,$Q$13:$Q$512,0),0))</f>
        <v>0</v>
      </c>
      <c r="S497" s="0">
        <f>IF(AB497="","",IF(SUMPRODUCT(--('LÉEME'!$B$65:$B$86=AC497))=1,INDEX('LÉEME'!$C$65:$C$86,MATCH(AC497,'LÉEME'!$B$65:$B$86,0)),UPPER(TRIM(AB497))))</f>
      </c>
      <c r="T497" s="0" t="n">
        <f>IF(R497=0,0,IF(OR(AND(LEN(TRIM(B497&amp;""))&gt;0,UPPER(TRIM(B497&amp;""))&lt;&gt;UPPER(TRIM(INDEX($B$13:$B$512,R497)&amp;""))),AND(LEN(TRIM(C497&amp;""))&gt;0,UPPER(TRIM(C497&amp;""))&lt;&gt;UPPER(TRIM(INDEX($C$13:$C$512,R497)&amp;""))),AND(LEN(TRIM(E497&amp;""))&gt;0,S497&lt;&gt;INDEX($S$13:$S$512,R497)),AND(F497&lt;&gt;"",NOT(ISNUMBER(F497)))),1,IF(ISNUMBER(F497),IF(ABS(F497-INDEX($F$13:$F$512,R497))&gt;0.00000001,1,0),0)))</f>
        <v>0</v>
      </c>
      <c r="U497" s="0" t="n">
        <f>IF(P497="DIRECTA",IF(AND(ISNUMBER(G497),COUNTA(H497:J497)=0),1,0),IF(P497="DIMENSIONES",IF(AND(COUNT(G497:J497)&gt;0,COUNTA(G497:J497)=COUNT(G497:J497)),1,0),0))</f>
        <v>0</v>
      </c>
      <c r="V497" s="0" t="n">
        <f>IF(O497=0,0,IF(COUNTIFS($O$13:O497,O497)=1,1,0))</f>
        <v>0</v>
      </c>
      <c r="W497" s="0">
        <f>IF(V497=1,COUNTIFS($V$13:V497,1),"")</f>
      </c>
      <c r="X497" s="0">
        <f>IF(COUNTA(B497:L497)=0,"",IF(OR(NOT(IF(ISNUMBER($E$6),AND($E$6&gt;=0,$E$6&lt;=6,$E$6=INT($E$6)),FALSE)),O497=0,R497=0,T497&gt;0,AND(P497&lt;&gt;"DIMENSIONES",P497&lt;&gt;"DIRECTA",P497&lt;&gt;"SIN LÍNEAS",P497&lt;&gt;"CABECERA"),AND(OR(P497="DIRECTA",P497="DIMENSIONES"),U497=0),AND(OR(P497="SIN LÍNEAS",P497="CABECERA"),COUNTA(G497:J497)&gt;0)),2,IF(OR(P497="SIN LÍNEAS",Y497&gt;0,Z497&gt;0,AA497&gt;0,SUMPRODUCT(--('LÉEME'!$B$65:$B$86=AC497))&lt;&gt;1),1,0)))</f>
      </c>
      <c r="Y497" s="0" t="n">
        <f>IF(AND(P497="DIMENSIONES",S497="m²",COUNT(H497:J497)=3),1,0)</f>
        <v>0</v>
      </c>
      <c r="Z497" s="0" t="n">
        <f>IF(IF(ISNUMBER($E$6),AND($E$6&gt;=0,$E$6&lt;=6,$E$6=INT($E$6)),FALSE),IF(SUM(IF(ISNUMBER(F497),IF(ABS(F497-ROUND(F497,$E$6))&gt;0.00000001,1,0),0),IF(ISNUMBER(G497),IF(ABS(G497-ROUND(G497,$E$6))&gt;0.00000001,1,0),0),IF(ISNUMBER(H497),IF(ABS(H497-ROUND(H497,$E$6))&gt;0.00000001,1,0),0),IF(ISNUMBER(I497),IF(ABS(I497-ROUND(I497,$E$6))&gt;0.00000001,1,0),0),IF(ISNUMBER(J497),IF(ABS(J497-ROUND(J497,$E$6))&gt;0.00000001,1,0),0),IF(ISNUMBER(M497),IF(ABS(M497-ROUND(M497,$E$6))&gt;0.00000001,1,0),0))&gt;0,1,0),0)</f>
        <v>0</v>
      </c>
      <c r="AA497" s="0" t="n">
        <f>IF(COUNTA(B497:L497)=0,0,IF(OR(AND(ISNUMBER(F497),F497&lt;0),AND(U497=1,OR(SUM(IF(ISNUMBER(G497),IF(G497=0,1,0),0),IF(ISNUMBER(H497),IF(H497=0,1,0),0),IF(ISNUMBER(I497),IF(I497=0,1,0),0),IF(ISNUMBER(J497),IF(J497=0,1,0),0))&gt;0,COUNTIFS(G497:J497,"&lt;0")&gt;0)),AND(P497="DIMENSIONES",U497=1,OR(AND(S497="m",COUNT(H497:J497)&lt;&gt;1),AND(S497="m²",COUNT(H497:J497)&lt;&gt;2,Y497=0),AND(S497="m³",COUNT(H497:J497)&lt;&gt;3),AND(S497="ud",COUNT(H497:J497)&gt;0))),AND(P497="DIRECTA",OR(S497="m",S497="m²",S497="m³"))),1,0))</f>
        <v>0</v>
      </c>
      <c r="AB497" s="0">
        <f>IF(LEN(TRIM(E497&amp;""))&gt;0,E497,IF(R497&gt;0,INDEX($E$13:$E$512,R497),""))</f>
      </c>
      <c r="AC497" s="0">
        <f>UPPER(SUBSTITUTE(SUBSTITUTE(SUBSTITUTE(SUBSTITUTE(SUBSTITUTE(TRIM(AB497),"²","2"),"³","3"),"^",""),".","")," ",""))</f>
      </c>
    </row>
    <row r="498" ht="35" customHeight="1">
      <c r="B498" s="35"/>
      <c r="C498" s="35"/>
      <c r="D498" s="37"/>
      <c r="E498" s="35"/>
      <c r="F498" s="38"/>
      <c r="G498" s="38"/>
      <c r="H498" s="38"/>
      <c r="I498" s="38"/>
      <c r="J498" s="38"/>
      <c r="K498" s="35"/>
      <c r="L498" s="35"/>
      <c r="M498" s="39">
        <f>IF(U498&lt;&gt;1,"",IF(P498="DIRECTA",G498,IF(ISNUMBER(G498),G498,1)*IF(ISNUMBER(H498),H498,1)*IF(ISNUMBER(I498),I498,1)*IF(ISNUMBER(J498),J498,1)))</f>
      </c>
      <c r="N498" s="30">
        <f>IF(COUNTA(B498:L498)=0,"",IF(X498=0,IF(P498="CABECERA","VERDE · Fila descriptiva; la suma usa las líneas del ID","VERDE · Datos numéricos interpretables"),IF(X498=2,"ROJO · ","ÁMBAR · ")&amp;IF(NOT(IF(ISNUMBER($E$6),AND($E$6&gt;=0,$E$6&lt;=6,$E$6=INT($E$6)),FALSE)),"Indicamos entre 0 y 6 decimales en E6. ","")&amp;IF(O498=0,"Falta un ID numérico. ","")&amp;IF(R498=0,"Faltan capítulo, código, unidad o total numérico del ID. ","")&amp;IF(T498&gt;0,"Los datos o el total del ID se contradicen. ","")&amp;IF(AND(P498&lt;&gt;"DIMENSIONES",P498&lt;&gt;"DIRECTA",P498&lt;&gt;"SIN LÍNEAS",P498&lt;&gt;"CABECERA"),"Tipo de fila no reconocido. ","")&amp;IF(AND(OR(P498="SIN LÍNEAS",P498="CABECERA"),COUNTA(G498:J498)&gt;0),"La fila dice que no mide, pero contiene medidas. ","")&amp;IF(AND(OR(P498="DIRECTA",P498="DIMENSIONES"),U498=0),"Línea incompleta o con medidas no numéricas. ","")&amp;IF(P498="SIN LÍNEAS","No constan medidas de esta fila. ","")&amp;IF(Y498&gt;0,"Parece m³: tres dimensiones bajo m². ","")&amp;IF(AND(AB498&lt;&gt;"",SUMPRODUCT(--('LÉEME'!$B$65:$B$86=AC498))&lt;&gt;1),"Revisamos el significado de la unidad. ","")&amp;IF(Z498&gt;0,"Más precisión que los decimales indicados: cotejamos el original. ","")&amp;IF(AA498&gt;0,"Revisamos dimensiones, cantidad directa, ceros o deducción. ","")))</f>
      </c>
      <c r="O498" s="0" t="n">
        <f>IF(ISNUMBER(K498),IF(AND(K498&gt;0,K498=INT(K498),K498&lt;=999999),K498,0),0)</f>
        <v>0</v>
      </c>
      <c r="P498" s="0">
        <f>IF(COUNTA(B498:L498)=0,"",IF(L498="",IF(COUNTA(G498:J498)&gt;0,"DIMENSIONES","SIN LÍNEAS"),UPPER(TRIM(L498))))</f>
      </c>
      <c r="Q498" s="0">
        <f>IF(AND(O498&gt;0,LEN(TRIM(B498&amp;""))&gt;0,LEN(TRIM(C498&amp;""))&gt;0,LEN(TRIM(E498&amp;""))&gt;0,ISNUMBER(F498)),O498,"")</f>
      </c>
      <c r="R498" s="0" t="n">
        <f>IF(O498=0,0,IF(COUNTIFS($Q$13:$Q$512,O498)&gt;0,MATCH(O498,$Q$13:$Q$512,0),0))</f>
        <v>0</v>
      </c>
      <c r="S498" s="0">
        <f>IF(AB498="","",IF(SUMPRODUCT(--('LÉEME'!$B$65:$B$86=AC498))=1,INDEX('LÉEME'!$C$65:$C$86,MATCH(AC498,'LÉEME'!$B$65:$B$86,0)),UPPER(TRIM(AB498))))</f>
      </c>
      <c r="T498" s="0" t="n">
        <f>IF(R498=0,0,IF(OR(AND(LEN(TRIM(B498&amp;""))&gt;0,UPPER(TRIM(B498&amp;""))&lt;&gt;UPPER(TRIM(INDEX($B$13:$B$512,R498)&amp;""))),AND(LEN(TRIM(C498&amp;""))&gt;0,UPPER(TRIM(C498&amp;""))&lt;&gt;UPPER(TRIM(INDEX($C$13:$C$512,R498)&amp;""))),AND(LEN(TRIM(E498&amp;""))&gt;0,S498&lt;&gt;INDEX($S$13:$S$512,R498)),AND(F498&lt;&gt;"",NOT(ISNUMBER(F498)))),1,IF(ISNUMBER(F498),IF(ABS(F498-INDEX($F$13:$F$512,R498))&gt;0.00000001,1,0),0)))</f>
        <v>0</v>
      </c>
      <c r="U498" s="0" t="n">
        <f>IF(P498="DIRECTA",IF(AND(ISNUMBER(G498),COUNTA(H498:J498)=0),1,0),IF(P498="DIMENSIONES",IF(AND(COUNT(G498:J498)&gt;0,COUNTA(G498:J498)=COUNT(G498:J498)),1,0),0))</f>
        <v>0</v>
      </c>
      <c r="V498" s="0" t="n">
        <f>IF(O498=0,0,IF(COUNTIFS($O$13:O498,O498)=1,1,0))</f>
        <v>0</v>
      </c>
      <c r="W498" s="0">
        <f>IF(V498=1,COUNTIFS($V$13:V498,1),"")</f>
      </c>
      <c r="X498" s="0">
        <f>IF(COUNTA(B498:L498)=0,"",IF(OR(NOT(IF(ISNUMBER($E$6),AND($E$6&gt;=0,$E$6&lt;=6,$E$6=INT($E$6)),FALSE)),O498=0,R498=0,T498&gt;0,AND(P498&lt;&gt;"DIMENSIONES",P498&lt;&gt;"DIRECTA",P498&lt;&gt;"SIN LÍNEAS",P498&lt;&gt;"CABECERA"),AND(OR(P498="DIRECTA",P498="DIMENSIONES"),U498=0),AND(OR(P498="SIN LÍNEAS",P498="CABECERA"),COUNTA(G498:J498)&gt;0)),2,IF(OR(P498="SIN LÍNEAS",Y498&gt;0,Z498&gt;0,AA498&gt;0,SUMPRODUCT(--('LÉEME'!$B$65:$B$86=AC498))&lt;&gt;1),1,0)))</f>
      </c>
      <c r="Y498" s="0" t="n">
        <f>IF(AND(P498="DIMENSIONES",S498="m²",COUNT(H498:J498)=3),1,0)</f>
        <v>0</v>
      </c>
      <c r="Z498" s="0" t="n">
        <f>IF(IF(ISNUMBER($E$6),AND($E$6&gt;=0,$E$6&lt;=6,$E$6=INT($E$6)),FALSE),IF(SUM(IF(ISNUMBER(F498),IF(ABS(F498-ROUND(F498,$E$6))&gt;0.00000001,1,0),0),IF(ISNUMBER(G498),IF(ABS(G498-ROUND(G498,$E$6))&gt;0.00000001,1,0),0),IF(ISNUMBER(H498),IF(ABS(H498-ROUND(H498,$E$6))&gt;0.00000001,1,0),0),IF(ISNUMBER(I498),IF(ABS(I498-ROUND(I498,$E$6))&gt;0.00000001,1,0),0),IF(ISNUMBER(J498),IF(ABS(J498-ROUND(J498,$E$6))&gt;0.00000001,1,0),0),IF(ISNUMBER(M498),IF(ABS(M498-ROUND(M498,$E$6))&gt;0.00000001,1,0),0))&gt;0,1,0),0)</f>
        <v>0</v>
      </c>
      <c r="AA498" s="0" t="n">
        <f>IF(COUNTA(B498:L498)=0,0,IF(OR(AND(ISNUMBER(F498),F498&lt;0),AND(U498=1,OR(SUM(IF(ISNUMBER(G498),IF(G498=0,1,0),0),IF(ISNUMBER(H498),IF(H498=0,1,0),0),IF(ISNUMBER(I498),IF(I498=0,1,0),0),IF(ISNUMBER(J498),IF(J498=0,1,0),0))&gt;0,COUNTIFS(G498:J498,"&lt;0")&gt;0)),AND(P498="DIMENSIONES",U498=1,OR(AND(S498="m",COUNT(H498:J498)&lt;&gt;1),AND(S498="m²",COUNT(H498:J498)&lt;&gt;2,Y498=0),AND(S498="m³",COUNT(H498:J498)&lt;&gt;3),AND(S498="ud",COUNT(H498:J498)&gt;0))),AND(P498="DIRECTA",OR(S498="m",S498="m²",S498="m³"))),1,0))</f>
        <v>0</v>
      </c>
      <c r="AB498" s="0">
        <f>IF(LEN(TRIM(E498&amp;""))&gt;0,E498,IF(R498&gt;0,INDEX($E$13:$E$512,R498),""))</f>
      </c>
      <c r="AC498" s="0">
        <f>UPPER(SUBSTITUTE(SUBSTITUTE(SUBSTITUTE(SUBSTITUTE(SUBSTITUTE(TRIM(AB498),"²","2"),"³","3"),"^",""),".","")," ",""))</f>
      </c>
    </row>
    <row r="499" ht="35" customHeight="1">
      <c r="B499" s="35"/>
      <c r="C499" s="35"/>
      <c r="D499" s="37"/>
      <c r="E499" s="35"/>
      <c r="F499" s="38"/>
      <c r="G499" s="38"/>
      <c r="H499" s="38"/>
      <c r="I499" s="38"/>
      <c r="J499" s="38"/>
      <c r="K499" s="35"/>
      <c r="L499" s="35"/>
      <c r="M499" s="39">
        <f>IF(U499&lt;&gt;1,"",IF(P499="DIRECTA",G499,IF(ISNUMBER(G499),G499,1)*IF(ISNUMBER(H499),H499,1)*IF(ISNUMBER(I499),I499,1)*IF(ISNUMBER(J499),J499,1)))</f>
      </c>
      <c r="N499" s="30">
        <f>IF(COUNTA(B499:L499)=0,"",IF(X499=0,IF(P499="CABECERA","VERDE · Fila descriptiva; la suma usa las líneas del ID","VERDE · Datos numéricos interpretables"),IF(X499=2,"ROJO · ","ÁMBAR · ")&amp;IF(NOT(IF(ISNUMBER($E$6),AND($E$6&gt;=0,$E$6&lt;=6,$E$6=INT($E$6)),FALSE)),"Indicamos entre 0 y 6 decimales en E6. ","")&amp;IF(O499=0,"Falta un ID numérico. ","")&amp;IF(R499=0,"Faltan capítulo, código, unidad o total numérico del ID. ","")&amp;IF(T499&gt;0,"Los datos o el total del ID se contradicen. ","")&amp;IF(AND(P499&lt;&gt;"DIMENSIONES",P499&lt;&gt;"DIRECTA",P499&lt;&gt;"SIN LÍNEAS",P499&lt;&gt;"CABECERA"),"Tipo de fila no reconocido. ","")&amp;IF(AND(OR(P499="SIN LÍNEAS",P499="CABECERA"),COUNTA(G499:J499)&gt;0),"La fila dice que no mide, pero contiene medidas. ","")&amp;IF(AND(OR(P499="DIRECTA",P499="DIMENSIONES"),U499=0),"Línea incompleta o con medidas no numéricas. ","")&amp;IF(P499="SIN LÍNEAS","No constan medidas de esta fila. ","")&amp;IF(Y499&gt;0,"Parece m³: tres dimensiones bajo m². ","")&amp;IF(AND(AB499&lt;&gt;"",SUMPRODUCT(--('LÉEME'!$B$65:$B$86=AC499))&lt;&gt;1),"Revisamos el significado de la unidad. ","")&amp;IF(Z499&gt;0,"Más precisión que los decimales indicados: cotejamos el original. ","")&amp;IF(AA499&gt;0,"Revisamos dimensiones, cantidad directa, ceros o deducción. ","")))</f>
      </c>
      <c r="O499" s="0" t="n">
        <f>IF(ISNUMBER(K499),IF(AND(K499&gt;0,K499=INT(K499),K499&lt;=999999),K499,0),0)</f>
        <v>0</v>
      </c>
      <c r="P499" s="0">
        <f>IF(COUNTA(B499:L499)=0,"",IF(L499="",IF(COUNTA(G499:J499)&gt;0,"DIMENSIONES","SIN LÍNEAS"),UPPER(TRIM(L499))))</f>
      </c>
      <c r="Q499" s="0">
        <f>IF(AND(O499&gt;0,LEN(TRIM(B499&amp;""))&gt;0,LEN(TRIM(C499&amp;""))&gt;0,LEN(TRIM(E499&amp;""))&gt;0,ISNUMBER(F499)),O499,"")</f>
      </c>
      <c r="R499" s="0" t="n">
        <f>IF(O499=0,0,IF(COUNTIFS($Q$13:$Q$512,O499)&gt;0,MATCH(O499,$Q$13:$Q$512,0),0))</f>
        <v>0</v>
      </c>
      <c r="S499" s="0">
        <f>IF(AB499="","",IF(SUMPRODUCT(--('LÉEME'!$B$65:$B$86=AC499))=1,INDEX('LÉEME'!$C$65:$C$86,MATCH(AC499,'LÉEME'!$B$65:$B$86,0)),UPPER(TRIM(AB499))))</f>
      </c>
      <c r="T499" s="0" t="n">
        <f>IF(R499=0,0,IF(OR(AND(LEN(TRIM(B499&amp;""))&gt;0,UPPER(TRIM(B499&amp;""))&lt;&gt;UPPER(TRIM(INDEX($B$13:$B$512,R499)&amp;""))),AND(LEN(TRIM(C499&amp;""))&gt;0,UPPER(TRIM(C499&amp;""))&lt;&gt;UPPER(TRIM(INDEX($C$13:$C$512,R499)&amp;""))),AND(LEN(TRIM(E499&amp;""))&gt;0,S499&lt;&gt;INDEX($S$13:$S$512,R499)),AND(F499&lt;&gt;"",NOT(ISNUMBER(F499)))),1,IF(ISNUMBER(F499),IF(ABS(F499-INDEX($F$13:$F$512,R499))&gt;0.00000001,1,0),0)))</f>
        <v>0</v>
      </c>
      <c r="U499" s="0" t="n">
        <f>IF(P499="DIRECTA",IF(AND(ISNUMBER(G499),COUNTA(H499:J499)=0),1,0),IF(P499="DIMENSIONES",IF(AND(COUNT(G499:J499)&gt;0,COUNTA(G499:J499)=COUNT(G499:J499)),1,0),0))</f>
        <v>0</v>
      </c>
      <c r="V499" s="0" t="n">
        <f>IF(O499=0,0,IF(COUNTIFS($O$13:O499,O499)=1,1,0))</f>
        <v>0</v>
      </c>
      <c r="W499" s="0">
        <f>IF(V499=1,COUNTIFS($V$13:V499,1),"")</f>
      </c>
      <c r="X499" s="0">
        <f>IF(COUNTA(B499:L499)=0,"",IF(OR(NOT(IF(ISNUMBER($E$6),AND($E$6&gt;=0,$E$6&lt;=6,$E$6=INT($E$6)),FALSE)),O499=0,R499=0,T499&gt;0,AND(P499&lt;&gt;"DIMENSIONES",P499&lt;&gt;"DIRECTA",P499&lt;&gt;"SIN LÍNEAS",P499&lt;&gt;"CABECERA"),AND(OR(P499="DIRECTA",P499="DIMENSIONES"),U499=0),AND(OR(P499="SIN LÍNEAS",P499="CABECERA"),COUNTA(G499:J499)&gt;0)),2,IF(OR(P499="SIN LÍNEAS",Y499&gt;0,Z499&gt;0,AA499&gt;0,SUMPRODUCT(--('LÉEME'!$B$65:$B$86=AC499))&lt;&gt;1),1,0)))</f>
      </c>
      <c r="Y499" s="0" t="n">
        <f>IF(AND(P499="DIMENSIONES",S499="m²",COUNT(H499:J499)=3),1,0)</f>
        <v>0</v>
      </c>
      <c r="Z499" s="0" t="n">
        <f>IF(IF(ISNUMBER($E$6),AND($E$6&gt;=0,$E$6&lt;=6,$E$6=INT($E$6)),FALSE),IF(SUM(IF(ISNUMBER(F499),IF(ABS(F499-ROUND(F499,$E$6))&gt;0.00000001,1,0),0),IF(ISNUMBER(G499),IF(ABS(G499-ROUND(G499,$E$6))&gt;0.00000001,1,0),0),IF(ISNUMBER(H499),IF(ABS(H499-ROUND(H499,$E$6))&gt;0.00000001,1,0),0),IF(ISNUMBER(I499),IF(ABS(I499-ROUND(I499,$E$6))&gt;0.00000001,1,0),0),IF(ISNUMBER(J499),IF(ABS(J499-ROUND(J499,$E$6))&gt;0.00000001,1,0),0),IF(ISNUMBER(M499),IF(ABS(M499-ROUND(M499,$E$6))&gt;0.00000001,1,0),0))&gt;0,1,0),0)</f>
        <v>0</v>
      </c>
      <c r="AA499" s="0" t="n">
        <f>IF(COUNTA(B499:L499)=0,0,IF(OR(AND(ISNUMBER(F499),F499&lt;0),AND(U499=1,OR(SUM(IF(ISNUMBER(G499),IF(G499=0,1,0),0),IF(ISNUMBER(H499),IF(H499=0,1,0),0),IF(ISNUMBER(I499),IF(I499=0,1,0),0),IF(ISNUMBER(J499),IF(J499=0,1,0),0))&gt;0,COUNTIFS(G499:J499,"&lt;0")&gt;0)),AND(P499="DIMENSIONES",U499=1,OR(AND(S499="m",COUNT(H499:J499)&lt;&gt;1),AND(S499="m²",COUNT(H499:J499)&lt;&gt;2,Y499=0),AND(S499="m³",COUNT(H499:J499)&lt;&gt;3),AND(S499="ud",COUNT(H499:J499)&gt;0))),AND(P499="DIRECTA",OR(S499="m",S499="m²",S499="m³"))),1,0))</f>
        <v>0</v>
      </c>
      <c r="AB499" s="0">
        <f>IF(LEN(TRIM(E499&amp;""))&gt;0,E499,IF(R499&gt;0,INDEX($E$13:$E$512,R499),""))</f>
      </c>
      <c r="AC499" s="0">
        <f>UPPER(SUBSTITUTE(SUBSTITUTE(SUBSTITUTE(SUBSTITUTE(SUBSTITUTE(TRIM(AB499),"²","2"),"³","3"),"^",""),".","")," ",""))</f>
      </c>
    </row>
    <row r="500" ht="35" customHeight="1">
      <c r="B500" s="35"/>
      <c r="C500" s="35"/>
      <c r="D500" s="37"/>
      <c r="E500" s="35"/>
      <c r="F500" s="38"/>
      <c r="G500" s="38"/>
      <c r="H500" s="38"/>
      <c r="I500" s="38"/>
      <c r="J500" s="38"/>
      <c r="K500" s="35"/>
      <c r="L500" s="35"/>
      <c r="M500" s="39">
        <f>IF(U500&lt;&gt;1,"",IF(P500="DIRECTA",G500,IF(ISNUMBER(G500),G500,1)*IF(ISNUMBER(H500),H500,1)*IF(ISNUMBER(I500),I500,1)*IF(ISNUMBER(J500),J500,1)))</f>
      </c>
      <c r="N500" s="30">
        <f>IF(COUNTA(B500:L500)=0,"",IF(X500=0,IF(P500="CABECERA","VERDE · Fila descriptiva; la suma usa las líneas del ID","VERDE · Datos numéricos interpretables"),IF(X500=2,"ROJO · ","ÁMBAR · ")&amp;IF(NOT(IF(ISNUMBER($E$6),AND($E$6&gt;=0,$E$6&lt;=6,$E$6=INT($E$6)),FALSE)),"Indicamos entre 0 y 6 decimales en E6. ","")&amp;IF(O500=0,"Falta un ID numérico. ","")&amp;IF(R500=0,"Faltan capítulo, código, unidad o total numérico del ID. ","")&amp;IF(T500&gt;0,"Los datos o el total del ID se contradicen. ","")&amp;IF(AND(P500&lt;&gt;"DIMENSIONES",P500&lt;&gt;"DIRECTA",P500&lt;&gt;"SIN LÍNEAS",P500&lt;&gt;"CABECERA"),"Tipo de fila no reconocido. ","")&amp;IF(AND(OR(P500="SIN LÍNEAS",P500="CABECERA"),COUNTA(G500:J500)&gt;0),"La fila dice que no mide, pero contiene medidas. ","")&amp;IF(AND(OR(P500="DIRECTA",P500="DIMENSIONES"),U500=0),"Línea incompleta o con medidas no numéricas. ","")&amp;IF(P500="SIN LÍNEAS","No constan medidas de esta fila. ","")&amp;IF(Y500&gt;0,"Parece m³: tres dimensiones bajo m². ","")&amp;IF(AND(AB500&lt;&gt;"",SUMPRODUCT(--('LÉEME'!$B$65:$B$86=AC500))&lt;&gt;1),"Revisamos el significado de la unidad. ","")&amp;IF(Z500&gt;0,"Más precisión que los decimales indicados: cotejamos el original. ","")&amp;IF(AA500&gt;0,"Revisamos dimensiones, cantidad directa, ceros o deducción. ","")))</f>
      </c>
      <c r="O500" s="0" t="n">
        <f>IF(ISNUMBER(K500),IF(AND(K500&gt;0,K500=INT(K500),K500&lt;=999999),K500,0),0)</f>
        <v>0</v>
      </c>
      <c r="P500" s="0">
        <f>IF(COUNTA(B500:L500)=0,"",IF(L500="",IF(COUNTA(G500:J500)&gt;0,"DIMENSIONES","SIN LÍNEAS"),UPPER(TRIM(L500))))</f>
      </c>
      <c r="Q500" s="0">
        <f>IF(AND(O500&gt;0,LEN(TRIM(B500&amp;""))&gt;0,LEN(TRIM(C500&amp;""))&gt;0,LEN(TRIM(E500&amp;""))&gt;0,ISNUMBER(F500)),O500,"")</f>
      </c>
      <c r="R500" s="0" t="n">
        <f>IF(O500=0,0,IF(COUNTIFS($Q$13:$Q$512,O500)&gt;0,MATCH(O500,$Q$13:$Q$512,0),0))</f>
        <v>0</v>
      </c>
      <c r="S500" s="0">
        <f>IF(AB500="","",IF(SUMPRODUCT(--('LÉEME'!$B$65:$B$86=AC500))=1,INDEX('LÉEME'!$C$65:$C$86,MATCH(AC500,'LÉEME'!$B$65:$B$86,0)),UPPER(TRIM(AB500))))</f>
      </c>
      <c r="T500" s="0" t="n">
        <f>IF(R500=0,0,IF(OR(AND(LEN(TRIM(B500&amp;""))&gt;0,UPPER(TRIM(B500&amp;""))&lt;&gt;UPPER(TRIM(INDEX($B$13:$B$512,R500)&amp;""))),AND(LEN(TRIM(C500&amp;""))&gt;0,UPPER(TRIM(C500&amp;""))&lt;&gt;UPPER(TRIM(INDEX($C$13:$C$512,R500)&amp;""))),AND(LEN(TRIM(E500&amp;""))&gt;0,S500&lt;&gt;INDEX($S$13:$S$512,R500)),AND(F500&lt;&gt;"",NOT(ISNUMBER(F500)))),1,IF(ISNUMBER(F500),IF(ABS(F500-INDEX($F$13:$F$512,R500))&gt;0.00000001,1,0),0)))</f>
        <v>0</v>
      </c>
      <c r="U500" s="0" t="n">
        <f>IF(P500="DIRECTA",IF(AND(ISNUMBER(G500),COUNTA(H500:J500)=0),1,0),IF(P500="DIMENSIONES",IF(AND(COUNT(G500:J500)&gt;0,COUNTA(G500:J500)=COUNT(G500:J500)),1,0),0))</f>
        <v>0</v>
      </c>
      <c r="V500" s="0" t="n">
        <f>IF(O500=0,0,IF(COUNTIFS($O$13:O500,O500)=1,1,0))</f>
        <v>0</v>
      </c>
      <c r="W500" s="0">
        <f>IF(V500=1,COUNTIFS($V$13:V500,1),"")</f>
      </c>
      <c r="X500" s="0">
        <f>IF(COUNTA(B500:L500)=0,"",IF(OR(NOT(IF(ISNUMBER($E$6),AND($E$6&gt;=0,$E$6&lt;=6,$E$6=INT($E$6)),FALSE)),O500=0,R500=0,T500&gt;0,AND(P500&lt;&gt;"DIMENSIONES",P500&lt;&gt;"DIRECTA",P500&lt;&gt;"SIN LÍNEAS",P500&lt;&gt;"CABECERA"),AND(OR(P500="DIRECTA",P500="DIMENSIONES"),U500=0),AND(OR(P500="SIN LÍNEAS",P500="CABECERA"),COUNTA(G500:J500)&gt;0)),2,IF(OR(P500="SIN LÍNEAS",Y500&gt;0,Z500&gt;0,AA500&gt;0,SUMPRODUCT(--('LÉEME'!$B$65:$B$86=AC500))&lt;&gt;1),1,0)))</f>
      </c>
      <c r="Y500" s="0" t="n">
        <f>IF(AND(P500="DIMENSIONES",S500="m²",COUNT(H500:J500)=3),1,0)</f>
        <v>0</v>
      </c>
      <c r="Z500" s="0" t="n">
        <f>IF(IF(ISNUMBER($E$6),AND($E$6&gt;=0,$E$6&lt;=6,$E$6=INT($E$6)),FALSE),IF(SUM(IF(ISNUMBER(F500),IF(ABS(F500-ROUND(F500,$E$6))&gt;0.00000001,1,0),0),IF(ISNUMBER(G500),IF(ABS(G500-ROUND(G500,$E$6))&gt;0.00000001,1,0),0),IF(ISNUMBER(H500),IF(ABS(H500-ROUND(H500,$E$6))&gt;0.00000001,1,0),0),IF(ISNUMBER(I500),IF(ABS(I500-ROUND(I500,$E$6))&gt;0.00000001,1,0),0),IF(ISNUMBER(J500),IF(ABS(J500-ROUND(J500,$E$6))&gt;0.00000001,1,0),0),IF(ISNUMBER(M500),IF(ABS(M500-ROUND(M500,$E$6))&gt;0.00000001,1,0),0))&gt;0,1,0),0)</f>
        <v>0</v>
      </c>
      <c r="AA500" s="0" t="n">
        <f>IF(COUNTA(B500:L500)=0,0,IF(OR(AND(ISNUMBER(F500),F500&lt;0),AND(U500=1,OR(SUM(IF(ISNUMBER(G500),IF(G500=0,1,0),0),IF(ISNUMBER(H500),IF(H500=0,1,0),0),IF(ISNUMBER(I500),IF(I500=0,1,0),0),IF(ISNUMBER(J500),IF(J500=0,1,0),0))&gt;0,COUNTIFS(G500:J500,"&lt;0")&gt;0)),AND(P500="DIMENSIONES",U500=1,OR(AND(S500="m",COUNT(H500:J500)&lt;&gt;1),AND(S500="m²",COUNT(H500:J500)&lt;&gt;2,Y500=0),AND(S500="m³",COUNT(H500:J500)&lt;&gt;3),AND(S500="ud",COUNT(H500:J500)&gt;0))),AND(P500="DIRECTA",OR(S500="m",S500="m²",S500="m³"))),1,0))</f>
        <v>0</v>
      </c>
      <c r="AB500" s="0">
        <f>IF(LEN(TRIM(E500&amp;""))&gt;0,E500,IF(R500&gt;0,INDEX($E$13:$E$512,R500),""))</f>
      </c>
      <c r="AC500" s="0">
        <f>UPPER(SUBSTITUTE(SUBSTITUTE(SUBSTITUTE(SUBSTITUTE(SUBSTITUTE(TRIM(AB500),"²","2"),"³","3"),"^",""),".","")," ",""))</f>
      </c>
    </row>
    <row r="501" ht="35" customHeight="1">
      <c r="B501" s="35"/>
      <c r="C501" s="35"/>
      <c r="D501" s="37"/>
      <c r="E501" s="35"/>
      <c r="F501" s="38"/>
      <c r="G501" s="38"/>
      <c r="H501" s="38"/>
      <c r="I501" s="38"/>
      <c r="J501" s="38"/>
      <c r="K501" s="35"/>
      <c r="L501" s="35"/>
      <c r="M501" s="39">
        <f>IF(U501&lt;&gt;1,"",IF(P501="DIRECTA",G501,IF(ISNUMBER(G501),G501,1)*IF(ISNUMBER(H501),H501,1)*IF(ISNUMBER(I501),I501,1)*IF(ISNUMBER(J501),J501,1)))</f>
      </c>
      <c r="N501" s="30">
        <f>IF(COUNTA(B501:L501)=0,"",IF(X501=0,IF(P501="CABECERA","VERDE · Fila descriptiva; la suma usa las líneas del ID","VERDE · Datos numéricos interpretables"),IF(X501=2,"ROJO · ","ÁMBAR · ")&amp;IF(NOT(IF(ISNUMBER($E$6),AND($E$6&gt;=0,$E$6&lt;=6,$E$6=INT($E$6)),FALSE)),"Indicamos entre 0 y 6 decimales en E6. ","")&amp;IF(O501=0,"Falta un ID numérico. ","")&amp;IF(R501=0,"Faltan capítulo, código, unidad o total numérico del ID. ","")&amp;IF(T501&gt;0,"Los datos o el total del ID se contradicen. ","")&amp;IF(AND(P501&lt;&gt;"DIMENSIONES",P501&lt;&gt;"DIRECTA",P501&lt;&gt;"SIN LÍNEAS",P501&lt;&gt;"CABECERA"),"Tipo de fila no reconocido. ","")&amp;IF(AND(OR(P501="SIN LÍNEAS",P501="CABECERA"),COUNTA(G501:J501)&gt;0),"La fila dice que no mide, pero contiene medidas. ","")&amp;IF(AND(OR(P501="DIRECTA",P501="DIMENSIONES"),U501=0),"Línea incompleta o con medidas no numéricas. ","")&amp;IF(P501="SIN LÍNEAS","No constan medidas de esta fila. ","")&amp;IF(Y501&gt;0,"Parece m³: tres dimensiones bajo m². ","")&amp;IF(AND(AB501&lt;&gt;"",SUMPRODUCT(--('LÉEME'!$B$65:$B$86=AC501))&lt;&gt;1),"Revisamos el significado de la unidad. ","")&amp;IF(Z501&gt;0,"Más precisión que los decimales indicados: cotejamos el original. ","")&amp;IF(AA501&gt;0,"Revisamos dimensiones, cantidad directa, ceros o deducción. ","")))</f>
      </c>
      <c r="O501" s="0" t="n">
        <f>IF(ISNUMBER(K501),IF(AND(K501&gt;0,K501=INT(K501),K501&lt;=999999),K501,0),0)</f>
        <v>0</v>
      </c>
      <c r="P501" s="0">
        <f>IF(COUNTA(B501:L501)=0,"",IF(L501="",IF(COUNTA(G501:J501)&gt;0,"DIMENSIONES","SIN LÍNEAS"),UPPER(TRIM(L501))))</f>
      </c>
      <c r="Q501" s="0">
        <f>IF(AND(O501&gt;0,LEN(TRIM(B501&amp;""))&gt;0,LEN(TRIM(C501&amp;""))&gt;0,LEN(TRIM(E501&amp;""))&gt;0,ISNUMBER(F501)),O501,"")</f>
      </c>
      <c r="R501" s="0" t="n">
        <f>IF(O501=0,0,IF(COUNTIFS($Q$13:$Q$512,O501)&gt;0,MATCH(O501,$Q$13:$Q$512,0),0))</f>
        <v>0</v>
      </c>
      <c r="S501" s="0">
        <f>IF(AB501="","",IF(SUMPRODUCT(--('LÉEME'!$B$65:$B$86=AC501))=1,INDEX('LÉEME'!$C$65:$C$86,MATCH(AC501,'LÉEME'!$B$65:$B$86,0)),UPPER(TRIM(AB501))))</f>
      </c>
      <c r="T501" s="0" t="n">
        <f>IF(R501=0,0,IF(OR(AND(LEN(TRIM(B501&amp;""))&gt;0,UPPER(TRIM(B501&amp;""))&lt;&gt;UPPER(TRIM(INDEX($B$13:$B$512,R501)&amp;""))),AND(LEN(TRIM(C501&amp;""))&gt;0,UPPER(TRIM(C501&amp;""))&lt;&gt;UPPER(TRIM(INDEX($C$13:$C$512,R501)&amp;""))),AND(LEN(TRIM(E501&amp;""))&gt;0,S501&lt;&gt;INDEX($S$13:$S$512,R501)),AND(F501&lt;&gt;"",NOT(ISNUMBER(F501)))),1,IF(ISNUMBER(F501),IF(ABS(F501-INDEX($F$13:$F$512,R501))&gt;0.00000001,1,0),0)))</f>
        <v>0</v>
      </c>
      <c r="U501" s="0" t="n">
        <f>IF(P501="DIRECTA",IF(AND(ISNUMBER(G501),COUNTA(H501:J501)=0),1,0),IF(P501="DIMENSIONES",IF(AND(COUNT(G501:J501)&gt;0,COUNTA(G501:J501)=COUNT(G501:J501)),1,0),0))</f>
        <v>0</v>
      </c>
      <c r="V501" s="0" t="n">
        <f>IF(O501=0,0,IF(COUNTIFS($O$13:O501,O501)=1,1,0))</f>
        <v>0</v>
      </c>
      <c r="W501" s="0">
        <f>IF(V501=1,COUNTIFS($V$13:V501,1),"")</f>
      </c>
      <c r="X501" s="0">
        <f>IF(COUNTA(B501:L501)=0,"",IF(OR(NOT(IF(ISNUMBER($E$6),AND($E$6&gt;=0,$E$6&lt;=6,$E$6=INT($E$6)),FALSE)),O501=0,R501=0,T501&gt;0,AND(P501&lt;&gt;"DIMENSIONES",P501&lt;&gt;"DIRECTA",P501&lt;&gt;"SIN LÍNEAS",P501&lt;&gt;"CABECERA"),AND(OR(P501="DIRECTA",P501="DIMENSIONES"),U501=0),AND(OR(P501="SIN LÍNEAS",P501="CABECERA"),COUNTA(G501:J501)&gt;0)),2,IF(OR(P501="SIN LÍNEAS",Y501&gt;0,Z501&gt;0,AA501&gt;0,SUMPRODUCT(--('LÉEME'!$B$65:$B$86=AC501))&lt;&gt;1),1,0)))</f>
      </c>
      <c r="Y501" s="0" t="n">
        <f>IF(AND(P501="DIMENSIONES",S501="m²",COUNT(H501:J501)=3),1,0)</f>
        <v>0</v>
      </c>
      <c r="Z501" s="0" t="n">
        <f>IF(IF(ISNUMBER($E$6),AND($E$6&gt;=0,$E$6&lt;=6,$E$6=INT($E$6)),FALSE),IF(SUM(IF(ISNUMBER(F501),IF(ABS(F501-ROUND(F501,$E$6))&gt;0.00000001,1,0),0),IF(ISNUMBER(G501),IF(ABS(G501-ROUND(G501,$E$6))&gt;0.00000001,1,0),0),IF(ISNUMBER(H501),IF(ABS(H501-ROUND(H501,$E$6))&gt;0.00000001,1,0),0),IF(ISNUMBER(I501),IF(ABS(I501-ROUND(I501,$E$6))&gt;0.00000001,1,0),0),IF(ISNUMBER(J501),IF(ABS(J501-ROUND(J501,$E$6))&gt;0.00000001,1,0),0),IF(ISNUMBER(M501),IF(ABS(M501-ROUND(M501,$E$6))&gt;0.00000001,1,0),0))&gt;0,1,0),0)</f>
        <v>0</v>
      </c>
      <c r="AA501" s="0" t="n">
        <f>IF(COUNTA(B501:L501)=0,0,IF(OR(AND(ISNUMBER(F501),F501&lt;0),AND(U501=1,OR(SUM(IF(ISNUMBER(G501),IF(G501=0,1,0),0),IF(ISNUMBER(H501),IF(H501=0,1,0),0),IF(ISNUMBER(I501),IF(I501=0,1,0),0),IF(ISNUMBER(J501),IF(J501=0,1,0),0))&gt;0,COUNTIFS(G501:J501,"&lt;0")&gt;0)),AND(P501="DIMENSIONES",U501=1,OR(AND(S501="m",COUNT(H501:J501)&lt;&gt;1),AND(S501="m²",COUNT(H501:J501)&lt;&gt;2,Y501=0),AND(S501="m³",COUNT(H501:J501)&lt;&gt;3),AND(S501="ud",COUNT(H501:J501)&gt;0))),AND(P501="DIRECTA",OR(S501="m",S501="m²",S501="m³"))),1,0))</f>
        <v>0</v>
      </c>
      <c r="AB501" s="0">
        <f>IF(LEN(TRIM(E501&amp;""))&gt;0,E501,IF(R501&gt;0,INDEX($E$13:$E$512,R501),""))</f>
      </c>
      <c r="AC501" s="0">
        <f>UPPER(SUBSTITUTE(SUBSTITUTE(SUBSTITUTE(SUBSTITUTE(SUBSTITUTE(TRIM(AB501),"²","2"),"³","3"),"^",""),".","")," ",""))</f>
      </c>
    </row>
    <row r="502" ht="35" customHeight="1">
      <c r="B502" s="35"/>
      <c r="C502" s="35"/>
      <c r="D502" s="37"/>
      <c r="E502" s="35"/>
      <c r="F502" s="38"/>
      <c r="G502" s="38"/>
      <c r="H502" s="38"/>
      <c r="I502" s="38"/>
      <c r="J502" s="38"/>
      <c r="K502" s="35"/>
      <c r="L502" s="35"/>
      <c r="M502" s="39">
        <f>IF(U502&lt;&gt;1,"",IF(P502="DIRECTA",G502,IF(ISNUMBER(G502),G502,1)*IF(ISNUMBER(H502),H502,1)*IF(ISNUMBER(I502),I502,1)*IF(ISNUMBER(J502),J502,1)))</f>
      </c>
      <c r="N502" s="30">
        <f>IF(COUNTA(B502:L502)=0,"",IF(X502=0,IF(P502="CABECERA","VERDE · Fila descriptiva; la suma usa las líneas del ID","VERDE · Datos numéricos interpretables"),IF(X502=2,"ROJO · ","ÁMBAR · ")&amp;IF(NOT(IF(ISNUMBER($E$6),AND($E$6&gt;=0,$E$6&lt;=6,$E$6=INT($E$6)),FALSE)),"Indicamos entre 0 y 6 decimales en E6. ","")&amp;IF(O502=0,"Falta un ID numérico. ","")&amp;IF(R502=0,"Faltan capítulo, código, unidad o total numérico del ID. ","")&amp;IF(T502&gt;0,"Los datos o el total del ID se contradicen. ","")&amp;IF(AND(P502&lt;&gt;"DIMENSIONES",P502&lt;&gt;"DIRECTA",P502&lt;&gt;"SIN LÍNEAS",P502&lt;&gt;"CABECERA"),"Tipo de fila no reconocido. ","")&amp;IF(AND(OR(P502="SIN LÍNEAS",P502="CABECERA"),COUNTA(G502:J502)&gt;0),"La fila dice que no mide, pero contiene medidas. ","")&amp;IF(AND(OR(P502="DIRECTA",P502="DIMENSIONES"),U502=0),"Línea incompleta o con medidas no numéricas. ","")&amp;IF(P502="SIN LÍNEAS","No constan medidas de esta fila. ","")&amp;IF(Y502&gt;0,"Parece m³: tres dimensiones bajo m². ","")&amp;IF(AND(AB502&lt;&gt;"",SUMPRODUCT(--('LÉEME'!$B$65:$B$86=AC502))&lt;&gt;1),"Revisamos el significado de la unidad. ","")&amp;IF(Z502&gt;0,"Más precisión que los decimales indicados: cotejamos el original. ","")&amp;IF(AA502&gt;0,"Revisamos dimensiones, cantidad directa, ceros o deducción. ","")))</f>
      </c>
      <c r="O502" s="0" t="n">
        <f>IF(ISNUMBER(K502),IF(AND(K502&gt;0,K502=INT(K502),K502&lt;=999999),K502,0),0)</f>
        <v>0</v>
      </c>
      <c r="P502" s="0">
        <f>IF(COUNTA(B502:L502)=0,"",IF(L502="",IF(COUNTA(G502:J502)&gt;0,"DIMENSIONES","SIN LÍNEAS"),UPPER(TRIM(L502))))</f>
      </c>
      <c r="Q502" s="0">
        <f>IF(AND(O502&gt;0,LEN(TRIM(B502&amp;""))&gt;0,LEN(TRIM(C502&amp;""))&gt;0,LEN(TRIM(E502&amp;""))&gt;0,ISNUMBER(F502)),O502,"")</f>
      </c>
      <c r="R502" s="0" t="n">
        <f>IF(O502=0,0,IF(COUNTIFS($Q$13:$Q$512,O502)&gt;0,MATCH(O502,$Q$13:$Q$512,0),0))</f>
        <v>0</v>
      </c>
      <c r="S502" s="0">
        <f>IF(AB502="","",IF(SUMPRODUCT(--('LÉEME'!$B$65:$B$86=AC502))=1,INDEX('LÉEME'!$C$65:$C$86,MATCH(AC502,'LÉEME'!$B$65:$B$86,0)),UPPER(TRIM(AB502))))</f>
      </c>
      <c r="T502" s="0" t="n">
        <f>IF(R502=0,0,IF(OR(AND(LEN(TRIM(B502&amp;""))&gt;0,UPPER(TRIM(B502&amp;""))&lt;&gt;UPPER(TRIM(INDEX($B$13:$B$512,R502)&amp;""))),AND(LEN(TRIM(C502&amp;""))&gt;0,UPPER(TRIM(C502&amp;""))&lt;&gt;UPPER(TRIM(INDEX($C$13:$C$512,R502)&amp;""))),AND(LEN(TRIM(E502&amp;""))&gt;0,S502&lt;&gt;INDEX($S$13:$S$512,R502)),AND(F502&lt;&gt;"",NOT(ISNUMBER(F502)))),1,IF(ISNUMBER(F502),IF(ABS(F502-INDEX($F$13:$F$512,R502))&gt;0.00000001,1,0),0)))</f>
        <v>0</v>
      </c>
      <c r="U502" s="0" t="n">
        <f>IF(P502="DIRECTA",IF(AND(ISNUMBER(G502),COUNTA(H502:J502)=0),1,0),IF(P502="DIMENSIONES",IF(AND(COUNT(G502:J502)&gt;0,COUNTA(G502:J502)=COUNT(G502:J502)),1,0),0))</f>
        <v>0</v>
      </c>
      <c r="V502" s="0" t="n">
        <f>IF(O502=0,0,IF(COUNTIFS($O$13:O502,O502)=1,1,0))</f>
        <v>0</v>
      </c>
      <c r="W502" s="0">
        <f>IF(V502=1,COUNTIFS($V$13:V502,1),"")</f>
      </c>
      <c r="X502" s="0">
        <f>IF(COUNTA(B502:L502)=0,"",IF(OR(NOT(IF(ISNUMBER($E$6),AND($E$6&gt;=0,$E$6&lt;=6,$E$6=INT($E$6)),FALSE)),O502=0,R502=0,T502&gt;0,AND(P502&lt;&gt;"DIMENSIONES",P502&lt;&gt;"DIRECTA",P502&lt;&gt;"SIN LÍNEAS",P502&lt;&gt;"CABECERA"),AND(OR(P502="DIRECTA",P502="DIMENSIONES"),U502=0),AND(OR(P502="SIN LÍNEAS",P502="CABECERA"),COUNTA(G502:J502)&gt;0)),2,IF(OR(P502="SIN LÍNEAS",Y502&gt;0,Z502&gt;0,AA502&gt;0,SUMPRODUCT(--('LÉEME'!$B$65:$B$86=AC502))&lt;&gt;1),1,0)))</f>
      </c>
      <c r="Y502" s="0" t="n">
        <f>IF(AND(P502="DIMENSIONES",S502="m²",COUNT(H502:J502)=3),1,0)</f>
        <v>0</v>
      </c>
      <c r="Z502" s="0" t="n">
        <f>IF(IF(ISNUMBER($E$6),AND($E$6&gt;=0,$E$6&lt;=6,$E$6=INT($E$6)),FALSE),IF(SUM(IF(ISNUMBER(F502),IF(ABS(F502-ROUND(F502,$E$6))&gt;0.00000001,1,0),0),IF(ISNUMBER(G502),IF(ABS(G502-ROUND(G502,$E$6))&gt;0.00000001,1,0),0),IF(ISNUMBER(H502),IF(ABS(H502-ROUND(H502,$E$6))&gt;0.00000001,1,0),0),IF(ISNUMBER(I502),IF(ABS(I502-ROUND(I502,$E$6))&gt;0.00000001,1,0),0),IF(ISNUMBER(J502),IF(ABS(J502-ROUND(J502,$E$6))&gt;0.00000001,1,0),0),IF(ISNUMBER(M502),IF(ABS(M502-ROUND(M502,$E$6))&gt;0.00000001,1,0),0))&gt;0,1,0),0)</f>
        <v>0</v>
      </c>
      <c r="AA502" s="0" t="n">
        <f>IF(COUNTA(B502:L502)=0,0,IF(OR(AND(ISNUMBER(F502),F502&lt;0),AND(U502=1,OR(SUM(IF(ISNUMBER(G502),IF(G502=0,1,0),0),IF(ISNUMBER(H502),IF(H502=0,1,0),0),IF(ISNUMBER(I502),IF(I502=0,1,0),0),IF(ISNUMBER(J502),IF(J502=0,1,0),0))&gt;0,COUNTIFS(G502:J502,"&lt;0")&gt;0)),AND(P502="DIMENSIONES",U502=1,OR(AND(S502="m",COUNT(H502:J502)&lt;&gt;1),AND(S502="m²",COUNT(H502:J502)&lt;&gt;2,Y502=0),AND(S502="m³",COUNT(H502:J502)&lt;&gt;3),AND(S502="ud",COUNT(H502:J502)&gt;0))),AND(P502="DIRECTA",OR(S502="m",S502="m²",S502="m³"))),1,0))</f>
        <v>0</v>
      </c>
      <c r="AB502" s="0">
        <f>IF(LEN(TRIM(E502&amp;""))&gt;0,E502,IF(R502&gt;0,INDEX($E$13:$E$512,R502),""))</f>
      </c>
      <c r="AC502" s="0">
        <f>UPPER(SUBSTITUTE(SUBSTITUTE(SUBSTITUTE(SUBSTITUTE(SUBSTITUTE(TRIM(AB502),"²","2"),"³","3"),"^",""),".","")," ",""))</f>
      </c>
    </row>
    <row r="503" ht="35" customHeight="1">
      <c r="B503" s="35"/>
      <c r="C503" s="35"/>
      <c r="D503" s="37"/>
      <c r="E503" s="35"/>
      <c r="F503" s="38"/>
      <c r="G503" s="38"/>
      <c r="H503" s="38"/>
      <c r="I503" s="38"/>
      <c r="J503" s="38"/>
      <c r="K503" s="35"/>
      <c r="L503" s="35"/>
      <c r="M503" s="39">
        <f>IF(U503&lt;&gt;1,"",IF(P503="DIRECTA",G503,IF(ISNUMBER(G503),G503,1)*IF(ISNUMBER(H503),H503,1)*IF(ISNUMBER(I503),I503,1)*IF(ISNUMBER(J503),J503,1)))</f>
      </c>
      <c r="N503" s="30">
        <f>IF(COUNTA(B503:L503)=0,"",IF(X503=0,IF(P503="CABECERA","VERDE · Fila descriptiva; la suma usa las líneas del ID","VERDE · Datos numéricos interpretables"),IF(X503=2,"ROJO · ","ÁMBAR · ")&amp;IF(NOT(IF(ISNUMBER($E$6),AND($E$6&gt;=0,$E$6&lt;=6,$E$6=INT($E$6)),FALSE)),"Indicamos entre 0 y 6 decimales en E6. ","")&amp;IF(O503=0,"Falta un ID numérico. ","")&amp;IF(R503=0,"Faltan capítulo, código, unidad o total numérico del ID. ","")&amp;IF(T503&gt;0,"Los datos o el total del ID se contradicen. ","")&amp;IF(AND(P503&lt;&gt;"DIMENSIONES",P503&lt;&gt;"DIRECTA",P503&lt;&gt;"SIN LÍNEAS",P503&lt;&gt;"CABECERA"),"Tipo de fila no reconocido. ","")&amp;IF(AND(OR(P503="SIN LÍNEAS",P503="CABECERA"),COUNTA(G503:J503)&gt;0),"La fila dice que no mide, pero contiene medidas. ","")&amp;IF(AND(OR(P503="DIRECTA",P503="DIMENSIONES"),U503=0),"Línea incompleta o con medidas no numéricas. ","")&amp;IF(P503="SIN LÍNEAS","No constan medidas de esta fila. ","")&amp;IF(Y503&gt;0,"Parece m³: tres dimensiones bajo m². ","")&amp;IF(AND(AB503&lt;&gt;"",SUMPRODUCT(--('LÉEME'!$B$65:$B$86=AC503))&lt;&gt;1),"Revisamos el significado de la unidad. ","")&amp;IF(Z503&gt;0,"Más precisión que los decimales indicados: cotejamos el original. ","")&amp;IF(AA503&gt;0,"Revisamos dimensiones, cantidad directa, ceros o deducción. ","")))</f>
      </c>
      <c r="O503" s="0" t="n">
        <f>IF(ISNUMBER(K503),IF(AND(K503&gt;0,K503=INT(K503),K503&lt;=999999),K503,0),0)</f>
        <v>0</v>
      </c>
      <c r="P503" s="0">
        <f>IF(COUNTA(B503:L503)=0,"",IF(L503="",IF(COUNTA(G503:J503)&gt;0,"DIMENSIONES","SIN LÍNEAS"),UPPER(TRIM(L503))))</f>
      </c>
      <c r="Q503" s="0">
        <f>IF(AND(O503&gt;0,LEN(TRIM(B503&amp;""))&gt;0,LEN(TRIM(C503&amp;""))&gt;0,LEN(TRIM(E503&amp;""))&gt;0,ISNUMBER(F503)),O503,"")</f>
      </c>
      <c r="R503" s="0" t="n">
        <f>IF(O503=0,0,IF(COUNTIFS($Q$13:$Q$512,O503)&gt;0,MATCH(O503,$Q$13:$Q$512,0),0))</f>
        <v>0</v>
      </c>
      <c r="S503" s="0">
        <f>IF(AB503="","",IF(SUMPRODUCT(--('LÉEME'!$B$65:$B$86=AC503))=1,INDEX('LÉEME'!$C$65:$C$86,MATCH(AC503,'LÉEME'!$B$65:$B$86,0)),UPPER(TRIM(AB503))))</f>
      </c>
      <c r="T503" s="0" t="n">
        <f>IF(R503=0,0,IF(OR(AND(LEN(TRIM(B503&amp;""))&gt;0,UPPER(TRIM(B503&amp;""))&lt;&gt;UPPER(TRIM(INDEX($B$13:$B$512,R503)&amp;""))),AND(LEN(TRIM(C503&amp;""))&gt;0,UPPER(TRIM(C503&amp;""))&lt;&gt;UPPER(TRIM(INDEX($C$13:$C$512,R503)&amp;""))),AND(LEN(TRIM(E503&amp;""))&gt;0,S503&lt;&gt;INDEX($S$13:$S$512,R503)),AND(F503&lt;&gt;"",NOT(ISNUMBER(F503)))),1,IF(ISNUMBER(F503),IF(ABS(F503-INDEX($F$13:$F$512,R503))&gt;0.00000001,1,0),0)))</f>
        <v>0</v>
      </c>
      <c r="U503" s="0" t="n">
        <f>IF(P503="DIRECTA",IF(AND(ISNUMBER(G503),COUNTA(H503:J503)=0),1,0),IF(P503="DIMENSIONES",IF(AND(COUNT(G503:J503)&gt;0,COUNTA(G503:J503)=COUNT(G503:J503)),1,0),0))</f>
        <v>0</v>
      </c>
      <c r="V503" s="0" t="n">
        <f>IF(O503=0,0,IF(COUNTIFS($O$13:O503,O503)=1,1,0))</f>
        <v>0</v>
      </c>
      <c r="W503" s="0">
        <f>IF(V503=1,COUNTIFS($V$13:V503,1),"")</f>
      </c>
      <c r="X503" s="0">
        <f>IF(COUNTA(B503:L503)=0,"",IF(OR(NOT(IF(ISNUMBER($E$6),AND($E$6&gt;=0,$E$6&lt;=6,$E$6=INT($E$6)),FALSE)),O503=0,R503=0,T503&gt;0,AND(P503&lt;&gt;"DIMENSIONES",P503&lt;&gt;"DIRECTA",P503&lt;&gt;"SIN LÍNEAS",P503&lt;&gt;"CABECERA"),AND(OR(P503="DIRECTA",P503="DIMENSIONES"),U503=0),AND(OR(P503="SIN LÍNEAS",P503="CABECERA"),COUNTA(G503:J503)&gt;0)),2,IF(OR(P503="SIN LÍNEAS",Y503&gt;0,Z503&gt;0,AA503&gt;0,SUMPRODUCT(--('LÉEME'!$B$65:$B$86=AC503))&lt;&gt;1),1,0)))</f>
      </c>
      <c r="Y503" s="0" t="n">
        <f>IF(AND(P503="DIMENSIONES",S503="m²",COUNT(H503:J503)=3),1,0)</f>
        <v>0</v>
      </c>
      <c r="Z503" s="0" t="n">
        <f>IF(IF(ISNUMBER($E$6),AND($E$6&gt;=0,$E$6&lt;=6,$E$6=INT($E$6)),FALSE),IF(SUM(IF(ISNUMBER(F503),IF(ABS(F503-ROUND(F503,$E$6))&gt;0.00000001,1,0),0),IF(ISNUMBER(G503),IF(ABS(G503-ROUND(G503,$E$6))&gt;0.00000001,1,0),0),IF(ISNUMBER(H503),IF(ABS(H503-ROUND(H503,$E$6))&gt;0.00000001,1,0),0),IF(ISNUMBER(I503),IF(ABS(I503-ROUND(I503,$E$6))&gt;0.00000001,1,0),0),IF(ISNUMBER(J503),IF(ABS(J503-ROUND(J503,$E$6))&gt;0.00000001,1,0),0),IF(ISNUMBER(M503),IF(ABS(M503-ROUND(M503,$E$6))&gt;0.00000001,1,0),0))&gt;0,1,0),0)</f>
        <v>0</v>
      </c>
      <c r="AA503" s="0" t="n">
        <f>IF(COUNTA(B503:L503)=0,0,IF(OR(AND(ISNUMBER(F503),F503&lt;0),AND(U503=1,OR(SUM(IF(ISNUMBER(G503),IF(G503=0,1,0),0),IF(ISNUMBER(H503),IF(H503=0,1,0),0),IF(ISNUMBER(I503),IF(I503=0,1,0),0),IF(ISNUMBER(J503),IF(J503=0,1,0),0))&gt;0,COUNTIFS(G503:J503,"&lt;0")&gt;0)),AND(P503="DIMENSIONES",U503=1,OR(AND(S503="m",COUNT(H503:J503)&lt;&gt;1),AND(S503="m²",COUNT(H503:J503)&lt;&gt;2,Y503=0),AND(S503="m³",COUNT(H503:J503)&lt;&gt;3),AND(S503="ud",COUNT(H503:J503)&gt;0))),AND(P503="DIRECTA",OR(S503="m",S503="m²",S503="m³"))),1,0))</f>
        <v>0</v>
      </c>
      <c r="AB503" s="0">
        <f>IF(LEN(TRIM(E503&amp;""))&gt;0,E503,IF(R503&gt;0,INDEX($E$13:$E$512,R503),""))</f>
      </c>
      <c r="AC503" s="0">
        <f>UPPER(SUBSTITUTE(SUBSTITUTE(SUBSTITUTE(SUBSTITUTE(SUBSTITUTE(TRIM(AB503),"²","2"),"³","3"),"^",""),".","")," ",""))</f>
      </c>
    </row>
    <row r="504" ht="35" customHeight="1">
      <c r="B504" s="35"/>
      <c r="C504" s="35"/>
      <c r="D504" s="37"/>
      <c r="E504" s="35"/>
      <c r="F504" s="38"/>
      <c r="G504" s="38"/>
      <c r="H504" s="38"/>
      <c r="I504" s="38"/>
      <c r="J504" s="38"/>
      <c r="K504" s="35"/>
      <c r="L504" s="35"/>
      <c r="M504" s="39">
        <f>IF(U504&lt;&gt;1,"",IF(P504="DIRECTA",G504,IF(ISNUMBER(G504),G504,1)*IF(ISNUMBER(H504),H504,1)*IF(ISNUMBER(I504),I504,1)*IF(ISNUMBER(J504),J504,1)))</f>
      </c>
      <c r="N504" s="30">
        <f>IF(COUNTA(B504:L504)=0,"",IF(X504=0,IF(P504="CABECERA","VERDE · Fila descriptiva; la suma usa las líneas del ID","VERDE · Datos numéricos interpretables"),IF(X504=2,"ROJO · ","ÁMBAR · ")&amp;IF(NOT(IF(ISNUMBER($E$6),AND($E$6&gt;=0,$E$6&lt;=6,$E$6=INT($E$6)),FALSE)),"Indicamos entre 0 y 6 decimales en E6. ","")&amp;IF(O504=0,"Falta un ID numérico. ","")&amp;IF(R504=0,"Faltan capítulo, código, unidad o total numérico del ID. ","")&amp;IF(T504&gt;0,"Los datos o el total del ID se contradicen. ","")&amp;IF(AND(P504&lt;&gt;"DIMENSIONES",P504&lt;&gt;"DIRECTA",P504&lt;&gt;"SIN LÍNEAS",P504&lt;&gt;"CABECERA"),"Tipo de fila no reconocido. ","")&amp;IF(AND(OR(P504="SIN LÍNEAS",P504="CABECERA"),COUNTA(G504:J504)&gt;0),"La fila dice que no mide, pero contiene medidas. ","")&amp;IF(AND(OR(P504="DIRECTA",P504="DIMENSIONES"),U504=0),"Línea incompleta o con medidas no numéricas. ","")&amp;IF(P504="SIN LÍNEAS","No constan medidas de esta fila. ","")&amp;IF(Y504&gt;0,"Parece m³: tres dimensiones bajo m². ","")&amp;IF(AND(AB504&lt;&gt;"",SUMPRODUCT(--('LÉEME'!$B$65:$B$86=AC504))&lt;&gt;1),"Revisamos el significado de la unidad. ","")&amp;IF(Z504&gt;0,"Más precisión que los decimales indicados: cotejamos el original. ","")&amp;IF(AA504&gt;0,"Revisamos dimensiones, cantidad directa, ceros o deducción. ","")))</f>
      </c>
      <c r="O504" s="0" t="n">
        <f>IF(ISNUMBER(K504),IF(AND(K504&gt;0,K504=INT(K504),K504&lt;=999999),K504,0),0)</f>
        <v>0</v>
      </c>
      <c r="P504" s="0">
        <f>IF(COUNTA(B504:L504)=0,"",IF(L504="",IF(COUNTA(G504:J504)&gt;0,"DIMENSIONES","SIN LÍNEAS"),UPPER(TRIM(L504))))</f>
      </c>
      <c r="Q504" s="0">
        <f>IF(AND(O504&gt;0,LEN(TRIM(B504&amp;""))&gt;0,LEN(TRIM(C504&amp;""))&gt;0,LEN(TRIM(E504&amp;""))&gt;0,ISNUMBER(F504)),O504,"")</f>
      </c>
      <c r="R504" s="0" t="n">
        <f>IF(O504=0,0,IF(COUNTIFS($Q$13:$Q$512,O504)&gt;0,MATCH(O504,$Q$13:$Q$512,0),0))</f>
        <v>0</v>
      </c>
      <c r="S504" s="0">
        <f>IF(AB504="","",IF(SUMPRODUCT(--('LÉEME'!$B$65:$B$86=AC504))=1,INDEX('LÉEME'!$C$65:$C$86,MATCH(AC504,'LÉEME'!$B$65:$B$86,0)),UPPER(TRIM(AB504))))</f>
      </c>
      <c r="T504" s="0" t="n">
        <f>IF(R504=0,0,IF(OR(AND(LEN(TRIM(B504&amp;""))&gt;0,UPPER(TRIM(B504&amp;""))&lt;&gt;UPPER(TRIM(INDEX($B$13:$B$512,R504)&amp;""))),AND(LEN(TRIM(C504&amp;""))&gt;0,UPPER(TRIM(C504&amp;""))&lt;&gt;UPPER(TRIM(INDEX($C$13:$C$512,R504)&amp;""))),AND(LEN(TRIM(E504&amp;""))&gt;0,S504&lt;&gt;INDEX($S$13:$S$512,R504)),AND(F504&lt;&gt;"",NOT(ISNUMBER(F504)))),1,IF(ISNUMBER(F504),IF(ABS(F504-INDEX($F$13:$F$512,R504))&gt;0.00000001,1,0),0)))</f>
        <v>0</v>
      </c>
      <c r="U504" s="0" t="n">
        <f>IF(P504="DIRECTA",IF(AND(ISNUMBER(G504),COUNTA(H504:J504)=0),1,0),IF(P504="DIMENSIONES",IF(AND(COUNT(G504:J504)&gt;0,COUNTA(G504:J504)=COUNT(G504:J504)),1,0),0))</f>
        <v>0</v>
      </c>
      <c r="V504" s="0" t="n">
        <f>IF(O504=0,0,IF(COUNTIFS($O$13:O504,O504)=1,1,0))</f>
        <v>0</v>
      </c>
      <c r="W504" s="0">
        <f>IF(V504=1,COUNTIFS($V$13:V504,1),"")</f>
      </c>
      <c r="X504" s="0">
        <f>IF(COUNTA(B504:L504)=0,"",IF(OR(NOT(IF(ISNUMBER($E$6),AND($E$6&gt;=0,$E$6&lt;=6,$E$6=INT($E$6)),FALSE)),O504=0,R504=0,T504&gt;0,AND(P504&lt;&gt;"DIMENSIONES",P504&lt;&gt;"DIRECTA",P504&lt;&gt;"SIN LÍNEAS",P504&lt;&gt;"CABECERA"),AND(OR(P504="DIRECTA",P504="DIMENSIONES"),U504=0),AND(OR(P504="SIN LÍNEAS",P504="CABECERA"),COUNTA(G504:J504)&gt;0)),2,IF(OR(P504="SIN LÍNEAS",Y504&gt;0,Z504&gt;0,AA504&gt;0,SUMPRODUCT(--('LÉEME'!$B$65:$B$86=AC504))&lt;&gt;1),1,0)))</f>
      </c>
      <c r="Y504" s="0" t="n">
        <f>IF(AND(P504="DIMENSIONES",S504="m²",COUNT(H504:J504)=3),1,0)</f>
        <v>0</v>
      </c>
      <c r="Z504" s="0" t="n">
        <f>IF(IF(ISNUMBER($E$6),AND($E$6&gt;=0,$E$6&lt;=6,$E$6=INT($E$6)),FALSE),IF(SUM(IF(ISNUMBER(F504),IF(ABS(F504-ROUND(F504,$E$6))&gt;0.00000001,1,0),0),IF(ISNUMBER(G504),IF(ABS(G504-ROUND(G504,$E$6))&gt;0.00000001,1,0),0),IF(ISNUMBER(H504),IF(ABS(H504-ROUND(H504,$E$6))&gt;0.00000001,1,0),0),IF(ISNUMBER(I504),IF(ABS(I504-ROUND(I504,$E$6))&gt;0.00000001,1,0),0),IF(ISNUMBER(J504),IF(ABS(J504-ROUND(J504,$E$6))&gt;0.00000001,1,0),0),IF(ISNUMBER(M504),IF(ABS(M504-ROUND(M504,$E$6))&gt;0.00000001,1,0),0))&gt;0,1,0),0)</f>
        <v>0</v>
      </c>
      <c r="AA504" s="0" t="n">
        <f>IF(COUNTA(B504:L504)=0,0,IF(OR(AND(ISNUMBER(F504),F504&lt;0),AND(U504=1,OR(SUM(IF(ISNUMBER(G504),IF(G504=0,1,0),0),IF(ISNUMBER(H504),IF(H504=0,1,0),0),IF(ISNUMBER(I504),IF(I504=0,1,0),0),IF(ISNUMBER(J504),IF(J504=0,1,0),0))&gt;0,COUNTIFS(G504:J504,"&lt;0")&gt;0)),AND(P504="DIMENSIONES",U504=1,OR(AND(S504="m",COUNT(H504:J504)&lt;&gt;1),AND(S504="m²",COUNT(H504:J504)&lt;&gt;2,Y504=0),AND(S504="m³",COUNT(H504:J504)&lt;&gt;3),AND(S504="ud",COUNT(H504:J504)&gt;0))),AND(P504="DIRECTA",OR(S504="m",S504="m²",S504="m³"))),1,0))</f>
        <v>0</v>
      </c>
      <c r="AB504" s="0">
        <f>IF(LEN(TRIM(E504&amp;""))&gt;0,E504,IF(R504&gt;0,INDEX($E$13:$E$512,R504),""))</f>
      </c>
      <c r="AC504" s="0">
        <f>UPPER(SUBSTITUTE(SUBSTITUTE(SUBSTITUTE(SUBSTITUTE(SUBSTITUTE(TRIM(AB504),"²","2"),"³","3"),"^",""),".","")," ",""))</f>
      </c>
    </row>
    <row r="505" ht="35" customHeight="1">
      <c r="B505" s="35"/>
      <c r="C505" s="35"/>
      <c r="D505" s="37"/>
      <c r="E505" s="35"/>
      <c r="F505" s="38"/>
      <c r="G505" s="38"/>
      <c r="H505" s="38"/>
      <c r="I505" s="38"/>
      <c r="J505" s="38"/>
      <c r="K505" s="35"/>
      <c r="L505" s="35"/>
      <c r="M505" s="39">
        <f>IF(U505&lt;&gt;1,"",IF(P505="DIRECTA",G505,IF(ISNUMBER(G505),G505,1)*IF(ISNUMBER(H505),H505,1)*IF(ISNUMBER(I505),I505,1)*IF(ISNUMBER(J505),J505,1)))</f>
      </c>
      <c r="N505" s="30">
        <f>IF(COUNTA(B505:L505)=0,"",IF(X505=0,IF(P505="CABECERA","VERDE · Fila descriptiva; la suma usa las líneas del ID","VERDE · Datos numéricos interpretables"),IF(X505=2,"ROJO · ","ÁMBAR · ")&amp;IF(NOT(IF(ISNUMBER($E$6),AND($E$6&gt;=0,$E$6&lt;=6,$E$6=INT($E$6)),FALSE)),"Indicamos entre 0 y 6 decimales en E6. ","")&amp;IF(O505=0,"Falta un ID numérico. ","")&amp;IF(R505=0,"Faltan capítulo, código, unidad o total numérico del ID. ","")&amp;IF(T505&gt;0,"Los datos o el total del ID se contradicen. ","")&amp;IF(AND(P505&lt;&gt;"DIMENSIONES",P505&lt;&gt;"DIRECTA",P505&lt;&gt;"SIN LÍNEAS",P505&lt;&gt;"CABECERA"),"Tipo de fila no reconocido. ","")&amp;IF(AND(OR(P505="SIN LÍNEAS",P505="CABECERA"),COUNTA(G505:J505)&gt;0),"La fila dice que no mide, pero contiene medidas. ","")&amp;IF(AND(OR(P505="DIRECTA",P505="DIMENSIONES"),U505=0),"Línea incompleta o con medidas no numéricas. ","")&amp;IF(P505="SIN LÍNEAS","No constan medidas de esta fila. ","")&amp;IF(Y505&gt;0,"Parece m³: tres dimensiones bajo m². ","")&amp;IF(AND(AB505&lt;&gt;"",SUMPRODUCT(--('LÉEME'!$B$65:$B$86=AC505))&lt;&gt;1),"Revisamos el significado de la unidad. ","")&amp;IF(Z505&gt;0,"Más precisión que los decimales indicados: cotejamos el original. ","")&amp;IF(AA505&gt;0,"Revisamos dimensiones, cantidad directa, ceros o deducción. ","")))</f>
      </c>
      <c r="O505" s="0" t="n">
        <f>IF(ISNUMBER(K505),IF(AND(K505&gt;0,K505=INT(K505),K505&lt;=999999),K505,0),0)</f>
        <v>0</v>
      </c>
      <c r="P505" s="0">
        <f>IF(COUNTA(B505:L505)=0,"",IF(L505="",IF(COUNTA(G505:J505)&gt;0,"DIMENSIONES","SIN LÍNEAS"),UPPER(TRIM(L505))))</f>
      </c>
      <c r="Q505" s="0">
        <f>IF(AND(O505&gt;0,LEN(TRIM(B505&amp;""))&gt;0,LEN(TRIM(C505&amp;""))&gt;0,LEN(TRIM(E505&amp;""))&gt;0,ISNUMBER(F505)),O505,"")</f>
      </c>
      <c r="R505" s="0" t="n">
        <f>IF(O505=0,0,IF(COUNTIFS($Q$13:$Q$512,O505)&gt;0,MATCH(O505,$Q$13:$Q$512,0),0))</f>
        <v>0</v>
      </c>
      <c r="S505" s="0">
        <f>IF(AB505="","",IF(SUMPRODUCT(--('LÉEME'!$B$65:$B$86=AC505))=1,INDEX('LÉEME'!$C$65:$C$86,MATCH(AC505,'LÉEME'!$B$65:$B$86,0)),UPPER(TRIM(AB505))))</f>
      </c>
      <c r="T505" s="0" t="n">
        <f>IF(R505=0,0,IF(OR(AND(LEN(TRIM(B505&amp;""))&gt;0,UPPER(TRIM(B505&amp;""))&lt;&gt;UPPER(TRIM(INDEX($B$13:$B$512,R505)&amp;""))),AND(LEN(TRIM(C505&amp;""))&gt;0,UPPER(TRIM(C505&amp;""))&lt;&gt;UPPER(TRIM(INDEX($C$13:$C$512,R505)&amp;""))),AND(LEN(TRIM(E505&amp;""))&gt;0,S505&lt;&gt;INDEX($S$13:$S$512,R505)),AND(F505&lt;&gt;"",NOT(ISNUMBER(F505)))),1,IF(ISNUMBER(F505),IF(ABS(F505-INDEX($F$13:$F$512,R505))&gt;0.00000001,1,0),0)))</f>
        <v>0</v>
      </c>
      <c r="U505" s="0" t="n">
        <f>IF(P505="DIRECTA",IF(AND(ISNUMBER(G505),COUNTA(H505:J505)=0),1,0),IF(P505="DIMENSIONES",IF(AND(COUNT(G505:J505)&gt;0,COUNTA(G505:J505)=COUNT(G505:J505)),1,0),0))</f>
        <v>0</v>
      </c>
      <c r="V505" s="0" t="n">
        <f>IF(O505=0,0,IF(COUNTIFS($O$13:O505,O505)=1,1,0))</f>
        <v>0</v>
      </c>
      <c r="W505" s="0">
        <f>IF(V505=1,COUNTIFS($V$13:V505,1),"")</f>
      </c>
      <c r="X505" s="0">
        <f>IF(COUNTA(B505:L505)=0,"",IF(OR(NOT(IF(ISNUMBER($E$6),AND($E$6&gt;=0,$E$6&lt;=6,$E$6=INT($E$6)),FALSE)),O505=0,R505=0,T505&gt;0,AND(P505&lt;&gt;"DIMENSIONES",P505&lt;&gt;"DIRECTA",P505&lt;&gt;"SIN LÍNEAS",P505&lt;&gt;"CABECERA"),AND(OR(P505="DIRECTA",P505="DIMENSIONES"),U505=0),AND(OR(P505="SIN LÍNEAS",P505="CABECERA"),COUNTA(G505:J505)&gt;0)),2,IF(OR(P505="SIN LÍNEAS",Y505&gt;0,Z505&gt;0,AA505&gt;0,SUMPRODUCT(--('LÉEME'!$B$65:$B$86=AC505))&lt;&gt;1),1,0)))</f>
      </c>
      <c r="Y505" s="0" t="n">
        <f>IF(AND(P505="DIMENSIONES",S505="m²",COUNT(H505:J505)=3),1,0)</f>
        <v>0</v>
      </c>
      <c r="Z505" s="0" t="n">
        <f>IF(IF(ISNUMBER($E$6),AND($E$6&gt;=0,$E$6&lt;=6,$E$6=INT($E$6)),FALSE),IF(SUM(IF(ISNUMBER(F505),IF(ABS(F505-ROUND(F505,$E$6))&gt;0.00000001,1,0),0),IF(ISNUMBER(G505),IF(ABS(G505-ROUND(G505,$E$6))&gt;0.00000001,1,0),0),IF(ISNUMBER(H505),IF(ABS(H505-ROUND(H505,$E$6))&gt;0.00000001,1,0),0),IF(ISNUMBER(I505),IF(ABS(I505-ROUND(I505,$E$6))&gt;0.00000001,1,0),0),IF(ISNUMBER(J505),IF(ABS(J505-ROUND(J505,$E$6))&gt;0.00000001,1,0),0),IF(ISNUMBER(M505),IF(ABS(M505-ROUND(M505,$E$6))&gt;0.00000001,1,0),0))&gt;0,1,0),0)</f>
        <v>0</v>
      </c>
      <c r="AA505" s="0" t="n">
        <f>IF(COUNTA(B505:L505)=0,0,IF(OR(AND(ISNUMBER(F505),F505&lt;0),AND(U505=1,OR(SUM(IF(ISNUMBER(G505),IF(G505=0,1,0),0),IF(ISNUMBER(H505),IF(H505=0,1,0),0),IF(ISNUMBER(I505),IF(I505=0,1,0),0),IF(ISNUMBER(J505),IF(J505=0,1,0),0))&gt;0,COUNTIFS(G505:J505,"&lt;0")&gt;0)),AND(P505="DIMENSIONES",U505=1,OR(AND(S505="m",COUNT(H505:J505)&lt;&gt;1),AND(S505="m²",COUNT(H505:J505)&lt;&gt;2,Y505=0),AND(S505="m³",COUNT(H505:J505)&lt;&gt;3),AND(S505="ud",COUNT(H505:J505)&gt;0))),AND(P505="DIRECTA",OR(S505="m",S505="m²",S505="m³"))),1,0))</f>
        <v>0</v>
      </c>
      <c r="AB505" s="0">
        <f>IF(LEN(TRIM(E505&amp;""))&gt;0,E505,IF(R505&gt;0,INDEX($E$13:$E$512,R505),""))</f>
      </c>
      <c r="AC505" s="0">
        <f>UPPER(SUBSTITUTE(SUBSTITUTE(SUBSTITUTE(SUBSTITUTE(SUBSTITUTE(TRIM(AB505),"²","2"),"³","3"),"^",""),".","")," ",""))</f>
      </c>
    </row>
    <row r="506" ht="35" customHeight="1">
      <c r="B506" s="35"/>
      <c r="C506" s="35"/>
      <c r="D506" s="37"/>
      <c r="E506" s="35"/>
      <c r="F506" s="38"/>
      <c r="G506" s="38"/>
      <c r="H506" s="38"/>
      <c r="I506" s="38"/>
      <c r="J506" s="38"/>
      <c r="K506" s="35"/>
      <c r="L506" s="35"/>
      <c r="M506" s="39">
        <f>IF(U506&lt;&gt;1,"",IF(P506="DIRECTA",G506,IF(ISNUMBER(G506),G506,1)*IF(ISNUMBER(H506),H506,1)*IF(ISNUMBER(I506),I506,1)*IF(ISNUMBER(J506),J506,1)))</f>
      </c>
      <c r="N506" s="30">
        <f>IF(COUNTA(B506:L506)=0,"",IF(X506=0,IF(P506="CABECERA","VERDE · Fila descriptiva; la suma usa las líneas del ID","VERDE · Datos numéricos interpretables"),IF(X506=2,"ROJO · ","ÁMBAR · ")&amp;IF(NOT(IF(ISNUMBER($E$6),AND($E$6&gt;=0,$E$6&lt;=6,$E$6=INT($E$6)),FALSE)),"Indicamos entre 0 y 6 decimales en E6. ","")&amp;IF(O506=0,"Falta un ID numérico. ","")&amp;IF(R506=0,"Faltan capítulo, código, unidad o total numérico del ID. ","")&amp;IF(T506&gt;0,"Los datos o el total del ID se contradicen. ","")&amp;IF(AND(P506&lt;&gt;"DIMENSIONES",P506&lt;&gt;"DIRECTA",P506&lt;&gt;"SIN LÍNEAS",P506&lt;&gt;"CABECERA"),"Tipo de fila no reconocido. ","")&amp;IF(AND(OR(P506="SIN LÍNEAS",P506="CABECERA"),COUNTA(G506:J506)&gt;0),"La fila dice que no mide, pero contiene medidas. ","")&amp;IF(AND(OR(P506="DIRECTA",P506="DIMENSIONES"),U506=0),"Línea incompleta o con medidas no numéricas. ","")&amp;IF(P506="SIN LÍNEAS","No constan medidas de esta fila. ","")&amp;IF(Y506&gt;0,"Parece m³: tres dimensiones bajo m². ","")&amp;IF(AND(AB506&lt;&gt;"",SUMPRODUCT(--('LÉEME'!$B$65:$B$86=AC506))&lt;&gt;1),"Revisamos el significado de la unidad. ","")&amp;IF(Z506&gt;0,"Más precisión que los decimales indicados: cotejamos el original. ","")&amp;IF(AA506&gt;0,"Revisamos dimensiones, cantidad directa, ceros o deducción. ","")))</f>
      </c>
      <c r="O506" s="0" t="n">
        <f>IF(ISNUMBER(K506),IF(AND(K506&gt;0,K506=INT(K506),K506&lt;=999999),K506,0),0)</f>
        <v>0</v>
      </c>
      <c r="P506" s="0">
        <f>IF(COUNTA(B506:L506)=0,"",IF(L506="",IF(COUNTA(G506:J506)&gt;0,"DIMENSIONES","SIN LÍNEAS"),UPPER(TRIM(L506))))</f>
      </c>
      <c r="Q506" s="0">
        <f>IF(AND(O506&gt;0,LEN(TRIM(B506&amp;""))&gt;0,LEN(TRIM(C506&amp;""))&gt;0,LEN(TRIM(E506&amp;""))&gt;0,ISNUMBER(F506)),O506,"")</f>
      </c>
      <c r="R506" s="0" t="n">
        <f>IF(O506=0,0,IF(COUNTIFS($Q$13:$Q$512,O506)&gt;0,MATCH(O506,$Q$13:$Q$512,0),0))</f>
        <v>0</v>
      </c>
      <c r="S506" s="0">
        <f>IF(AB506="","",IF(SUMPRODUCT(--('LÉEME'!$B$65:$B$86=AC506))=1,INDEX('LÉEME'!$C$65:$C$86,MATCH(AC506,'LÉEME'!$B$65:$B$86,0)),UPPER(TRIM(AB506))))</f>
      </c>
      <c r="T506" s="0" t="n">
        <f>IF(R506=0,0,IF(OR(AND(LEN(TRIM(B506&amp;""))&gt;0,UPPER(TRIM(B506&amp;""))&lt;&gt;UPPER(TRIM(INDEX($B$13:$B$512,R506)&amp;""))),AND(LEN(TRIM(C506&amp;""))&gt;0,UPPER(TRIM(C506&amp;""))&lt;&gt;UPPER(TRIM(INDEX($C$13:$C$512,R506)&amp;""))),AND(LEN(TRIM(E506&amp;""))&gt;0,S506&lt;&gt;INDEX($S$13:$S$512,R506)),AND(F506&lt;&gt;"",NOT(ISNUMBER(F506)))),1,IF(ISNUMBER(F506),IF(ABS(F506-INDEX($F$13:$F$512,R506))&gt;0.00000001,1,0),0)))</f>
        <v>0</v>
      </c>
      <c r="U506" s="0" t="n">
        <f>IF(P506="DIRECTA",IF(AND(ISNUMBER(G506),COUNTA(H506:J506)=0),1,0),IF(P506="DIMENSIONES",IF(AND(COUNT(G506:J506)&gt;0,COUNTA(G506:J506)=COUNT(G506:J506)),1,0),0))</f>
        <v>0</v>
      </c>
      <c r="V506" s="0" t="n">
        <f>IF(O506=0,0,IF(COUNTIFS($O$13:O506,O506)=1,1,0))</f>
        <v>0</v>
      </c>
      <c r="W506" s="0">
        <f>IF(V506=1,COUNTIFS($V$13:V506,1),"")</f>
      </c>
      <c r="X506" s="0">
        <f>IF(COUNTA(B506:L506)=0,"",IF(OR(NOT(IF(ISNUMBER($E$6),AND($E$6&gt;=0,$E$6&lt;=6,$E$6=INT($E$6)),FALSE)),O506=0,R506=0,T506&gt;0,AND(P506&lt;&gt;"DIMENSIONES",P506&lt;&gt;"DIRECTA",P506&lt;&gt;"SIN LÍNEAS",P506&lt;&gt;"CABECERA"),AND(OR(P506="DIRECTA",P506="DIMENSIONES"),U506=0),AND(OR(P506="SIN LÍNEAS",P506="CABECERA"),COUNTA(G506:J506)&gt;0)),2,IF(OR(P506="SIN LÍNEAS",Y506&gt;0,Z506&gt;0,AA506&gt;0,SUMPRODUCT(--('LÉEME'!$B$65:$B$86=AC506))&lt;&gt;1),1,0)))</f>
      </c>
      <c r="Y506" s="0" t="n">
        <f>IF(AND(P506="DIMENSIONES",S506="m²",COUNT(H506:J506)=3),1,0)</f>
        <v>0</v>
      </c>
      <c r="Z506" s="0" t="n">
        <f>IF(IF(ISNUMBER($E$6),AND($E$6&gt;=0,$E$6&lt;=6,$E$6=INT($E$6)),FALSE),IF(SUM(IF(ISNUMBER(F506),IF(ABS(F506-ROUND(F506,$E$6))&gt;0.00000001,1,0),0),IF(ISNUMBER(G506),IF(ABS(G506-ROUND(G506,$E$6))&gt;0.00000001,1,0),0),IF(ISNUMBER(H506),IF(ABS(H506-ROUND(H506,$E$6))&gt;0.00000001,1,0),0),IF(ISNUMBER(I506),IF(ABS(I506-ROUND(I506,$E$6))&gt;0.00000001,1,0),0),IF(ISNUMBER(J506),IF(ABS(J506-ROUND(J506,$E$6))&gt;0.00000001,1,0),0),IF(ISNUMBER(M506),IF(ABS(M506-ROUND(M506,$E$6))&gt;0.00000001,1,0),0))&gt;0,1,0),0)</f>
        <v>0</v>
      </c>
      <c r="AA506" s="0" t="n">
        <f>IF(COUNTA(B506:L506)=0,0,IF(OR(AND(ISNUMBER(F506),F506&lt;0),AND(U506=1,OR(SUM(IF(ISNUMBER(G506),IF(G506=0,1,0),0),IF(ISNUMBER(H506),IF(H506=0,1,0),0),IF(ISNUMBER(I506),IF(I506=0,1,0),0),IF(ISNUMBER(J506),IF(J506=0,1,0),0))&gt;0,COUNTIFS(G506:J506,"&lt;0")&gt;0)),AND(P506="DIMENSIONES",U506=1,OR(AND(S506="m",COUNT(H506:J506)&lt;&gt;1),AND(S506="m²",COUNT(H506:J506)&lt;&gt;2,Y506=0),AND(S506="m³",COUNT(H506:J506)&lt;&gt;3),AND(S506="ud",COUNT(H506:J506)&gt;0))),AND(P506="DIRECTA",OR(S506="m",S506="m²",S506="m³"))),1,0))</f>
        <v>0</v>
      </c>
      <c r="AB506" s="0">
        <f>IF(LEN(TRIM(E506&amp;""))&gt;0,E506,IF(R506&gt;0,INDEX($E$13:$E$512,R506),""))</f>
      </c>
      <c r="AC506" s="0">
        <f>UPPER(SUBSTITUTE(SUBSTITUTE(SUBSTITUTE(SUBSTITUTE(SUBSTITUTE(TRIM(AB506),"²","2"),"³","3"),"^",""),".","")," ",""))</f>
      </c>
    </row>
    <row r="507" ht="35" customHeight="1">
      <c r="B507" s="35"/>
      <c r="C507" s="35"/>
      <c r="D507" s="37"/>
      <c r="E507" s="35"/>
      <c r="F507" s="38"/>
      <c r="G507" s="38"/>
      <c r="H507" s="38"/>
      <c r="I507" s="38"/>
      <c r="J507" s="38"/>
      <c r="K507" s="35"/>
      <c r="L507" s="35"/>
      <c r="M507" s="39">
        <f>IF(U507&lt;&gt;1,"",IF(P507="DIRECTA",G507,IF(ISNUMBER(G507),G507,1)*IF(ISNUMBER(H507),H507,1)*IF(ISNUMBER(I507),I507,1)*IF(ISNUMBER(J507),J507,1)))</f>
      </c>
      <c r="N507" s="30">
        <f>IF(COUNTA(B507:L507)=0,"",IF(X507=0,IF(P507="CABECERA","VERDE · Fila descriptiva; la suma usa las líneas del ID","VERDE · Datos numéricos interpretables"),IF(X507=2,"ROJO · ","ÁMBAR · ")&amp;IF(NOT(IF(ISNUMBER($E$6),AND($E$6&gt;=0,$E$6&lt;=6,$E$6=INT($E$6)),FALSE)),"Indicamos entre 0 y 6 decimales en E6. ","")&amp;IF(O507=0,"Falta un ID numérico. ","")&amp;IF(R507=0,"Faltan capítulo, código, unidad o total numérico del ID. ","")&amp;IF(T507&gt;0,"Los datos o el total del ID se contradicen. ","")&amp;IF(AND(P507&lt;&gt;"DIMENSIONES",P507&lt;&gt;"DIRECTA",P507&lt;&gt;"SIN LÍNEAS",P507&lt;&gt;"CABECERA"),"Tipo de fila no reconocido. ","")&amp;IF(AND(OR(P507="SIN LÍNEAS",P507="CABECERA"),COUNTA(G507:J507)&gt;0),"La fila dice que no mide, pero contiene medidas. ","")&amp;IF(AND(OR(P507="DIRECTA",P507="DIMENSIONES"),U507=0),"Línea incompleta o con medidas no numéricas. ","")&amp;IF(P507="SIN LÍNEAS","No constan medidas de esta fila. ","")&amp;IF(Y507&gt;0,"Parece m³: tres dimensiones bajo m². ","")&amp;IF(AND(AB507&lt;&gt;"",SUMPRODUCT(--('LÉEME'!$B$65:$B$86=AC507))&lt;&gt;1),"Revisamos el significado de la unidad. ","")&amp;IF(Z507&gt;0,"Más precisión que los decimales indicados: cotejamos el original. ","")&amp;IF(AA507&gt;0,"Revisamos dimensiones, cantidad directa, ceros o deducción. ","")))</f>
      </c>
      <c r="O507" s="0" t="n">
        <f>IF(ISNUMBER(K507),IF(AND(K507&gt;0,K507=INT(K507),K507&lt;=999999),K507,0),0)</f>
        <v>0</v>
      </c>
      <c r="P507" s="0">
        <f>IF(COUNTA(B507:L507)=0,"",IF(L507="",IF(COUNTA(G507:J507)&gt;0,"DIMENSIONES","SIN LÍNEAS"),UPPER(TRIM(L507))))</f>
      </c>
      <c r="Q507" s="0">
        <f>IF(AND(O507&gt;0,LEN(TRIM(B507&amp;""))&gt;0,LEN(TRIM(C507&amp;""))&gt;0,LEN(TRIM(E507&amp;""))&gt;0,ISNUMBER(F507)),O507,"")</f>
      </c>
      <c r="R507" s="0" t="n">
        <f>IF(O507=0,0,IF(COUNTIFS($Q$13:$Q$512,O507)&gt;0,MATCH(O507,$Q$13:$Q$512,0),0))</f>
        <v>0</v>
      </c>
      <c r="S507" s="0">
        <f>IF(AB507="","",IF(SUMPRODUCT(--('LÉEME'!$B$65:$B$86=AC507))=1,INDEX('LÉEME'!$C$65:$C$86,MATCH(AC507,'LÉEME'!$B$65:$B$86,0)),UPPER(TRIM(AB507))))</f>
      </c>
      <c r="T507" s="0" t="n">
        <f>IF(R507=0,0,IF(OR(AND(LEN(TRIM(B507&amp;""))&gt;0,UPPER(TRIM(B507&amp;""))&lt;&gt;UPPER(TRIM(INDEX($B$13:$B$512,R507)&amp;""))),AND(LEN(TRIM(C507&amp;""))&gt;0,UPPER(TRIM(C507&amp;""))&lt;&gt;UPPER(TRIM(INDEX($C$13:$C$512,R507)&amp;""))),AND(LEN(TRIM(E507&amp;""))&gt;0,S507&lt;&gt;INDEX($S$13:$S$512,R507)),AND(F507&lt;&gt;"",NOT(ISNUMBER(F507)))),1,IF(ISNUMBER(F507),IF(ABS(F507-INDEX($F$13:$F$512,R507))&gt;0.00000001,1,0),0)))</f>
        <v>0</v>
      </c>
      <c r="U507" s="0" t="n">
        <f>IF(P507="DIRECTA",IF(AND(ISNUMBER(G507),COUNTA(H507:J507)=0),1,0),IF(P507="DIMENSIONES",IF(AND(COUNT(G507:J507)&gt;0,COUNTA(G507:J507)=COUNT(G507:J507)),1,0),0))</f>
        <v>0</v>
      </c>
      <c r="V507" s="0" t="n">
        <f>IF(O507=0,0,IF(COUNTIFS($O$13:O507,O507)=1,1,0))</f>
        <v>0</v>
      </c>
      <c r="W507" s="0">
        <f>IF(V507=1,COUNTIFS($V$13:V507,1),"")</f>
      </c>
      <c r="X507" s="0">
        <f>IF(COUNTA(B507:L507)=0,"",IF(OR(NOT(IF(ISNUMBER($E$6),AND($E$6&gt;=0,$E$6&lt;=6,$E$6=INT($E$6)),FALSE)),O507=0,R507=0,T507&gt;0,AND(P507&lt;&gt;"DIMENSIONES",P507&lt;&gt;"DIRECTA",P507&lt;&gt;"SIN LÍNEAS",P507&lt;&gt;"CABECERA"),AND(OR(P507="DIRECTA",P507="DIMENSIONES"),U507=0),AND(OR(P507="SIN LÍNEAS",P507="CABECERA"),COUNTA(G507:J507)&gt;0)),2,IF(OR(P507="SIN LÍNEAS",Y507&gt;0,Z507&gt;0,AA507&gt;0,SUMPRODUCT(--('LÉEME'!$B$65:$B$86=AC507))&lt;&gt;1),1,0)))</f>
      </c>
      <c r="Y507" s="0" t="n">
        <f>IF(AND(P507="DIMENSIONES",S507="m²",COUNT(H507:J507)=3),1,0)</f>
        <v>0</v>
      </c>
      <c r="Z507" s="0" t="n">
        <f>IF(IF(ISNUMBER($E$6),AND($E$6&gt;=0,$E$6&lt;=6,$E$6=INT($E$6)),FALSE),IF(SUM(IF(ISNUMBER(F507),IF(ABS(F507-ROUND(F507,$E$6))&gt;0.00000001,1,0),0),IF(ISNUMBER(G507),IF(ABS(G507-ROUND(G507,$E$6))&gt;0.00000001,1,0),0),IF(ISNUMBER(H507),IF(ABS(H507-ROUND(H507,$E$6))&gt;0.00000001,1,0),0),IF(ISNUMBER(I507),IF(ABS(I507-ROUND(I507,$E$6))&gt;0.00000001,1,0),0),IF(ISNUMBER(J507),IF(ABS(J507-ROUND(J507,$E$6))&gt;0.00000001,1,0),0),IF(ISNUMBER(M507),IF(ABS(M507-ROUND(M507,$E$6))&gt;0.00000001,1,0),0))&gt;0,1,0),0)</f>
        <v>0</v>
      </c>
      <c r="AA507" s="0" t="n">
        <f>IF(COUNTA(B507:L507)=0,0,IF(OR(AND(ISNUMBER(F507),F507&lt;0),AND(U507=1,OR(SUM(IF(ISNUMBER(G507),IF(G507=0,1,0),0),IF(ISNUMBER(H507),IF(H507=0,1,0),0),IF(ISNUMBER(I507),IF(I507=0,1,0),0),IF(ISNUMBER(J507),IF(J507=0,1,0),0))&gt;0,COUNTIFS(G507:J507,"&lt;0")&gt;0)),AND(P507="DIMENSIONES",U507=1,OR(AND(S507="m",COUNT(H507:J507)&lt;&gt;1),AND(S507="m²",COUNT(H507:J507)&lt;&gt;2,Y507=0),AND(S507="m³",COUNT(H507:J507)&lt;&gt;3),AND(S507="ud",COUNT(H507:J507)&gt;0))),AND(P507="DIRECTA",OR(S507="m",S507="m²",S507="m³"))),1,0))</f>
        <v>0</v>
      </c>
      <c r="AB507" s="0">
        <f>IF(LEN(TRIM(E507&amp;""))&gt;0,E507,IF(R507&gt;0,INDEX($E$13:$E$512,R507),""))</f>
      </c>
      <c r="AC507" s="0">
        <f>UPPER(SUBSTITUTE(SUBSTITUTE(SUBSTITUTE(SUBSTITUTE(SUBSTITUTE(TRIM(AB507),"²","2"),"³","3"),"^",""),".","")," ",""))</f>
      </c>
    </row>
    <row r="508" ht="35" customHeight="1">
      <c r="B508" s="35"/>
      <c r="C508" s="35"/>
      <c r="D508" s="37"/>
      <c r="E508" s="35"/>
      <c r="F508" s="38"/>
      <c r="G508" s="38"/>
      <c r="H508" s="38"/>
      <c r="I508" s="38"/>
      <c r="J508" s="38"/>
      <c r="K508" s="35"/>
      <c r="L508" s="35"/>
      <c r="M508" s="39">
        <f>IF(U508&lt;&gt;1,"",IF(P508="DIRECTA",G508,IF(ISNUMBER(G508),G508,1)*IF(ISNUMBER(H508),H508,1)*IF(ISNUMBER(I508),I508,1)*IF(ISNUMBER(J508),J508,1)))</f>
      </c>
      <c r="N508" s="30">
        <f>IF(COUNTA(B508:L508)=0,"",IF(X508=0,IF(P508="CABECERA","VERDE · Fila descriptiva; la suma usa las líneas del ID","VERDE · Datos numéricos interpretables"),IF(X508=2,"ROJO · ","ÁMBAR · ")&amp;IF(NOT(IF(ISNUMBER($E$6),AND($E$6&gt;=0,$E$6&lt;=6,$E$6=INT($E$6)),FALSE)),"Indicamos entre 0 y 6 decimales en E6. ","")&amp;IF(O508=0,"Falta un ID numérico. ","")&amp;IF(R508=0,"Faltan capítulo, código, unidad o total numérico del ID. ","")&amp;IF(T508&gt;0,"Los datos o el total del ID se contradicen. ","")&amp;IF(AND(P508&lt;&gt;"DIMENSIONES",P508&lt;&gt;"DIRECTA",P508&lt;&gt;"SIN LÍNEAS",P508&lt;&gt;"CABECERA"),"Tipo de fila no reconocido. ","")&amp;IF(AND(OR(P508="SIN LÍNEAS",P508="CABECERA"),COUNTA(G508:J508)&gt;0),"La fila dice que no mide, pero contiene medidas. ","")&amp;IF(AND(OR(P508="DIRECTA",P508="DIMENSIONES"),U508=0),"Línea incompleta o con medidas no numéricas. ","")&amp;IF(P508="SIN LÍNEAS","No constan medidas de esta fila. ","")&amp;IF(Y508&gt;0,"Parece m³: tres dimensiones bajo m². ","")&amp;IF(AND(AB508&lt;&gt;"",SUMPRODUCT(--('LÉEME'!$B$65:$B$86=AC508))&lt;&gt;1),"Revisamos el significado de la unidad. ","")&amp;IF(Z508&gt;0,"Más precisión que los decimales indicados: cotejamos el original. ","")&amp;IF(AA508&gt;0,"Revisamos dimensiones, cantidad directa, ceros o deducción. ","")))</f>
      </c>
      <c r="O508" s="0" t="n">
        <f>IF(ISNUMBER(K508),IF(AND(K508&gt;0,K508=INT(K508),K508&lt;=999999),K508,0),0)</f>
        <v>0</v>
      </c>
      <c r="P508" s="0">
        <f>IF(COUNTA(B508:L508)=0,"",IF(L508="",IF(COUNTA(G508:J508)&gt;0,"DIMENSIONES","SIN LÍNEAS"),UPPER(TRIM(L508))))</f>
      </c>
      <c r="Q508" s="0">
        <f>IF(AND(O508&gt;0,LEN(TRIM(B508&amp;""))&gt;0,LEN(TRIM(C508&amp;""))&gt;0,LEN(TRIM(E508&amp;""))&gt;0,ISNUMBER(F508)),O508,"")</f>
      </c>
      <c r="R508" s="0" t="n">
        <f>IF(O508=0,0,IF(COUNTIFS($Q$13:$Q$512,O508)&gt;0,MATCH(O508,$Q$13:$Q$512,0),0))</f>
        <v>0</v>
      </c>
      <c r="S508" s="0">
        <f>IF(AB508="","",IF(SUMPRODUCT(--('LÉEME'!$B$65:$B$86=AC508))=1,INDEX('LÉEME'!$C$65:$C$86,MATCH(AC508,'LÉEME'!$B$65:$B$86,0)),UPPER(TRIM(AB508))))</f>
      </c>
      <c r="T508" s="0" t="n">
        <f>IF(R508=0,0,IF(OR(AND(LEN(TRIM(B508&amp;""))&gt;0,UPPER(TRIM(B508&amp;""))&lt;&gt;UPPER(TRIM(INDEX($B$13:$B$512,R508)&amp;""))),AND(LEN(TRIM(C508&amp;""))&gt;0,UPPER(TRIM(C508&amp;""))&lt;&gt;UPPER(TRIM(INDEX($C$13:$C$512,R508)&amp;""))),AND(LEN(TRIM(E508&amp;""))&gt;0,S508&lt;&gt;INDEX($S$13:$S$512,R508)),AND(F508&lt;&gt;"",NOT(ISNUMBER(F508)))),1,IF(ISNUMBER(F508),IF(ABS(F508-INDEX($F$13:$F$512,R508))&gt;0.00000001,1,0),0)))</f>
        <v>0</v>
      </c>
      <c r="U508" s="0" t="n">
        <f>IF(P508="DIRECTA",IF(AND(ISNUMBER(G508),COUNTA(H508:J508)=0),1,0),IF(P508="DIMENSIONES",IF(AND(COUNT(G508:J508)&gt;0,COUNTA(G508:J508)=COUNT(G508:J508)),1,0),0))</f>
        <v>0</v>
      </c>
      <c r="V508" s="0" t="n">
        <f>IF(O508=0,0,IF(COUNTIFS($O$13:O508,O508)=1,1,0))</f>
        <v>0</v>
      </c>
      <c r="W508" s="0">
        <f>IF(V508=1,COUNTIFS($V$13:V508,1),"")</f>
      </c>
      <c r="X508" s="0">
        <f>IF(COUNTA(B508:L508)=0,"",IF(OR(NOT(IF(ISNUMBER($E$6),AND($E$6&gt;=0,$E$6&lt;=6,$E$6=INT($E$6)),FALSE)),O508=0,R508=0,T508&gt;0,AND(P508&lt;&gt;"DIMENSIONES",P508&lt;&gt;"DIRECTA",P508&lt;&gt;"SIN LÍNEAS",P508&lt;&gt;"CABECERA"),AND(OR(P508="DIRECTA",P508="DIMENSIONES"),U508=0),AND(OR(P508="SIN LÍNEAS",P508="CABECERA"),COUNTA(G508:J508)&gt;0)),2,IF(OR(P508="SIN LÍNEAS",Y508&gt;0,Z508&gt;0,AA508&gt;0,SUMPRODUCT(--('LÉEME'!$B$65:$B$86=AC508))&lt;&gt;1),1,0)))</f>
      </c>
      <c r="Y508" s="0" t="n">
        <f>IF(AND(P508="DIMENSIONES",S508="m²",COUNT(H508:J508)=3),1,0)</f>
        <v>0</v>
      </c>
      <c r="Z508" s="0" t="n">
        <f>IF(IF(ISNUMBER($E$6),AND($E$6&gt;=0,$E$6&lt;=6,$E$6=INT($E$6)),FALSE),IF(SUM(IF(ISNUMBER(F508),IF(ABS(F508-ROUND(F508,$E$6))&gt;0.00000001,1,0),0),IF(ISNUMBER(G508),IF(ABS(G508-ROUND(G508,$E$6))&gt;0.00000001,1,0),0),IF(ISNUMBER(H508),IF(ABS(H508-ROUND(H508,$E$6))&gt;0.00000001,1,0),0),IF(ISNUMBER(I508),IF(ABS(I508-ROUND(I508,$E$6))&gt;0.00000001,1,0),0),IF(ISNUMBER(J508),IF(ABS(J508-ROUND(J508,$E$6))&gt;0.00000001,1,0),0),IF(ISNUMBER(M508),IF(ABS(M508-ROUND(M508,$E$6))&gt;0.00000001,1,0),0))&gt;0,1,0),0)</f>
        <v>0</v>
      </c>
      <c r="AA508" s="0" t="n">
        <f>IF(COUNTA(B508:L508)=0,0,IF(OR(AND(ISNUMBER(F508),F508&lt;0),AND(U508=1,OR(SUM(IF(ISNUMBER(G508),IF(G508=0,1,0),0),IF(ISNUMBER(H508),IF(H508=0,1,0),0),IF(ISNUMBER(I508),IF(I508=0,1,0),0),IF(ISNUMBER(J508),IF(J508=0,1,0),0))&gt;0,COUNTIFS(G508:J508,"&lt;0")&gt;0)),AND(P508="DIMENSIONES",U508=1,OR(AND(S508="m",COUNT(H508:J508)&lt;&gt;1),AND(S508="m²",COUNT(H508:J508)&lt;&gt;2,Y508=0),AND(S508="m³",COUNT(H508:J508)&lt;&gt;3),AND(S508="ud",COUNT(H508:J508)&gt;0))),AND(P508="DIRECTA",OR(S508="m",S508="m²",S508="m³"))),1,0))</f>
        <v>0</v>
      </c>
      <c r="AB508" s="0">
        <f>IF(LEN(TRIM(E508&amp;""))&gt;0,E508,IF(R508&gt;0,INDEX($E$13:$E$512,R508),""))</f>
      </c>
      <c r="AC508" s="0">
        <f>UPPER(SUBSTITUTE(SUBSTITUTE(SUBSTITUTE(SUBSTITUTE(SUBSTITUTE(TRIM(AB508),"²","2"),"³","3"),"^",""),".","")," ",""))</f>
      </c>
    </row>
    <row r="509" ht="35" customHeight="1">
      <c r="B509" s="35"/>
      <c r="C509" s="35"/>
      <c r="D509" s="37"/>
      <c r="E509" s="35"/>
      <c r="F509" s="38"/>
      <c r="G509" s="38"/>
      <c r="H509" s="38"/>
      <c r="I509" s="38"/>
      <c r="J509" s="38"/>
      <c r="K509" s="35"/>
      <c r="L509" s="35"/>
      <c r="M509" s="39">
        <f>IF(U509&lt;&gt;1,"",IF(P509="DIRECTA",G509,IF(ISNUMBER(G509),G509,1)*IF(ISNUMBER(H509),H509,1)*IF(ISNUMBER(I509),I509,1)*IF(ISNUMBER(J509),J509,1)))</f>
      </c>
      <c r="N509" s="30">
        <f>IF(COUNTA(B509:L509)=0,"",IF(X509=0,IF(P509="CABECERA","VERDE · Fila descriptiva; la suma usa las líneas del ID","VERDE · Datos numéricos interpretables"),IF(X509=2,"ROJO · ","ÁMBAR · ")&amp;IF(NOT(IF(ISNUMBER($E$6),AND($E$6&gt;=0,$E$6&lt;=6,$E$6=INT($E$6)),FALSE)),"Indicamos entre 0 y 6 decimales en E6. ","")&amp;IF(O509=0,"Falta un ID numérico. ","")&amp;IF(R509=0,"Faltan capítulo, código, unidad o total numérico del ID. ","")&amp;IF(T509&gt;0,"Los datos o el total del ID se contradicen. ","")&amp;IF(AND(P509&lt;&gt;"DIMENSIONES",P509&lt;&gt;"DIRECTA",P509&lt;&gt;"SIN LÍNEAS",P509&lt;&gt;"CABECERA"),"Tipo de fila no reconocido. ","")&amp;IF(AND(OR(P509="SIN LÍNEAS",P509="CABECERA"),COUNTA(G509:J509)&gt;0),"La fila dice que no mide, pero contiene medidas. ","")&amp;IF(AND(OR(P509="DIRECTA",P509="DIMENSIONES"),U509=0),"Línea incompleta o con medidas no numéricas. ","")&amp;IF(P509="SIN LÍNEAS","No constan medidas de esta fila. ","")&amp;IF(Y509&gt;0,"Parece m³: tres dimensiones bajo m². ","")&amp;IF(AND(AB509&lt;&gt;"",SUMPRODUCT(--('LÉEME'!$B$65:$B$86=AC509))&lt;&gt;1),"Revisamos el significado de la unidad. ","")&amp;IF(Z509&gt;0,"Más precisión que los decimales indicados: cotejamos el original. ","")&amp;IF(AA509&gt;0,"Revisamos dimensiones, cantidad directa, ceros o deducción. ","")))</f>
      </c>
      <c r="O509" s="0" t="n">
        <f>IF(ISNUMBER(K509),IF(AND(K509&gt;0,K509=INT(K509),K509&lt;=999999),K509,0),0)</f>
        <v>0</v>
      </c>
      <c r="P509" s="0">
        <f>IF(COUNTA(B509:L509)=0,"",IF(L509="",IF(COUNTA(G509:J509)&gt;0,"DIMENSIONES","SIN LÍNEAS"),UPPER(TRIM(L509))))</f>
      </c>
      <c r="Q509" s="0">
        <f>IF(AND(O509&gt;0,LEN(TRIM(B509&amp;""))&gt;0,LEN(TRIM(C509&amp;""))&gt;0,LEN(TRIM(E509&amp;""))&gt;0,ISNUMBER(F509)),O509,"")</f>
      </c>
      <c r="R509" s="0" t="n">
        <f>IF(O509=0,0,IF(COUNTIFS($Q$13:$Q$512,O509)&gt;0,MATCH(O509,$Q$13:$Q$512,0),0))</f>
        <v>0</v>
      </c>
      <c r="S509" s="0">
        <f>IF(AB509="","",IF(SUMPRODUCT(--('LÉEME'!$B$65:$B$86=AC509))=1,INDEX('LÉEME'!$C$65:$C$86,MATCH(AC509,'LÉEME'!$B$65:$B$86,0)),UPPER(TRIM(AB509))))</f>
      </c>
      <c r="T509" s="0" t="n">
        <f>IF(R509=0,0,IF(OR(AND(LEN(TRIM(B509&amp;""))&gt;0,UPPER(TRIM(B509&amp;""))&lt;&gt;UPPER(TRIM(INDEX($B$13:$B$512,R509)&amp;""))),AND(LEN(TRIM(C509&amp;""))&gt;0,UPPER(TRIM(C509&amp;""))&lt;&gt;UPPER(TRIM(INDEX($C$13:$C$512,R509)&amp;""))),AND(LEN(TRIM(E509&amp;""))&gt;0,S509&lt;&gt;INDEX($S$13:$S$512,R509)),AND(F509&lt;&gt;"",NOT(ISNUMBER(F509)))),1,IF(ISNUMBER(F509),IF(ABS(F509-INDEX($F$13:$F$512,R509))&gt;0.00000001,1,0),0)))</f>
        <v>0</v>
      </c>
      <c r="U509" s="0" t="n">
        <f>IF(P509="DIRECTA",IF(AND(ISNUMBER(G509),COUNTA(H509:J509)=0),1,0),IF(P509="DIMENSIONES",IF(AND(COUNT(G509:J509)&gt;0,COUNTA(G509:J509)=COUNT(G509:J509)),1,0),0))</f>
        <v>0</v>
      </c>
      <c r="V509" s="0" t="n">
        <f>IF(O509=0,0,IF(COUNTIFS($O$13:O509,O509)=1,1,0))</f>
        <v>0</v>
      </c>
      <c r="W509" s="0">
        <f>IF(V509=1,COUNTIFS($V$13:V509,1),"")</f>
      </c>
      <c r="X509" s="0">
        <f>IF(COUNTA(B509:L509)=0,"",IF(OR(NOT(IF(ISNUMBER($E$6),AND($E$6&gt;=0,$E$6&lt;=6,$E$6=INT($E$6)),FALSE)),O509=0,R509=0,T509&gt;0,AND(P509&lt;&gt;"DIMENSIONES",P509&lt;&gt;"DIRECTA",P509&lt;&gt;"SIN LÍNEAS",P509&lt;&gt;"CABECERA"),AND(OR(P509="DIRECTA",P509="DIMENSIONES"),U509=0),AND(OR(P509="SIN LÍNEAS",P509="CABECERA"),COUNTA(G509:J509)&gt;0)),2,IF(OR(P509="SIN LÍNEAS",Y509&gt;0,Z509&gt;0,AA509&gt;0,SUMPRODUCT(--('LÉEME'!$B$65:$B$86=AC509))&lt;&gt;1),1,0)))</f>
      </c>
      <c r="Y509" s="0" t="n">
        <f>IF(AND(P509="DIMENSIONES",S509="m²",COUNT(H509:J509)=3),1,0)</f>
        <v>0</v>
      </c>
      <c r="Z509" s="0" t="n">
        <f>IF(IF(ISNUMBER($E$6),AND($E$6&gt;=0,$E$6&lt;=6,$E$6=INT($E$6)),FALSE),IF(SUM(IF(ISNUMBER(F509),IF(ABS(F509-ROUND(F509,$E$6))&gt;0.00000001,1,0),0),IF(ISNUMBER(G509),IF(ABS(G509-ROUND(G509,$E$6))&gt;0.00000001,1,0),0),IF(ISNUMBER(H509),IF(ABS(H509-ROUND(H509,$E$6))&gt;0.00000001,1,0),0),IF(ISNUMBER(I509),IF(ABS(I509-ROUND(I509,$E$6))&gt;0.00000001,1,0),0),IF(ISNUMBER(J509),IF(ABS(J509-ROUND(J509,$E$6))&gt;0.00000001,1,0),0),IF(ISNUMBER(M509),IF(ABS(M509-ROUND(M509,$E$6))&gt;0.00000001,1,0),0))&gt;0,1,0),0)</f>
        <v>0</v>
      </c>
      <c r="AA509" s="0" t="n">
        <f>IF(COUNTA(B509:L509)=0,0,IF(OR(AND(ISNUMBER(F509),F509&lt;0),AND(U509=1,OR(SUM(IF(ISNUMBER(G509),IF(G509=0,1,0),0),IF(ISNUMBER(H509),IF(H509=0,1,0),0),IF(ISNUMBER(I509),IF(I509=0,1,0),0),IF(ISNUMBER(J509),IF(J509=0,1,0),0))&gt;0,COUNTIFS(G509:J509,"&lt;0")&gt;0)),AND(P509="DIMENSIONES",U509=1,OR(AND(S509="m",COUNT(H509:J509)&lt;&gt;1),AND(S509="m²",COUNT(H509:J509)&lt;&gt;2,Y509=0),AND(S509="m³",COUNT(H509:J509)&lt;&gt;3),AND(S509="ud",COUNT(H509:J509)&gt;0))),AND(P509="DIRECTA",OR(S509="m",S509="m²",S509="m³"))),1,0))</f>
        <v>0</v>
      </c>
      <c r="AB509" s="0">
        <f>IF(LEN(TRIM(E509&amp;""))&gt;0,E509,IF(R509&gt;0,INDEX($E$13:$E$512,R509),""))</f>
      </c>
      <c r="AC509" s="0">
        <f>UPPER(SUBSTITUTE(SUBSTITUTE(SUBSTITUTE(SUBSTITUTE(SUBSTITUTE(TRIM(AB509),"²","2"),"³","3"),"^",""),".","")," ",""))</f>
      </c>
    </row>
    <row r="510" ht="35" customHeight="1">
      <c r="B510" s="35"/>
      <c r="C510" s="35"/>
      <c r="D510" s="37"/>
      <c r="E510" s="35"/>
      <c r="F510" s="38"/>
      <c r="G510" s="38"/>
      <c r="H510" s="38"/>
      <c r="I510" s="38"/>
      <c r="J510" s="38"/>
      <c r="K510" s="35"/>
      <c r="L510" s="35"/>
      <c r="M510" s="39">
        <f>IF(U510&lt;&gt;1,"",IF(P510="DIRECTA",G510,IF(ISNUMBER(G510),G510,1)*IF(ISNUMBER(H510),H510,1)*IF(ISNUMBER(I510),I510,1)*IF(ISNUMBER(J510),J510,1)))</f>
      </c>
      <c r="N510" s="30">
        <f>IF(COUNTA(B510:L510)=0,"",IF(X510=0,IF(P510="CABECERA","VERDE · Fila descriptiva; la suma usa las líneas del ID","VERDE · Datos numéricos interpretables"),IF(X510=2,"ROJO · ","ÁMBAR · ")&amp;IF(NOT(IF(ISNUMBER($E$6),AND($E$6&gt;=0,$E$6&lt;=6,$E$6=INT($E$6)),FALSE)),"Indicamos entre 0 y 6 decimales en E6. ","")&amp;IF(O510=0,"Falta un ID numérico. ","")&amp;IF(R510=0,"Faltan capítulo, código, unidad o total numérico del ID. ","")&amp;IF(T510&gt;0,"Los datos o el total del ID se contradicen. ","")&amp;IF(AND(P510&lt;&gt;"DIMENSIONES",P510&lt;&gt;"DIRECTA",P510&lt;&gt;"SIN LÍNEAS",P510&lt;&gt;"CABECERA"),"Tipo de fila no reconocido. ","")&amp;IF(AND(OR(P510="SIN LÍNEAS",P510="CABECERA"),COUNTA(G510:J510)&gt;0),"La fila dice que no mide, pero contiene medidas. ","")&amp;IF(AND(OR(P510="DIRECTA",P510="DIMENSIONES"),U510=0),"Línea incompleta o con medidas no numéricas. ","")&amp;IF(P510="SIN LÍNEAS","No constan medidas de esta fila. ","")&amp;IF(Y510&gt;0,"Parece m³: tres dimensiones bajo m². ","")&amp;IF(AND(AB510&lt;&gt;"",SUMPRODUCT(--('LÉEME'!$B$65:$B$86=AC510))&lt;&gt;1),"Revisamos el significado de la unidad. ","")&amp;IF(Z510&gt;0,"Más precisión que los decimales indicados: cotejamos el original. ","")&amp;IF(AA510&gt;0,"Revisamos dimensiones, cantidad directa, ceros o deducción. ","")))</f>
      </c>
      <c r="O510" s="0" t="n">
        <f>IF(ISNUMBER(K510),IF(AND(K510&gt;0,K510=INT(K510),K510&lt;=999999),K510,0),0)</f>
        <v>0</v>
      </c>
      <c r="P510" s="0">
        <f>IF(COUNTA(B510:L510)=0,"",IF(L510="",IF(COUNTA(G510:J510)&gt;0,"DIMENSIONES","SIN LÍNEAS"),UPPER(TRIM(L510))))</f>
      </c>
      <c r="Q510" s="0">
        <f>IF(AND(O510&gt;0,LEN(TRIM(B510&amp;""))&gt;0,LEN(TRIM(C510&amp;""))&gt;0,LEN(TRIM(E510&amp;""))&gt;0,ISNUMBER(F510)),O510,"")</f>
      </c>
      <c r="R510" s="0" t="n">
        <f>IF(O510=0,0,IF(COUNTIFS($Q$13:$Q$512,O510)&gt;0,MATCH(O510,$Q$13:$Q$512,0),0))</f>
        <v>0</v>
      </c>
      <c r="S510" s="0">
        <f>IF(AB510="","",IF(SUMPRODUCT(--('LÉEME'!$B$65:$B$86=AC510))=1,INDEX('LÉEME'!$C$65:$C$86,MATCH(AC510,'LÉEME'!$B$65:$B$86,0)),UPPER(TRIM(AB510))))</f>
      </c>
      <c r="T510" s="0" t="n">
        <f>IF(R510=0,0,IF(OR(AND(LEN(TRIM(B510&amp;""))&gt;0,UPPER(TRIM(B510&amp;""))&lt;&gt;UPPER(TRIM(INDEX($B$13:$B$512,R510)&amp;""))),AND(LEN(TRIM(C510&amp;""))&gt;0,UPPER(TRIM(C510&amp;""))&lt;&gt;UPPER(TRIM(INDEX($C$13:$C$512,R510)&amp;""))),AND(LEN(TRIM(E510&amp;""))&gt;0,S510&lt;&gt;INDEX($S$13:$S$512,R510)),AND(F510&lt;&gt;"",NOT(ISNUMBER(F510)))),1,IF(ISNUMBER(F510),IF(ABS(F510-INDEX($F$13:$F$512,R510))&gt;0.00000001,1,0),0)))</f>
        <v>0</v>
      </c>
      <c r="U510" s="0" t="n">
        <f>IF(P510="DIRECTA",IF(AND(ISNUMBER(G510),COUNTA(H510:J510)=0),1,0),IF(P510="DIMENSIONES",IF(AND(COUNT(G510:J510)&gt;0,COUNTA(G510:J510)=COUNT(G510:J510)),1,0),0))</f>
        <v>0</v>
      </c>
      <c r="V510" s="0" t="n">
        <f>IF(O510=0,0,IF(COUNTIFS($O$13:O510,O510)=1,1,0))</f>
        <v>0</v>
      </c>
      <c r="W510" s="0">
        <f>IF(V510=1,COUNTIFS($V$13:V510,1),"")</f>
      </c>
      <c r="X510" s="0">
        <f>IF(COUNTA(B510:L510)=0,"",IF(OR(NOT(IF(ISNUMBER($E$6),AND($E$6&gt;=0,$E$6&lt;=6,$E$6=INT($E$6)),FALSE)),O510=0,R510=0,T510&gt;0,AND(P510&lt;&gt;"DIMENSIONES",P510&lt;&gt;"DIRECTA",P510&lt;&gt;"SIN LÍNEAS",P510&lt;&gt;"CABECERA"),AND(OR(P510="DIRECTA",P510="DIMENSIONES"),U510=0),AND(OR(P510="SIN LÍNEAS",P510="CABECERA"),COUNTA(G510:J510)&gt;0)),2,IF(OR(P510="SIN LÍNEAS",Y510&gt;0,Z510&gt;0,AA510&gt;0,SUMPRODUCT(--('LÉEME'!$B$65:$B$86=AC510))&lt;&gt;1),1,0)))</f>
      </c>
      <c r="Y510" s="0" t="n">
        <f>IF(AND(P510="DIMENSIONES",S510="m²",COUNT(H510:J510)=3),1,0)</f>
        <v>0</v>
      </c>
      <c r="Z510" s="0" t="n">
        <f>IF(IF(ISNUMBER($E$6),AND($E$6&gt;=0,$E$6&lt;=6,$E$6=INT($E$6)),FALSE),IF(SUM(IF(ISNUMBER(F510),IF(ABS(F510-ROUND(F510,$E$6))&gt;0.00000001,1,0),0),IF(ISNUMBER(G510),IF(ABS(G510-ROUND(G510,$E$6))&gt;0.00000001,1,0),0),IF(ISNUMBER(H510),IF(ABS(H510-ROUND(H510,$E$6))&gt;0.00000001,1,0),0),IF(ISNUMBER(I510),IF(ABS(I510-ROUND(I510,$E$6))&gt;0.00000001,1,0),0),IF(ISNUMBER(J510),IF(ABS(J510-ROUND(J510,$E$6))&gt;0.00000001,1,0),0),IF(ISNUMBER(M510),IF(ABS(M510-ROUND(M510,$E$6))&gt;0.00000001,1,0),0))&gt;0,1,0),0)</f>
        <v>0</v>
      </c>
      <c r="AA510" s="0" t="n">
        <f>IF(COUNTA(B510:L510)=0,0,IF(OR(AND(ISNUMBER(F510),F510&lt;0),AND(U510=1,OR(SUM(IF(ISNUMBER(G510),IF(G510=0,1,0),0),IF(ISNUMBER(H510),IF(H510=0,1,0),0),IF(ISNUMBER(I510),IF(I510=0,1,0),0),IF(ISNUMBER(J510),IF(J510=0,1,0),0))&gt;0,COUNTIFS(G510:J510,"&lt;0")&gt;0)),AND(P510="DIMENSIONES",U510=1,OR(AND(S510="m",COUNT(H510:J510)&lt;&gt;1),AND(S510="m²",COUNT(H510:J510)&lt;&gt;2,Y510=0),AND(S510="m³",COUNT(H510:J510)&lt;&gt;3),AND(S510="ud",COUNT(H510:J510)&gt;0))),AND(P510="DIRECTA",OR(S510="m",S510="m²",S510="m³"))),1,0))</f>
        <v>0</v>
      </c>
      <c r="AB510" s="0">
        <f>IF(LEN(TRIM(E510&amp;""))&gt;0,E510,IF(R510&gt;0,INDEX($E$13:$E$512,R510),""))</f>
      </c>
      <c r="AC510" s="0">
        <f>UPPER(SUBSTITUTE(SUBSTITUTE(SUBSTITUTE(SUBSTITUTE(SUBSTITUTE(TRIM(AB510),"²","2"),"³","3"),"^",""),".","")," ",""))</f>
      </c>
    </row>
    <row r="511" ht="35" customHeight="1">
      <c r="B511" s="35"/>
      <c r="C511" s="35"/>
      <c r="D511" s="37"/>
      <c r="E511" s="35"/>
      <c r="F511" s="38"/>
      <c r="G511" s="38"/>
      <c r="H511" s="38"/>
      <c r="I511" s="38"/>
      <c r="J511" s="38"/>
      <c r="K511" s="35"/>
      <c r="L511" s="35"/>
      <c r="M511" s="39">
        <f>IF(U511&lt;&gt;1,"",IF(P511="DIRECTA",G511,IF(ISNUMBER(G511),G511,1)*IF(ISNUMBER(H511),H511,1)*IF(ISNUMBER(I511),I511,1)*IF(ISNUMBER(J511),J511,1)))</f>
      </c>
      <c r="N511" s="30">
        <f>IF(COUNTA(B511:L511)=0,"",IF(X511=0,IF(P511="CABECERA","VERDE · Fila descriptiva; la suma usa las líneas del ID","VERDE · Datos numéricos interpretables"),IF(X511=2,"ROJO · ","ÁMBAR · ")&amp;IF(NOT(IF(ISNUMBER($E$6),AND($E$6&gt;=0,$E$6&lt;=6,$E$6=INT($E$6)),FALSE)),"Indicamos entre 0 y 6 decimales en E6. ","")&amp;IF(O511=0,"Falta un ID numérico. ","")&amp;IF(R511=0,"Faltan capítulo, código, unidad o total numérico del ID. ","")&amp;IF(T511&gt;0,"Los datos o el total del ID se contradicen. ","")&amp;IF(AND(P511&lt;&gt;"DIMENSIONES",P511&lt;&gt;"DIRECTA",P511&lt;&gt;"SIN LÍNEAS",P511&lt;&gt;"CABECERA"),"Tipo de fila no reconocido. ","")&amp;IF(AND(OR(P511="SIN LÍNEAS",P511="CABECERA"),COUNTA(G511:J511)&gt;0),"La fila dice que no mide, pero contiene medidas. ","")&amp;IF(AND(OR(P511="DIRECTA",P511="DIMENSIONES"),U511=0),"Línea incompleta o con medidas no numéricas. ","")&amp;IF(P511="SIN LÍNEAS","No constan medidas de esta fila. ","")&amp;IF(Y511&gt;0,"Parece m³: tres dimensiones bajo m². ","")&amp;IF(AND(AB511&lt;&gt;"",SUMPRODUCT(--('LÉEME'!$B$65:$B$86=AC511))&lt;&gt;1),"Revisamos el significado de la unidad. ","")&amp;IF(Z511&gt;0,"Más precisión que los decimales indicados: cotejamos el original. ","")&amp;IF(AA511&gt;0,"Revisamos dimensiones, cantidad directa, ceros o deducción. ","")))</f>
      </c>
      <c r="O511" s="0" t="n">
        <f>IF(ISNUMBER(K511),IF(AND(K511&gt;0,K511=INT(K511),K511&lt;=999999),K511,0),0)</f>
        <v>0</v>
      </c>
      <c r="P511" s="0">
        <f>IF(COUNTA(B511:L511)=0,"",IF(L511="",IF(COUNTA(G511:J511)&gt;0,"DIMENSIONES","SIN LÍNEAS"),UPPER(TRIM(L511))))</f>
      </c>
      <c r="Q511" s="0">
        <f>IF(AND(O511&gt;0,LEN(TRIM(B511&amp;""))&gt;0,LEN(TRIM(C511&amp;""))&gt;0,LEN(TRIM(E511&amp;""))&gt;0,ISNUMBER(F511)),O511,"")</f>
      </c>
      <c r="R511" s="0" t="n">
        <f>IF(O511=0,0,IF(COUNTIFS($Q$13:$Q$512,O511)&gt;0,MATCH(O511,$Q$13:$Q$512,0),0))</f>
        <v>0</v>
      </c>
      <c r="S511" s="0">
        <f>IF(AB511="","",IF(SUMPRODUCT(--('LÉEME'!$B$65:$B$86=AC511))=1,INDEX('LÉEME'!$C$65:$C$86,MATCH(AC511,'LÉEME'!$B$65:$B$86,0)),UPPER(TRIM(AB511))))</f>
      </c>
      <c r="T511" s="0" t="n">
        <f>IF(R511=0,0,IF(OR(AND(LEN(TRIM(B511&amp;""))&gt;0,UPPER(TRIM(B511&amp;""))&lt;&gt;UPPER(TRIM(INDEX($B$13:$B$512,R511)&amp;""))),AND(LEN(TRIM(C511&amp;""))&gt;0,UPPER(TRIM(C511&amp;""))&lt;&gt;UPPER(TRIM(INDEX($C$13:$C$512,R511)&amp;""))),AND(LEN(TRIM(E511&amp;""))&gt;0,S511&lt;&gt;INDEX($S$13:$S$512,R511)),AND(F511&lt;&gt;"",NOT(ISNUMBER(F511)))),1,IF(ISNUMBER(F511),IF(ABS(F511-INDEX($F$13:$F$512,R511))&gt;0.00000001,1,0),0)))</f>
        <v>0</v>
      </c>
      <c r="U511" s="0" t="n">
        <f>IF(P511="DIRECTA",IF(AND(ISNUMBER(G511),COUNTA(H511:J511)=0),1,0),IF(P511="DIMENSIONES",IF(AND(COUNT(G511:J511)&gt;0,COUNTA(G511:J511)=COUNT(G511:J511)),1,0),0))</f>
        <v>0</v>
      </c>
      <c r="V511" s="0" t="n">
        <f>IF(O511=0,0,IF(COUNTIFS($O$13:O511,O511)=1,1,0))</f>
        <v>0</v>
      </c>
      <c r="W511" s="0">
        <f>IF(V511=1,COUNTIFS($V$13:V511,1),"")</f>
      </c>
      <c r="X511" s="0">
        <f>IF(COUNTA(B511:L511)=0,"",IF(OR(NOT(IF(ISNUMBER($E$6),AND($E$6&gt;=0,$E$6&lt;=6,$E$6=INT($E$6)),FALSE)),O511=0,R511=0,T511&gt;0,AND(P511&lt;&gt;"DIMENSIONES",P511&lt;&gt;"DIRECTA",P511&lt;&gt;"SIN LÍNEAS",P511&lt;&gt;"CABECERA"),AND(OR(P511="DIRECTA",P511="DIMENSIONES"),U511=0),AND(OR(P511="SIN LÍNEAS",P511="CABECERA"),COUNTA(G511:J511)&gt;0)),2,IF(OR(P511="SIN LÍNEAS",Y511&gt;0,Z511&gt;0,AA511&gt;0,SUMPRODUCT(--('LÉEME'!$B$65:$B$86=AC511))&lt;&gt;1),1,0)))</f>
      </c>
      <c r="Y511" s="0" t="n">
        <f>IF(AND(P511="DIMENSIONES",S511="m²",COUNT(H511:J511)=3),1,0)</f>
        <v>0</v>
      </c>
      <c r="Z511" s="0" t="n">
        <f>IF(IF(ISNUMBER($E$6),AND($E$6&gt;=0,$E$6&lt;=6,$E$6=INT($E$6)),FALSE),IF(SUM(IF(ISNUMBER(F511),IF(ABS(F511-ROUND(F511,$E$6))&gt;0.00000001,1,0),0),IF(ISNUMBER(G511),IF(ABS(G511-ROUND(G511,$E$6))&gt;0.00000001,1,0),0),IF(ISNUMBER(H511),IF(ABS(H511-ROUND(H511,$E$6))&gt;0.00000001,1,0),0),IF(ISNUMBER(I511),IF(ABS(I511-ROUND(I511,$E$6))&gt;0.00000001,1,0),0),IF(ISNUMBER(J511),IF(ABS(J511-ROUND(J511,$E$6))&gt;0.00000001,1,0),0),IF(ISNUMBER(M511),IF(ABS(M511-ROUND(M511,$E$6))&gt;0.00000001,1,0),0))&gt;0,1,0),0)</f>
        <v>0</v>
      </c>
      <c r="AA511" s="0" t="n">
        <f>IF(COUNTA(B511:L511)=0,0,IF(OR(AND(ISNUMBER(F511),F511&lt;0),AND(U511=1,OR(SUM(IF(ISNUMBER(G511),IF(G511=0,1,0),0),IF(ISNUMBER(H511),IF(H511=0,1,0),0),IF(ISNUMBER(I511),IF(I511=0,1,0),0),IF(ISNUMBER(J511),IF(J511=0,1,0),0))&gt;0,COUNTIFS(G511:J511,"&lt;0")&gt;0)),AND(P511="DIMENSIONES",U511=1,OR(AND(S511="m",COUNT(H511:J511)&lt;&gt;1),AND(S511="m²",COUNT(H511:J511)&lt;&gt;2,Y511=0),AND(S511="m³",COUNT(H511:J511)&lt;&gt;3),AND(S511="ud",COUNT(H511:J511)&gt;0))),AND(P511="DIRECTA",OR(S511="m",S511="m²",S511="m³"))),1,0))</f>
        <v>0</v>
      </c>
      <c r="AB511" s="0">
        <f>IF(LEN(TRIM(E511&amp;""))&gt;0,E511,IF(R511&gt;0,INDEX($E$13:$E$512,R511),""))</f>
      </c>
      <c r="AC511" s="0">
        <f>UPPER(SUBSTITUTE(SUBSTITUTE(SUBSTITUTE(SUBSTITUTE(SUBSTITUTE(TRIM(AB511),"²","2"),"³","3"),"^",""),".","")," ",""))</f>
      </c>
    </row>
    <row r="512" ht="35" customHeight="1">
      <c r="B512" s="35"/>
      <c r="C512" s="35"/>
      <c r="D512" s="37"/>
      <c r="E512" s="35"/>
      <c r="F512" s="38"/>
      <c r="G512" s="38"/>
      <c r="H512" s="38"/>
      <c r="I512" s="38"/>
      <c r="J512" s="38"/>
      <c r="K512" s="35"/>
      <c r="L512" s="35"/>
      <c r="M512" s="39">
        <f>IF(U512&lt;&gt;1,"",IF(P512="DIRECTA",G512,IF(ISNUMBER(G512),G512,1)*IF(ISNUMBER(H512),H512,1)*IF(ISNUMBER(I512),I512,1)*IF(ISNUMBER(J512),J512,1)))</f>
      </c>
      <c r="N512" s="30">
        <f>IF(COUNTA(B512:L512)=0,"",IF(X512=0,IF(P512="CABECERA","VERDE · Fila descriptiva; la suma usa las líneas del ID","VERDE · Datos numéricos interpretables"),IF(X512=2,"ROJO · ","ÁMBAR · ")&amp;IF(NOT(IF(ISNUMBER($E$6),AND($E$6&gt;=0,$E$6&lt;=6,$E$6=INT($E$6)),FALSE)),"Indicamos entre 0 y 6 decimales en E6. ","")&amp;IF(O512=0,"Falta un ID numérico. ","")&amp;IF(R512=0,"Faltan capítulo, código, unidad o total numérico del ID. ","")&amp;IF(T512&gt;0,"Los datos o el total del ID se contradicen. ","")&amp;IF(AND(P512&lt;&gt;"DIMENSIONES",P512&lt;&gt;"DIRECTA",P512&lt;&gt;"SIN LÍNEAS",P512&lt;&gt;"CABECERA"),"Tipo de fila no reconocido. ","")&amp;IF(AND(OR(P512="SIN LÍNEAS",P512="CABECERA"),COUNTA(G512:J512)&gt;0),"La fila dice que no mide, pero contiene medidas. ","")&amp;IF(AND(OR(P512="DIRECTA",P512="DIMENSIONES"),U512=0),"Línea incompleta o con medidas no numéricas. ","")&amp;IF(P512="SIN LÍNEAS","No constan medidas de esta fila. ","")&amp;IF(Y512&gt;0,"Parece m³: tres dimensiones bajo m². ","")&amp;IF(AND(AB512&lt;&gt;"",SUMPRODUCT(--('LÉEME'!$B$65:$B$86=AC512))&lt;&gt;1),"Revisamos el significado de la unidad. ","")&amp;IF(Z512&gt;0,"Más precisión que los decimales indicados: cotejamos el original. ","")&amp;IF(AA512&gt;0,"Revisamos dimensiones, cantidad directa, ceros o deducción. ","")))</f>
      </c>
      <c r="O512" s="0" t="n">
        <f>IF(ISNUMBER(K512),IF(AND(K512&gt;0,K512=INT(K512),K512&lt;=999999),K512,0),0)</f>
        <v>0</v>
      </c>
      <c r="P512" s="0">
        <f>IF(COUNTA(B512:L512)=0,"",IF(L512="",IF(COUNTA(G512:J512)&gt;0,"DIMENSIONES","SIN LÍNEAS"),UPPER(TRIM(L512))))</f>
      </c>
      <c r="Q512" s="0">
        <f>IF(AND(O512&gt;0,LEN(TRIM(B512&amp;""))&gt;0,LEN(TRIM(C512&amp;""))&gt;0,LEN(TRIM(E512&amp;""))&gt;0,ISNUMBER(F512)),O512,"")</f>
      </c>
      <c r="R512" s="0" t="n">
        <f>IF(O512=0,0,IF(COUNTIFS($Q$13:$Q$512,O512)&gt;0,MATCH(O512,$Q$13:$Q$512,0),0))</f>
        <v>0</v>
      </c>
      <c r="S512" s="0">
        <f>IF(AB512="","",IF(SUMPRODUCT(--('LÉEME'!$B$65:$B$86=AC512))=1,INDEX('LÉEME'!$C$65:$C$86,MATCH(AC512,'LÉEME'!$B$65:$B$86,0)),UPPER(TRIM(AB512))))</f>
      </c>
      <c r="T512" s="0" t="n">
        <f>IF(R512=0,0,IF(OR(AND(LEN(TRIM(B512&amp;""))&gt;0,UPPER(TRIM(B512&amp;""))&lt;&gt;UPPER(TRIM(INDEX($B$13:$B$512,R512)&amp;""))),AND(LEN(TRIM(C512&amp;""))&gt;0,UPPER(TRIM(C512&amp;""))&lt;&gt;UPPER(TRIM(INDEX($C$13:$C$512,R512)&amp;""))),AND(LEN(TRIM(E512&amp;""))&gt;0,S512&lt;&gt;INDEX($S$13:$S$512,R512)),AND(F512&lt;&gt;"",NOT(ISNUMBER(F512)))),1,IF(ISNUMBER(F512),IF(ABS(F512-INDEX($F$13:$F$512,R512))&gt;0.00000001,1,0),0)))</f>
        <v>0</v>
      </c>
      <c r="U512" s="0" t="n">
        <f>IF(P512="DIRECTA",IF(AND(ISNUMBER(G512),COUNTA(H512:J512)=0),1,0),IF(P512="DIMENSIONES",IF(AND(COUNT(G512:J512)&gt;0,COUNTA(G512:J512)=COUNT(G512:J512)),1,0),0))</f>
        <v>0</v>
      </c>
      <c r="V512" s="0" t="n">
        <f>IF(O512=0,0,IF(COUNTIFS($O$13:O512,O512)=1,1,0))</f>
        <v>0</v>
      </c>
      <c r="W512" s="0">
        <f>IF(V512=1,COUNTIFS($V$13:V512,1),"")</f>
      </c>
      <c r="X512" s="0">
        <f>IF(COUNTA(B512:L512)=0,"",IF(OR(NOT(IF(ISNUMBER($E$6),AND($E$6&gt;=0,$E$6&lt;=6,$E$6=INT($E$6)),FALSE)),O512=0,R512=0,T512&gt;0,AND(P512&lt;&gt;"DIMENSIONES",P512&lt;&gt;"DIRECTA",P512&lt;&gt;"SIN LÍNEAS",P512&lt;&gt;"CABECERA"),AND(OR(P512="DIRECTA",P512="DIMENSIONES"),U512=0),AND(OR(P512="SIN LÍNEAS",P512="CABECERA"),COUNTA(G512:J512)&gt;0)),2,IF(OR(P512="SIN LÍNEAS",Y512&gt;0,Z512&gt;0,AA512&gt;0,SUMPRODUCT(--('LÉEME'!$B$65:$B$86=AC512))&lt;&gt;1),1,0)))</f>
      </c>
      <c r="Y512" s="0" t="n">
        <f>IF(AND(P512="DIMENSIONES",S512="m²",COUNT(H512:J512)=3),1,0)</f>
        <v>0</v>
      </c>
      <c r="Z512" s="0" t="n">
        <f>IF(IF(ISNUMBER($E$6),AND($E$6&gt;=0,$E$6&lt;=6,$E$6=INT($E$6)),FALSE),IF(SUM(IF(ISNUMBER(F512),IF(ABS(F512-ROUND(F512,$E$6))&gt;0.00000001,1,0),0),IF(ISNUMBER(G512),IF(ABS(G512-ROUND(G512,$E$6))&gt;0.00000001,1,0),0),IF(ISNUMBER(H512),IF(ABS(H512-ROUND(H512,$E$6))&gt;0.00000001,1,0),0),IF(ISNUMBER(I512),IF(ABS(I512-ROUND(I512,$E$6))&gt;0.00000001,1,0),0),IF(ISNUMBER(J512),IF(ABS(J512-ROUND(J512,$E$6))&gt;0.00000001,1,0),0),IF(ISNUMBER(M512),IF(ABS(M512-ROUND(M512,$E$6))&gt;0.00000001,1,0),0))&gt;0,1,0),0)</f>
        <v>0</v>
      </c>
      <c r="AA512" s="0" t="n">
        <f>IF(COUNTA(B512:L512)=0,0,IF(OR(AND(ISNUMBER(F512),F512&lt;0),AND(U512=1,OR(SUM(IF(ISNUMBER(G512),IF(G512=0,1,0),0),IF(ISNUMBER(H512),IF(H512=0,1,0),0),IF(ISNUMBER(I512),IF(I512=0,1,0),0),IF(ISNUMBER(J512),IF(J512=0,1,0),0))&gt;0,COUNTIFS(G512:J512,"&lt;0")&gt;0)),AND(P512="DIMENSIONES",U512=1,OR(AND(S512="m",COUNT(H512:J512)&lt;&gt;1),AND(S512="m²",COUNT(H512:J512)&lt;&gt;2,Y512=0),AND(S512="m³",COUNT(H512:J512)&lt;&gt;3),AND(S512="ud",COUNT(H512:J512)&gt;0))),AND(P512="DIRECTA",OR(S512="m",S512="m²",S512="m³"))),1,0))</f>
        <v>0</v>
      </c>
      <c r="AB512" s="0">
        <f>IF(LEN(TRIM(E512&amp;""))&gt;0,E512,IF(R512&gt;0,INDEX($E$13:$E$512,R512),""))</f>
      </c>
      <c r="AC512" s="0">
        <f>UPPER(SUBSTITUTE(SUBSTITUTE(SUBSTITUTE(SUBSTITUTE(SUBSTITUTE(TRIM(AB512),"²","2"),"³","3"),"^",""),".","")," ",""))</f>
      </c>
    </row>
    <row r="513" ht="22" customHeight="1"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4" ht="22" customHeight="1"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</row>
    <row r="515" ht="22" customHeight="1"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ht="22" customHeight="1"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</row>
  </sheetData>
  <sheetProtection sheet="1" objects="1" scenarios="1" selectLockedCells="0" selectUnlockedCells="0" formatCells="1" formatColumns="0" formatRows="0" insertColumns="1" insertRows="1" deleteColumns="1" deleteRows="1" sort="1" autoFilter="1" pivotTables="1"/>
  <mergeCells>
    <mergeCell ref="B2:M3"/>
    <mergeCell ref="B6:D6"/>
    <mergeCell ref="G6:N6"/>
    <mergeCell ref="B8:N9"/>
    <mergeCell ref="B10:N10"/>
  </mergeCells>
  <conditionalFormatting sqref="N13:N512">
    <cfRule type="expression" dxfId="0" priority="1">
      <formula>AND(ISNUMBER($X13),$X13=0)</formula>
    </cfRule>
    <cfRule type="expression" dxfId="1" priority="2">
      <formula>AND(ISNUMBER($X13),$X13=1)</formula>
    </cfRule>
    <cfRule type="expression" dxfId="2" priority="3">
      <formula>AND(ISNUMBER($X13),$X13=2)</formula>
    </cfRule>
  </conditionalFormatting>
  <dataValidations count="3">
    <dataValidation type="whole" operator="between" sqref="E6" showErrorMessage="1" errorStyle="stop" allowBlank="1" errorTitle="Revisamos el dato" error="Usamos un valor o una opción válidos. No confundimos un pendiente con cero.">
      <formula1>0</formula1>
      <formula2>6</formula2>
    </dataValidation>
    <dataValidation type="list" sqref="L13:L512" showErrorMessage="1" errorStyle="stop" allowBlank="1" errorTitle="Revisamos el dato" error="Usamos un valor o una opción válidos. No confundimos un pendiente con cero.">
      <formula1>"Dimensiones,Directa,Sin líneas,Cabecera"</formula1>
    </dataValidation>
    <dataValidation type="whole" operator="between" sqref="K13:K512" showErrorMessage="1" errorStyle="stop" allowBlank="1" errorTitle="Revisamos el dato" error="Usamos un valor o una opción válidos. No confundimos un pendiente con cero.">
      <formula1>1</formula1>
      <formula2>999999</formula2>
    </dataValidation>
  </dataValidations>
  <printOptions horizontalCentered="1"/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8d071ad0c51c486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>
      <pane ySplit="12" topLeftCell="A13" activePane="bottomLeft" state="frozen"/>
    </sheetView>
  </sheetViews>
  <sheetFormatPr defaultRowHeight="15"/>
  <cols>
    <col min="1" max="1" width="3" hidden="0" customWidth="1"/>
    <col min="2" max="2" width="10" hidden="0" customWidth="1"/>
    <col min="3" max="3" width="24" hidden="0" customWidth="1"/>
    <col min="4" max="4" width="16" hidden="0" customWidth="1"/>
    <col min="5" max="5" width="18" hidden="0" customWidth="1"/>
    <col min="6" max="6" width="17" hidden="0" customWidth="1"/>
    <col min="7" max="7" width="17" hidden="0" customWidth="1"/>
    <col min="8" max="8" width="17" hidden="0" customWidth="1"/>
    <col min="9" max="9" width="13" hidden="0" customWidth="1"/>
    <col min="10" max="10" width="92" hidden="0" customWidth="1"/>
    <col min="11" max="11" hidden="1"/>
    <col min="12" max="12" hidden="1"/>
    <col min="13" max="13" hidden="1"/>
    <col min="14" max="14" hidden="1"/>
    <col min="15" max="15" hidden="1"/>
    <col min="16" max="16" hidden="1"/>
    <col min="17" max="17" hidden="1"/>
    <col min="18" max="18" hidden="1"/>
    <col min="19" max="19" hidden="1"/>
    <col min="20" max="20" hidden="1"/>
    <col min="21" max="21" hidden="1"/>
    <col min="22" max="22" hidden="1"/>
    <col min="23" max="23" hidden="1"/>
    <col min="24" max="24" hidden="1"/>
    <col min="25" max="25" hidden="1"/>
    <col min="26" max="26" hidden="1"/>
    <col min="27" max="27" hidden="1"/>
    <col min="28" max="28" hidden="1"/>
    <col min="29" max="29" hidden="1"/>
    <col min="30" max="30" hidden="1"/>
    <col min="31" max="31" hidden="1"/>
    <col min="32" max="32" hidden="1"/>
    <col min="33" max="33" hidden="1"/>
    <col min="34" max="34" hidden="1"/>
  </cols>
  <sheetData>
    <row r="1" ht="22" customHeight="1">
      <c r="B1" s="27"/>
      <c r="C1" s="27"/>
      <c r="D1" s="27"/>
      <c r="E1" s="27"/>
      <c r="F1" s="27"/>
      <c r="G1" s="27"/>
      <c r="H1" s="27"/>
      <c r="I1" s="27"/>
      <c r="J1" s="27"/>
    </row>
    <row r="2" ht="24" customHeight="1">
      <c r="B2" s="28" t="str">
        <v>Comprobamos cantidades, unidades y repeticiones</v>
      </c>
      <c r="C2" s="28"/>
      <c r="D2" s="28"/>
      <c r="E2" s="28"/>
      <c r="F2" s="28"/>
      <c r="G2" s="28"/>
      <c r="H2" s="28"/>
      <c r="I2" s="28"/>
      <c r="J2" s="27"/>
    </row>
    <row r="3" ht="24" customHeight="1">
      <c r="B3" s="28"/>
      <c r="C3" s="28"/>
      <c r="D3" s="28"/>
      <c r="E3" s="28"/>
      <c r="F3" s="28"/>
      <c r="G3" s="28"/>
      <c r="H3" s="28"/>
      <c r="I3" s="28"/>
      <c r="J3" s="27"/>
    </row>
    <row r="4" ht="22" customHeight="1">
      <c r="B4" s="29"/>
      <c r="C4" s="29"/>
      <c r="D4" s="29"/>
      <c r="E4" s="29"/>
      <c r="F4" s="29"/>
      <c r="G4" s="29"/>
      <c r="H4" s="29"/>
      <c r="I4" s="29"/>
      <c r="J4" s="29"/>
    </row>
    <row r="5" ht="22" customHeight="1">
      <c r="B5" s="27"/>
      <c r="C5" s="27"/>
      <c r="D5" s="27"/>
      <c r="E5" s="27"/>
      <c r="F5" s="27"/>
      <c r="G5" s="27"/>
      <c r="H5" s="27"/>
      <c r="I5" s="27"/>
      <c r="J5" s="27"/>
    </row>
    <row r="6" ht="25" customHeight="1">
      <c r="B6" s="30" t="str">
        <v>Tolerancia de suma</v>
      </c>
      <c r="C6" s="30"/>
      <c r="D6" s="30"/>
      <c r="E6" s="27"/>
      <c r="F6" s="40" t="n">
        <v>0.01</v>
      </c>
      <c r="G6" s="27"/>
      <c r="H6" s="27"/>
      <c r="I6" s="27"/>
      <c r="J6" s="27"/>
    </row>
    <row r="7" ht="22" customHeight="1">
      <c r="B7" s="27"/>
      <c r="C7" s="27"/>
      <c r="D7" s="27"/>
      <c r="E7" s="27"/>
      <c r="F7" s="27"/>
      <c r="G7" s="27"/>
      <c r="H7" s="27"/>
      <c r="I7" s="27"/>
      <c r="J7" s="27"/>
    </row>
    <row r="8" ht="28" customHeight="1">
      <c r="B8" s="33" t="str">
        <v>El semáforo reúne los avisos; que una suma cuadre no confirma su unidad ni el alcance.</v>
      </c>
      <c r="C8" s="33"/>
      <c r="D8" s="33"/>
      <c r="E8" s="33"/>
      <c r="F8" s="33"/>
      <c r="G8" s="33"/>
      <c r="H8" s="27"/>
      <c r="I8" s="27"/>
      <c r="J8" s="41" t="str">
        <v>Totales separados por unidad</v>
      </c>
    </row>
    <row r="9" ht="22" customHeight="1">
      <c r="B9" s="27"/>
      <c r="C9" s="27"/>
      <c r="D9" s="27"/>
      <c r="E9" s="27"/>
      <c r="F9" s="27"/>
      <c r="G9" s="27"/>
      <c r="H9" s="27"/>
      <c r="I9" s="27"/>
      <c r="J9" s="27"/>
    </row>
    <row r="10" ht="22" customHeight="1">
      <c r="B10" s="27"/>
      <c r="C10" s="27"/>
      <c r="D10" s="27"/>
      <c r="E10" s="27"/>
      <c r="F10" s="27"/>
      <c r="G10" s="27"/>
      <c r="H10" s="27"/>
      <c r="I10" s="27"/>
      <c r="J10" s="27"/>
    </row>
    <row r="11" ht="22" customHeight="1">
      <c r="B11" s="27"/>
      <c r="C11" s="27"/>
      <c r="D11" s="27"/>
      <c r="E11" s="27"/>
      <c r="F11" s="27"/>
      <c r="G11" s="27"/>
      <c r="H11" s="27"/>
      <c r="I11" s="27"/>
      <c r="J11" s="27"/>
    </row>
    <row r="12" ht="40" customHeight="1">
      <c r="B12" s="34" t="str">
        <v>ID</v>
      </c>
      <c r="C12" s="34" t="str">
        <v>Capítulo</v>
      </c>
      <c r="D12" s="34" t="str">
        <v>Código</v>
      </c>
      <c r="E12" s="34" t="str">
        <v>Ud</v>
      </c>
      <c r="F12" s="34" t="str">
        <v>Total declarado</v>
      </c>
      <c r="G12" s="34" t="str">
        <v>Suma de líneas</v>
      </c>
      <c r="H12" s="34" t="str">
        <v>Diferencia
líneas − total</v>
      </c>
      <c r="I12" s="34" t="str">
        <v>Semáforo</v>
      </c>
      <c r="J12" s="34" t="str">
        <v>Avisos que revisamos</v>
      </c>
    </row>
    <row r="13" ht="30" hidden="0" customHeight="1">
      <c r="B13" s="27" t="n">
        <f>IF(K13="","",INDEX('PEGAR'!$O$13:$O$512,K13))</f>
        <v>1</v>
      </c>
      <c r="C13" s="30" t="str">
        <f>IF(B13="","",IF(LEN(TRIM(INDEX('PEGAR'!$B$13:$B$512,IF(L13&gt;0,L13,K13))&amp;""))=0,"Sin capítulo",TRIM(INDEX('PEGAR'!$B$13:$B$512,IF(L13&gt;0,L13,K13))&amp;"")))</f>
        <v>Ejemplo · Estructura</v>
      </c>
      <c r="D13" s="27" t="str">
        <f>IF(B13="","",IF(LEN(TRIM(INDEX('PEGAR'!$C$13:$C$512,IF(L13&gt;0,L13,K13))&amp;""))=0,"",TRIM(INDEX('PEGAR'!$C$13:$C$512,IF(L13&gt;0,L13,K13))&amp;"")))</f>
        <v>MUR-01</v>
      </c>
      <c r="E13" s="27" t="str">
        <f>IF(B13="","",INDEX('PEGAR'!$S$13:$S$512,IF(L13&gt;0,L13,K13)))</f>
        <v>m²</v>
      </c>
      <c r="F13" s="39" t="n">
        <f>IF(B13="","",IF(L13&gt;0,INDEX('PEGAR'!$F$13:$F$512,L13),""))</f>
        <v>38.38</v>
      </c>
      <c r="G13" s="39" t="n">
        <f>IF(B13="","",IF(OR(M13=0,N13&gt;0,O13&gt;0),"",SUMIFS('PEGAR'!$M$13:$M$512,'PEGAR'!$O$13:$O$512,B13)))</f>
        <v>38.38</v>
      </c>
      <c r="H13" s="39" t="n">
        <f>IF(AND(ISNUMBER(F13),ISNUMBER(G13)),G13-F13,"")</f>
        <v>0</v>
      </c>
      <c r="I13" s="27" t="str">
        <f>IF(B13="","",IF(W13=2,"ROJO",IF(W13=1,"ÁMBAR","VERDE")))</f>
        <v>ÁMBAR</v>
      </c>
      <c r="J13" s="30" t="str">
        <f>IF(B13="","",IF(W13=0,"Sin avisos numéricos. Revisamos el alcance aparte.",IF(L13=0,"Faltan datos completos de partida; no elegimos un total por suposición."&amp;CHAR(10),"")&amp;IF(N13&gt;0,"Hay filas incompletas o contradictorias; las revisamos en PEGAR."&amp;CHAR(10),"")&amp;IF(O13&gt;0,"Faltan las medidas de alguna fila; no cerramos la suma."&amp;CHAR(10),"")&amp;IF(M13=0,"No constan líneas de medición."&amp;CHAR(10),"")&amp;IF(IF(ISNUMBER(H13),ROUND(ABS(H13),8)&gt;$F$6,FALSE),"Las líneas difieren del total en más de 0,01; confirmamos cantidad o exclusión."&amp;CHAR(10),"")&amp;IF(P13&gt;0,"Parece m³: encontramos tres dimensiones bajo m²."&amp;CHAR(10),"")&amp;IF(R13&gt;0,"Código repetido dentro del capítulo; mantenemos sus ID separados."&amp;CHAR(10),"")&amp;IF(S13&gt;0,"Código repetido en otro capítulo; no unimos las partidas."&amp;CHAR(10),"")&amp;IF(T13&gt;0,"Mismo código con unidades distintas; pedimos aclaración."&amp;CHAR(10),"")&amp;IF(Q13&gt;0,"Hay más precisión que los decimales indicados; cotejamos el formato original."&amp;CHAR(10),"")&amp;IF(U13&gt;0,"Unidad sin normalizar; cotejamos su significado antes de sumar unidades."&amp;CHAR(10),"")&amp;IF(V13&gt;0,"Revisamos dimensiones, cantidades directas, ceros o deducciones en PEGAR."&amp;CHAR(10),"")))</f>
        <v>Parece m³: encontramos tres dimensiones bajo m².
</v>
      </c>
      <c r="K13" s="0" t="n">
        <f>IF(1&gt;'RESUMEN'!$E$6,"",MATCH(1,'PEGAR'!$W$13:$W$512,0))</f>
        <v>1</v>
      </c>
      <c r="L13" s="0" t="n">
        <f>IF(K13="","",INDEX('PEGAR'!$R$13:$R$512,K13))</f>
        <v>1</v>
      </c>
      <c r="M13" s="0" t="n">
        <f>IF(B13="","",COUNTIFS('PEGAR'!$O$13:$O$512,B13,'PEGAR'!$P$13:$P$512,"DIMENSIONES")+COUNTIFS('PEGAR'!$O$13:$O$512,B13,'PEGAR'!$P$13:$P$512,"DIRECTA"))</f>
        <v>5</v>
      </c>
      <c r="N13" s="0" t="n">
        <f>IF(B13="","",COUNTIFS('PEGAR'!$O$13:$O$512,B13,'PEGAR'!$X$13:$X$512,2))</f>
        <v>0</v>
      </c>
      <c r="O13" s="0" t="n">
        <f>IF(B13="","",COUNTIFS('PEGAR'!$O$13:$O$512,B13,'PEGAR'!$P$13:$P$512,"SIN LÍNEAS"))</f>
        <v>0</v>
      </c>
      <c r="P13" s="0" t="n">
        <f>IF(B13="","",SUMIFS('PEGAR'!$Y$13:$Y$512,'PEGAR'!$O$13:$O$512,B13))</f>
        <v>5</v>
      </c>
      <c r="Q13" s="0" t="n">
        <f>IF(B13="","",SUMIFS('PEGAR'!$Z$13:$Z$512,'PEGAR'!$O$13:$O$512,B13))</f>
        <v>0</v>
      </c>
      <c r="R13" s="0" t="n">
        <f>IF(OR(B13="",D13=""),0,SUMPRODUCT(--($B$13:$B$512&lt;&gt;""),--($D$13:$D$512=D13),--($C$13:$C$512=C13))-1)</f>
        <v>0</v>
      </c>
      <c r="S13" s="0" t="n">
        <f>IF(OR(B13="",D13=""),0,SUMPRODUCT(--($B$13:$B$512&lt;&gt;""),--($D$13:$D$512=D13),--($C$13:$C$512&lt;&gt;C13)))</f>
        <v>0</v>
      </c>
      <c r="T13" s="0" t="n">
        <f>IF(OR(B13="",D13=""),0,SUMPRODUCT(--($B$13:$B$512&lt;&gt;""),--($D$13:$D$512=D13),--($E$13:$E$512&lt;&gt;E13)))</f>
        <v>0</v>
      </c>
      <c r="U13" s="0" t="n">
        <f>IF(B13="",0,IF(SUMPRODUCT(--('LÉEME'!$C$65:$C$86=E13))=0,1,0))</f>
        <v>0</v>
      </c>
      <c r="V13" s="0" t="n">
        <f>IF(B13="","",SUMIFS('PEGAR'!$AA$13:$AA$512,'PEGAR'!$O$13:$O$512,B13))</f>
        <v>0</v>
      </c>
      <c r="W13" s="0" t="n">
        <f>IF(B13="","",IF(OR(L13=0,N13&gt;0,T13&gt;0,IF(ISNUMBER(H13),ROUND(ABS(H13),8)&gt;$F$6,FALSE)),2,IF(OR(M13=0,O13&gt;0,P13&gt;0,Q13&gt;0,R13&gt;0,S13&gt;0,U13&gt;0,V13&gt;0),1,0)))</f>
        <v>1</v>
      </c>
      <c r="X13" s="0" t="n">
        <f>IF(B13="","",IF(ISNUMBER(G13),1,0))</f>
        <v>1</v>
      </c>
      <c r="AB13" s="0" t="str">
        <f>IF(AND(ISNUMBER(W13),W13&gt;0),"ID "&amp;B13,"")</f>
        <v>ID 1</v>
      </c>
      <c r="AC13" s="0" t="str">
        <f>IF(AND(ISNUMBER(W13),W13&gt;0),C13,"")</f>
        <v>Ejemplo · Estructura</v>
      </c>
      <c r="AD13" s="0" t="str">
        <f>IF(AND(ISNUMBER(W13),W13&gt;0),D13,"")</f>
        <v>MUR-01</v>
      </c>
      <c r="AE13" s="0" t="str">
        <f>IF(AND(ISNUMBER(W13),W13&gt;0),IF(INDEX('PEGAR'!$D$13:$D$512,IF(L13&gt;0,L13,K13))="","Sin descripción",INDEX('PEGAR'!$D$13:$D$512,IF(L13&gt;0,L13,K13))),"")</f>
        <v>Ejemplo aproximado · muro con unidad a comprobar</v>
      </c>
      <c r="AF13" s="0" t="str">
        <f>IF(AND(ISNUMBER(W13),W13&gt;0),J13,"")</f>
        <v>Parece m³: encontramos tres dimensiones bajo m².
</v>
      </c>
      <c r="AG13" s="0" t="n">
        <f>IF(AND(ISNUMBER(W13),W13&gt;0),W13,0)</f>
        <v>1</v>
      </c>
      <c r="AH13" s="0" t="n">
        <f>IF(AG13&gt;0,COUNTIFS($AG$13:AG13,"&gt;0"),"")</f>
        <v>1</v>
      </c>
    </row>
    <row r="14" ht="15" hidden="0" customHeight="1">
      <c r="B14" s="27" t="n">
        <f>IF(K14="","",INDEX('PEGAR'!$O$13:$O$512,K14))</f>
        <v>2</v>
      </c>
      <c r="C14" s="30" t="str">
        <f>IF(B14="","",IF(LEN(TRIM(INDEX('PEGAR'!$B$13:$B$512,IF(L14&gt;0,L14,K14))&amp;""))=0,"Sin capítulo",TRIM(INDEX('PEGAR'!$B$13:$B$512,IF(L14&gt;0,L14,K14))&amp;"")))</f>
        <v>Ejemplo · Cimentación</v>
      </c>
      <c r="D14" s="27" t="str">
        <f>IF(B14="","",IF(LEN(TRIM(INDEX('PEGAR'!$C$13:$C$512,IF(L14&gt;0,L14,K14))&amp;""))=0,"",TRIM(INDEX('PEGAR'!$C$13:$C$512,IF(L14&gt;0,L14,K14))&amp;"")))</f>
        <v>SOL-01</v>
      </c>
      <c r="E14" s="27" t="str">
        <f>IF(B14="","",INDEX('PEGAR'!$S$13:$S$512,IF(L14&gt;0,L14,K14)))</f>
        <v>m²</v>
      </c>
      <c r="F14" s="39" t="n">
        <f>IF(B14="","",IF(L14&gt;0,INDEX('PEGAR'!$F$13:$F$512,L14),""))</f>
        <v>74</v>
      </c>
      <c r="G14" s="39" t="n">
        <f>IF(B14="","",IF(OR(M14=0,N14&gt;0,O14&gt;0),"",SUMIFS('PEGAR'!$M$13:$M$512,'PEGAR'!$O$13:$O$512,B14)))</f>
        <v>74</v>
      </c>
      <c r="H14" s="39" t="n">
        <f>IF(AND(ISNUMBER(F14),ISNUMBER(G14)),G14-F14,"")</f>
        <v>0</v>
      </c>
      <c r="I14" s="27" t="str">
        <f>IF(B14="","",IF(W14=2,"ROJO",IF(W14=1,"ÁMBAR","VERDE")))</f>
        <v>VERDE</v>
      </c>
      <c r="J14" s="30" t="str">
        <f>IF(B14="","",IF(W14=0,"Sin avisos numéricos. Revisamos el alcance aparte.",IF(L14=0,"Faltan datos completos de partida; no elegimos un total por suposición."&amp;CHAR(10),"")&amp;IF(N14&gt;0,"Hay filas incompletas o contradictorias; las revisamos en PEGAR."&amp;CHAR(10),"")&amp;IF(O14&gt;0,"Faltan las medidas de alguna fila; no cerramos la suma."&amp;CHAR(10),"")&amp;IF(M14=0,"No constan líneas de medición."&amp;CHAR(10),"")&amp;IF(IF(ISNUMBER(H14),ROUND(ABS(H14),8)&gt;$F$6,FALSE),"Las líneas difieren del total en más de 0,01; confirmamos cantidad o exclusión."&amp;CHAR(10),"")&amp;IF(P14&gt;0,"Parece m³: encontramos tres dimensiones bajo m²."&amp;CHAR(10),"")&amp;IF(R14&gt;0,"Código repetido dentro del capítulo; mantenemos sus ID separados."&amp;CHAR(10),"")&amp;IF(S14&gt;0,"Código repetido en otro capítulo; no unimos las partidas."&amp;CHAR(10),"")&amp;IF(T14&gt;0,"Mismo código con unidades distintas; pedimos aclaración."&amp;CHAR(10),"")&amp;IF(Q14&gt;0,"Hay más precisión que los decimales indicados; cotejamos el formato original."&amp;CHAR(10),"")&amp;IF(U14&gt;0,"Unidad sin normalizar; cotejamos su significado antes de sumar unidades."&amp;CHAR(10),"")&amp;IF(V14&gt;0,"Revisamos dimensiones, cantidades directas, ceros o deducciones en PEGAR."&amp;CHAR(10),"")))</f>
        <v>Sin avisos numéricos. Revisamos el alcance aparte.</v>
      </c>
      <c r="K14" s="0" t="n">
        <f>IF(2&gt;'RESUMEN'!$E$6,"",MATCH(2,'PEGAR'!$W$13:$W$512,0))</f>
        <v>6</v>
      </c>
      <c r="L14" s="0" t="n">
        <f>IF(K14="","",INDEX('PEGAR'!$R$13:$R$512,K14))</f>
        <v>6</v>
      </c>
      <c r="M14" s="0" t="n">
        <f>IF(B14="","",COUNTIFS('PEGAR'!$O$13:$O$512,B14,'PEGAR'!$P$13:$P$512,"DIMENSIONES")+COUNTIFS('PEGAR'!$O$13:$O$512,B14,'PEGAR'!$P$13:$P$512,"DIRECTA"))</f>
        <v>2</v>
      </c>
      <c r="N14" s="0" t="n">
        <f>IF(B14="","",COUNTIFS('PEGAR'!$O$13:$O$512,B14,'PEGAR'!$X$13:$X$512,2))</f>
        <v>0</v>
      </c>
      <c r="O14" s="0" t="n">
        <f>IF(B14="","",COUNTIFS('PEGAR'!$O$13:$O$512,B14,'PEGAR'!$P$13:$P$512,"SIN LÍNEAS"))</f>
        <v>0</v>
      </c>
      <c r="P14" s="0" t="n">
        <f>IF(B14="","",SUMIFS('PEGAR'!$Y$13:$Y$512,'PEGAR'!$O$13:$O$512,B14))</f>
        <v>0</v>
      </c>
      <c r="Q14" s="0" t="n">
        <f>IF(B14="","",SUMIFS('PEGAR'!$Z$13:$Z$512,'PEGAR'!$O$13:$O$512,B14))</f>
        <v>0</v>
      </c>
      <c r="R14" s="0" t="n">
        <f>IF(OR(B14="",D14=""),0,SUMPRODUCT(--($B$13:$B$512&lt;&gt;""),--($D$13:$D$512=D14),--($C$13:$C$512=C14))-1)</f>
        <v>0</v>
      </c>
      <c r="S14" s="0" t="n">
        <f>IF(OR(B14="",D14=""),0,SUMPRODUCT(--($B$13:$B$512&lt;&gt;""),--($D$13:$D$512=D14),--($C$13:$C$512&lt;&gt;C14)))</f>
        <v>0</v>
      </c>
      <c r="T14" s="0" t="n">
        <f>IF(OR(B14="",D14=""),0,SUMPRODUCT(--($B$13:$B$512&lt;&gt;""),--($D$13:$D$512=D14),--($E$13:$E$512&lt;&gt;E14)))</f>
        <v>0</v>
      </c>
      <c r="U14" s="0" t="n">
        <f>IF(B14="",0,IF(SUMPRODUCT(--('LÉEME'!$C$65:$C$86=E14))=0,1,0))</f>
        <v>0</v>
      </c>
      <c r="V14" s="0" t="n">
        <f>IF(B14="","",SUMIFS('PEGAR'!$AA$13:$AA$512,'PEGAR'!$O$13:$O$512,B14))</f>
        <v>0</v>
      </c>
      <c r="W14" s="0" t="n">
        <f>IF(B14="","",IF(OR(L14=0,N14&gt;0,T14&gt;0,IF(ISNUMBER(H14),ROUND(ABS(H14),8)&gt;$F$6,FALSE)),2,IF(OR(M14=0,O14&gt;0,P14&gt;0,Q14&gt;0,R14&gt;0,S14&gt;0,U14&gt;0,V14&gt;0),1,0)))</f>
        <v>0</v>
      </c>
      <c r="X14" s="0" t="n">
        <f>IF(B14="","",IF(ISNUMBER(G14),1,0))</f>
        <v>1</v>
      </c>
      <c r="AB14" s="0">
        <f>IF(AND(ISNUMBER(W14),W14&gt;0),"ID "&amp;B14,"")</f>
      </c>
      <c r="AC14" s="0">
        <f>IF(AND(ISNUMBER(W14),W14&gt;0),C14,"")</f>
      </c>
      <c r="AD14" s="0">
        <f>IF(AND(ISNUMBER(W14),W14&gt;0),D14,"")</f>
      </c>
      <c r="AE14" s="0">
        <f>IF(AND(ISNUMBER(W14),W14&gt;0),IF(INDEX('PEGAR'!$D$13:$D$512,IF(L14&gt;0,L14,K14))="","Sin descripción",INDEX('PEGAR'!$D$13:$D$512,IF(L14&gt;0,L14,K14))),"")</f>
      </c>
      <c r="AF14" s="0">
        <f>IF(AND(ISNUMBER(W14),W14&gt;0),J14,"")</f>
      </c>
      <c r="AG14" s="0" t="n">
        <f>IF(AND(ISNUMBER(W14),W14&gt;0),W14,0)</f>
        <v>0</v>
      </c>
      <c r="AH14" s="0">
        <f>IF(AG14&gt;0,COUNTIFS($AG$13:AG14,"&gt;0"),"")</f>
      </c>
    </row>
    <row r="15" ht="30" hidden="0" customHeight="1">
      <c r="B15" s="27" t="n">
        <f>IF(K15="","",INDEX('PEGAR'!$O$13:$O$512,K15))</f>
        <v>3</v>
      </c>
      <c r="C15" s="30" t="str">
        <f>IF(B15="","",IF(LEN(TRIM(INDEX('PEGAR'!$B$13:$B$512,IF(L15&gt;0,L15,K15))&amp;""))=0,"Sin capítulo",TRIM(INDEX('PEGAR'!$B$13:$B$512,IF(L15&gt;0,L15,K15))&amp;"")))</f>
        <v>Ejemplo · Cimentación</v>
      </c>
      <c r="D15" s="27" t="str">
        <f>IF(B15="","",IF(LEN(TRIM(INDEX('PEGAR'!$C$13:$C$512,IF(L15&gt;0,L15,K15))&amp;""))=0,"",TRIM(INDEX('PEGAR'!$C$13:$C$512,IF(L15&gt;0,L15,K15))&amp;"")))</f>
        <v>BASE-01</v>
      </c>
      <c r="E15" s="27" t="str">
        <f>IF(B15="","",INDEX('PEGAR'!$S$13:$S$512,IF(L15&gt;0,L15,K15)))</f>
        <v>m³</v>
      </c>
      <c r="F15" s="39" t="n">
        <f>IF(B15="","",IF(L15&gt;0,INDEX('PEGAR'!$F$13:$F$512,L15),""))</f>
        <v>25</v>
      </c>
      <c r="G15" s="39" t="n">
        <f>IF(B15="","",IF(OR(M15=0,N15&gt;0,O15&gt;0),"",SUMIFS('PEGAR'!$M$13:$M$512,'PEGAR'!$O$13:$O$512,B15)))</f>
        <v>25</v>
      </c>
      <c r="H15" s="39" t="n">
        <f>IF(AND(ISNUMBER(F15),ISNUMBER(G15)),G15-F15,"")</f>
        <v>0</v>
      </c>
      <c r="I15" s="27" t="str">
        <f>IF(B15="","",IF(W15=2,"ROJO",IF(W15=1,"ÁMBAR","VERDE")))</f>
        <v>ÁMBAR</v>
      </c>
      <c r="J15" s="30" t="str">
        <f>IF(B15="","",IF(W15=0,"Sin avisos numéricos. Revisamos el alcance aparte.",IF(L15=0,"Faltan datos completos de partida; no elegimos un total por suposición."&amp;CHAR(10),"")&amp;IF(N15&gt;0,"Hay filas incompletas o contradictorias; las revisamos en PEGAR."&amp;CHAR(10),"")&amp;IF(O15&gt;0,"Faltan las medidas de alguna fila; no cerramos la suma."&amp;CHAR(10),"")&amp;IF(M15=0,"No constan líneas de medición."&amp;CHAR(10),"")&amp;IF(IF(ISNUMBER(H15),ROUND(ABS(H15),8)&gt;$F$6,FALSE),"Las líneas difieren del total en más de 0,01; confirmamos cantidad o exclusión."&amp;CHAR(10),"")&amp;IF(P15&gt;0,"Parece m³: encontramos tres dimensiones bajo m²."&amp;CHAR(10),"")&amp;IF(R15&gt;0,"Código repetido dentro del capítulo; mantenemos sus ID separados."&amp;CHAR(10),"")&amp;IF(S15&gt;0,"Código repetido en otro capítulo; no unimos las partidas."&amp;CHAR(10),"")&amp;IF(T15&gt;0,"Mismo código con unidades distintas; pedimos aclaración."&amp;CHAR(10),"")&amp;IF(Q15&gt;0,"Hay más precisión que los decimales indicados; cotejamos el formato original."&amp;CHAR(10),"")&amp;IF(U15&gt;0,"Unidad sin normalizar; cotejamos su significado antes de sumar unidades."&amp;CHAR(10),"")&amp;IF(V15&gt;0,"Revisamos dimensiones, cantidades directas, ceros o deducciones en PEGAR."&amp;CHAR(10),"")))</f>
        <v>Revisamos dimensiones, cantidades directas, ceros o deducciones en PEGAR.
</v>
      </c>
      <c r="K15" s="0" t="n">
        <f>IF(3&gt;'RESUMEN'!$E$6,"",MATCH(3,'PEGAR'!$W$13:$W$512,0))</f>
        <v>8</v>
      </c>
      <c r="L15" s="0" t="n">
        <f>IF(K15="","",INDEX('PEGAR'!$R$13:$R$512,K15))</f>
        <v>8</v>
      </c>
      <c r="M15" s="0" t="n">
        <f>IF(B15="","",COUNTIFS('PEGAR'!$O$13:$O$512,B15,'PEGAR'!$P$13:$P$512,"DIMENSIONES")+COUNTIFS('PEGAR'!$O$13:$O$512,B15,'PEGAR'!$P$13:$P$512,"DIRECTA"))</f>
        <v>1</v>
      </c>
      <c r="N15" s="0" t="n">
        <f>IF(B15="","",COUNTIFS('PEGAR'!$O$13:$O$512,B15,'PEGAR'!$X$13:$X$512,2))</f>
        <v>0</v>
      </c>
      <c r="O15" s="0" t="n">
        <f>IF(B15="","",COUNTIFS('PEGAR'!$O$13:$O$512,B15,'PEGAR'!$P$13:$P$512,"SIN LÍNEAS"))</f>
        <v>0</v>
      </c>
      <c r="P15" s="0" t="n">
        <f>IF(B15="","",SUMIFS('PEGAR'!$Y$13:$Y$512,'PEGAR'!$O$13:$O$512,B15))</f>
        <v>0</v>
      </c>
      <c r="Q15" s="0" t="n">
        <f>IF(B15="","",SUMIFS('PEGAR'!$Z$13:$Z$512,'PEGAR'!$O$13:$O$512,B15))</f>
        <v>0</v>
      </c>
      <c r="R15" s="0" t="n">
        <f>IF(OR(B15="",D15=""),0,SUMPRODUCT(--($B$13:$B$512&lt;&gt;""),--($D$13:$D$512=D15),--($C$13:$C$512=C15))-1)</f>
        <v>0</v>
      </c>
      <c r="S15" s="0" t="n">
        <f>IF(OR(B15="",D15=""),0,SUMPRODUCT(--($B$13:$B$512&lt;&gt;""),--($D$13:$D$512=D15),--($C$13:$C$512&lt;&gt;C15)))</f>
        <v>0</v>
      </c>
      <c r="T15" s="0" t="n">
        <f>IF(OR(B15="",D15=""),0,SUMPRODUCT(--($B$13:$B$512&lt;&gt;""),--($D$13:$D$512=D15),--($E$13:$E$512&lt;&gt;E15)))</f>
        <v>0</v>
      </c>
      <c r="U15" s="0" t="n">
        <f>IF(B15="",0,IF(SUMPRODUCT(--('LÉEME'!$C$65:$C$86=E15))=0,1,0))</f>
        <v>0</v>
      </c>
      <c r="V15" s="0" t="n">
        <f>IF(B15="","",SUMIFS('PEGAR'!$AA$13:$AA$512,'PEGAR'!$O$13:$O$512,B15))</f>
        <v>1</v>
      </c>
      <c r="W15" s="0" t="n">
        <f>IF(B15="","",IF(OR(L15=0,N15&gt;0,T15&gt;0,IF(ISNUMBER(H15),ROUND(ABS(H15),8)&gt;$F$6,FALSE)),2,IF(OR(M15=0,O15&gt;0,P15&gt;0,Q15&gt;0,R15&gt;0,S15&gt;0,U15&gt;0,V15&gt;0),1,0)))</f>
        <v>1</v>
      </c>
      <c r="X15" s="0" t="n">
        <f>IF(B15="","",IF(ISNUMBER(G15),1,0))</f>
        <v>1</v>
      </c>
      <c r="AB15" s="0" t="str">
        <f>IF(AND(ISNUMBER(W15),W15&gt;0),"ID "&amp;B15,"")</f>
        <v>ID 3</v>
      </c>
      <c r="AC15" s="0" t="str">
        <f>IF(AND(ISNUMBER(W15),W15&gt;0),C15,"")</f>
        <v>Ejemplo · Cimentación</v>
      </c>
      <c r="AD15" s="0" t="str">
        <f>IF(AND(ISNUMBER(W15),W15&gt;0),D15,"")</f>
        <v>BASE-01</v>
      </c>
      <c r="AE15" s="0" t="str">
        <f>IF(AND(ISNUMBER(W15),W15&gt;0),IF(INDEX('PEGAR'!$D$13:$D$512,IF(L15&gt;0,L15,K15))="","Sin descripción",INDEX('PEGAR'!$D$13:$D$512,IF(L15&gt;0,L15,K15))),"")</f>
        <v>Ejemplo real anonimizado · encachado separado; revisar zonas</v>
      </c>
      <c r="AF15" s="0" t="str">
        <f>IF(AND(ISNUMBER(W15),W15&gt;0),J15,"")</f>
        <v>Revisamos dimensiones, cantidades directas, ceros o deducciones en PEGAR.
</v>
      </c>
      <c r="AG15" s="0" t="n">
        <f>IF(AND(ISNUMBER(W15),W15&gt;0),W15,0)</f>
        <v>1</v>
      </c>
      <c r="AH15" s="0" t="n">
        <f>IF(AG15&gt;0,COUNTIFS($AG$13:AG15,"&gt;0"),"")</f>
        <v>2</v>
      </c>
    </row>
    <row r="16" ht="30" hidden="0" customHeight="1">
      <c r="B16" s="27" t="n">
        <f>IF(K16="","",INDEX('PEGAR'!$O$13:$O$512,K16))</f>
        <v>4</v>
      </c>
      <c r="C16" s="30" t="str">
        <f>IF(B16="","",IF(LEN(TRIM(INDEX('PEGAR'!$B$13:$B$512,IF(L16&gt;0,L16,K16))&amp;""))=0,"Sin capítulo",TRIM(INDEX('PEGAR'!$B$13:$B$512,IF(L16&gt;0,L16,K16))&amp;"")))</f>
        <v>Ejemplo · Equipamiento</v>
      </c>
      <c r="D16" s="27" t="str">
        <f>IF(B16="","",IF(LEN(TRIM(INDEX('PEGAR'!$C$13:$C$512,IF(L16&gt;0,L16,K16))&amp;""))=0,"",TRIM(INDEX('PEGAR'!$C$13:$C$512,IF(L16&gt;0,L16,K16))&amp;"")))</f>
        <v>EQU-01</v>
      </c>
      <c r="E16" s="27" t="str">
        <f>IF(B16="","",INDEX('PEGAR'!$S$13:$S$512,IF(L16&gt;0,L16,K16)))</f>
        <v>ud</v>
      </c>
      <c r="F16" s="39" t="n">
        <f>IF(B16="","",IF(L16&gt;0,INDEX('PEGAR'!$F$13:$F$512,L16),""))</f>
        <v>0</v>
      </c>
      <c r="G16" s="39" t="n">
        <f>IF(B16="","",IF(OR(M16=0,N16&gt;0,O16&gt;0),"",SUMIFS('PEGAR'!$M$13:$M$512,'PEGAR'!$O$13:$O$512,B16)))</f>
        <v>1</v>
      </c>
      <c r="H16" s="39" t="n">
        <f>IF(AND(ISNUMBER(F16),ISNUMBER(G16)),G16-F16,"")</f>
        <v>1</v>
      </c>
      <c r="I16" s="27" t="str">
        <f>IF(B16="","",IF(W16=2,"ROJO",IF(W16=1,"ÁMBAR","VERDE")))</f>
        <v>ROJO</v>
      </c>
      <c r="J16" s="30" t="str">
        <f>IF(B16="","",IF(W16=0,"Sin avisos numéricos. Revisamos el alcance aparte.",IF(L16=0,"Faltan datos completos de partida; no elegimos un total por suposición."&amp;CHAR(10),"")&amp;IF(N16&gt;0,"Hay filas incompletas o contradictorias; las revisamos en PEGAR."&amp;CHAR(10),"")&amp;IF(O16&gt;0,"Faltan las medidas de alguna fila; no cerramos la suma."&amp;CHAR(10),"")&amp;IF(M16=0,"No constan líneas de medición."&amp;CHAR(10),"")&amp;IF(IF(ISNUMBER(H16),ROUND(ABS(H16),8)&gt;$F$6,FALSE),"Las líneas difieren del total en más de 0,01; confirmamos cantidad o exclusión."&amp;CHAR(10),"")&amp;IF(P16&gt;0,"Parece m³: encontramos tres dimensiones bajo m²."&amp;CHAR(10),"")&amp;IF(R16&gt;0,"Código repetido dentro del capítulo; mantenemos sus ID separados."&amp;CHAR(10),"")&amp;IF(S16&gt;0,"Código repetido en otro capítulo; no unimos las partidas."&amp;CHAR(10),"")&amp;IF(T16&gt;0,"Mismo código con unidades distintas; pedimos aclaración."&amp;CHAR(10),"")&amp;IF(Q16&gt;0,"Hay más precisión que los decimales indicados; cotejamos el formato original."&amp;CHAR(10),"")&amp;IF(U16&gt;0,"Unidad sin normalizar; cotejamos su significado antes de sumar unidades."&amp;CHAR(10),"")&amp;IF(V16&gt;0,"Revisamos dimensiones, cantidades directas, ceros o deducciones en PEGAR."&amp;CHAR(10),"")))</f>
        <v>Las líneas difieren del total en más de 0,01; confirmamos cantidad o exclusión.
</v>
      </c>
      <c r="K16" s="0" t="n">
        <f>IF(4&gt;'RESUMEN'!$E$6,"",MATCH(4,'PEGAR'!$W$13:$W$512,0))</f>
        <v>9</v>
      </c>
      <c r="L16" s="0" t="n">
        <f>IF(K16="","",INDEX('PEGAR'!$R$13:$R$512,K16))</f>
        <v>9</v>
      </c>
      <c r="M16" s="0" t="n">
        <f>IF(B16="","",COUNTIFS('PEGAR'!$O$13:$O$512,B16,'PEGAR'!$P$13:$P$512,"DIMENSIONES")+COUNTIFS('PEGAR'!$O$13:$O$512,B16,'PEGAR'!$P$13:$P$512,"DIRECTA"))</f>
        <v>1</v>
      </c>
      <c r="N16" s="0" t="n">
        <f>IF(B16="","",COUNTIFS('PEGAR'!$O$13:$O$512,B16,'PEGAR'!$X$13:$X$512,2))</f>
        <v>0</v>
      </c>
      <c r="O16" s="0" t="n">
        <f>IF(B16="","",COUNTIFS('PEGAR'!$O$13:$O$512,B16,'PEGAR'!$P$13:$P$512,"SIN LÍNEAS"))</f>
        <v>0</v>
      </c>
      <c r="P16" s="0" t="n">
        <f>IF(B16="","",SUMIFS('PEGAR'!$Y$13:$Y$512,'PEGAR'!$O$13:$O$512,B16))</f>
        <v>0</v>
      </c>
      <c r="Q16" s="0" t="n">
        <f>IF(B16="","",SUMIFS('PEGAR'!$Z$13:$Z$512,'PEGAR'!$O$13:$O$512,B16))</f>
        <v>0</v>
      </c>
      <c r="R16" s="0" t="n">
        <f>IF(OR(B16="",D16=""),0,SUMPRODUCT(--($B$13:$B$512&lt;&gt;""),--($D$13:$D$512=D16),--($C$13:$C$512=C16))-1)</f>
        <v>0</v>
      </c>
      <c r="S16" s="0" t="n">
        <f>IF(OR(B16="",D16=""),0,SUMPRODUCT(--($B$13:$B$512&lt;&gt;""),--($D$13:$D$512=D16),--($C$13:$C$512&lt;&gt;C16)))</f>
        <v>0</v>
      </c>
      <c r="T16" s="0" t="n">
        <f>IF(OR(B16="",D16=""),0,SUMPRODUCT(--($B$13:$B$512&lt;&gt;""),--($D$13:$D$512=D16),--($E$13:$E$512&lt;&gt;E16)))</f>
        <v>0</v>
      </c>
      <c r="U16" s="0" t="n">
        <f>IF(B16="",0,IF(SUMPRODUCT(--('LÉEME'!$C$65:$C$86=E16))=0,1,0))</f>
        <v>0</v>
      </c>
      <c r="V16" s="0" t="n">
        <f>IF(B16="","",SUMIFS('PEGAR'!$AA$13:$AA$512,'PEGAR'!$O$13:$O$512,B16))</f>
        <v>0</v>
      </c>
      <c r="W16" s="0" t="n">
        <f>IF(B16="","",IF(OR(L16=0,N16&gt;0,T16&gt;0,IF(ISNUMBER(H16),ROUND(ABS(H16),8)&gt;$F$6,FALSE)),2,IF(OR(M16=0,O16&gt;0,P16&gt;0,Q16&gt;0,R16&gt;0,S16&gt;0,U16&gt;0,V16&gt;0),1,0)))</f>
        <v>2</v>
      </c>
      <c r="X16" s="0" t="n">
        <f>IF(B16="","",IF(ISNUMBER(G16),1,0))</f>
        <v>1</v>
      </c>
      <c r="AB16" s="0" t="str">
        <f>IF(AND(ISNUMBER(W16),W16&gt;0),"ID "&amp;B16,"")</f>
        <v>ID 4</v>
      </c>
      <c r="AC16" s="0" t="str">
        <f>IF(AND(ISNUMBER(W16),W16&gt;0),C16,"")</f>
        <v>Ejemplo · Equipamiento</v>
      </c>
      <c r="AD16" s="0" t="str">
        <f>IF(AND(ISNUMBER(W16),W16&gt;0),D16,"")</f>
        <v>EQU-01</v>
      </c>
      <c r="AE16" s="0" t="str">
        <f>IF(AND(ISNUMBER(W16),W16&gt;0),IF(INDEX('PEGAR'!$D$13:$D$512,IF(L16&gt;0,L16,K16))="","Sin descripción",INDEX('PEGAR'!$D$13:$D$512,IF(L16&gt;0,L16,K16))),"")</f>
        <v>Ejemplo real anonimizado · confirmamos cero frente a una unidad</v>
      </c>
      <c r="AF16" s="0" t="str">
        <f>IF(AND(ISNUMBER(W16),W16&gt;0),J16,"")</f>
        <v>Las líneas difieren del total en más de 0,01; confirmamos cantidad o exclusión.
</v>
      </c>
      <c r="AG16" s="0" t="n">
        <f>IF(AND(ISNUMBER(W16),W16&gt;0),W16,0)</f>
        <v>2</v>
      </c>
      <c r="AH16" s="0" t="n">
        <f>IF(AG16&gt;0,COUNTIFS($AG$13:AG16,"&gt;0"),"")</f>
        <v>3</v>
      </c>
    </row>
    <row r="17" ht="22" customHeight="1">
      <c r="B17" s="27">
        <f>IF(K17="","",INDEX('PEGAR'!$O$13:$O$512,K17))</f>
      </c>
      <c r="C17" s="30">
        <f>IF(B17="","",IF(LEN(TRIM(INDEX('PEGAR'!$B$13:$B$512,IF(L17&gt;0,L17,K17))&amp;""))=0,"Sin capítulo",TRIM(INDEX('PEGAR'!$B$13:$B$512,IF(L17&gt;0,L17,K17))&amp;"")))</f>
      </c>
      <c r="D17" s="27">
        <f>IF(B17="","",IF(LEN(TRIM(INDEX('PEGAR'!$C$13:$C$512,IF(L17&gt;0,L17,K17))&amp;""))=0,"",TRIM(INDEX('PEGAR'!$C$13:$C$512,IF(L17&gt;0,L17,K17))&amp;"")))</f>
      </c>
      <c r="E17" s="27">
        <f>IF(B17="","",INDEX('PEGAR'!$S$13:$S$512,IF(L17&gt;0,L17,K17)))</f>
      </c>
      <c r="F17" s="39">
        <f>IF(B17="","",IF(L17&gt;0,INDEX('PEGAR'!$F$13:$F$512,L17),""))</f>
      </c>
      <c r="G17" s="39">
        <f>IF(B17="","",IF(OR(M17=0,N17&gt;0,O17&gt;0),"",SUMIFS('PEGAR'!$M$13:$M$512,'PEGAR'!$O$13:$O$512,B17)))</f>
      </c>
      <c r="H17" s="39">
        <f>IF(AND(ISNUMBER(F17),ISNUMBER(G17)),G17-F17,"")</f>
      </c>
      <c r="I17" s="27">
        <f>IF(B17="","",IF(W17=2,"ROJO",IF(W17=1,"ÁMBAR","VERDE")))</f>
      </c>
      <c r="J17" s="30">
        <f>IF(B17="","",IF(W17=0,"Sin avisos numéricos. Revisamos el alcance aparte.",IF(L17=0,"Faltan datos completos de partida; no elegimos un total por suposición."&amp;CHAR(10),"")&amp;IF(N17&gt;0,"Hay filas incompletas o contradictorias; las revisamos en PEGAR."&amp;CHAR(10),"")&amp;IF(O17&gt;0,"Faltan las medidas de alguna fila; no cerramos la suma."&amp;CHAR(10),"")&amp;IF(M17=0,"No constan líneas de medición."&amp;CHAR(10),"")&amp;IF(IF(ISNUMBER(H17),ROUND(ABS(H17),8)&gt;$F$6,FALSE),"Las líneas difieren del total en más de 0,01; confirmamos cantidad o exclusión."&amp;CHAR(10),"")&amp;IF(P17&gt;0,"Parece m³: encontramos tres dimensiones bajo m²."&amp;CHAR(10),"")&amp;IF(R17&gt;0,"Código repetido dentro del capítulo; mantenemos sus ID separados."&amp;CHAR(10),"")&amp;IF(S17&gt;0,"Código repetido en otro capítulo; no unimos las partidas."&amp;CHAR(10),"")&amp;IF(T17&gt;0,"Mismo código con unidades distintas; pedimos aclaración."&amp;CHAR(10),"")&amp;IF(Q17&gt;0,"Hay más precisión que los decimales indicados; cotejamos el formato original."&amp;CHAR(10),"")&amp;IF(U17&gt;0,"Unidad sin normalizar; cotejamos su significado antes de sumar unidades."&amp;CHAR(10),"")&amp;IF(V17&gt;0,"Revisamos dimensiones, cantidades directas, ceros o deducciones en PEGAR."&amp;CHAR(10),"")))</f>
      </c>
      <c r="K17" s="0">
        <f>IF(5&gt;'RESUMEN'!$E$6,"",MATCH(5,'PEGAR'!$W$13:$W$512,0))</f>
      </c>
      <c r="L17" s="0">
        <f>IF(K17="","",INDEX('PEGAR'!$R$13:$R$512,K17))</f>
      </c>
      <c r="M17" s="0">
        <f>IF(B17="","",COUNTIFS('PEGAR'!$O$13:$O$512,B17,'PEGAR'!$P$13:$P$512,"DIMENSIONES")+COUNTIFS('PEGAR'!$O$13:$O$512,B17,'PEGAR'!$P$13:$P$512,"DIRECTA"))</f>
      </c>
      <c r="N17" s="0">
        <f>IF(B17="","",COUNTIFS('PEGAR'!$O$13:$O$512,B17,'PEGAR'!$X$13:$X$512,2))</f>
      </c>
      <c r="O17" s="0">
        <f>IF(B17="","",COUNTIFS('PEGAR'!$O$13:$O$512,B17,'PEGAR'!$P$13:$P$512,"SIN LÍNEAS"))</f>
      </c>
      <c r="P17" s="0">
        <f>IF(B17="","",SUMIFS('PEGAR'!$Y$13:$Y$512,'PEGAR'!$O$13:$O$512,B17))</f>
      </c>
      <c r="Q17" s="0">
        <f>IF(B17="","",SUMIFS('PEGAR'!$Z$13:$Z$512,'PEGAR'!$O$13:$O$512,B17))</f>
      </c>
      <c r="R17" s="0" t="n">
        <f>IF(OR(B17="",D17=""),0,SUMPRODUCT(--($B$13:$B$512&lt;&gt;""),--($D$13:$D$512=D17),--($C$13:$C$512=C17))-1)</f>
        <v>0</v>
      </c>
      <c r="S17" s="0" t="n">
        <f>IF(OR(B17="",D17=""),0,SUMPRODUCT(--($B$13:$B$512&lt;&gt;""),--($D$13:$D$512=D17),--($C$13:$C$512&lt;&gt;C17)))</f>
        <v>0</v>
      </c>
      <c r="T17" s="0" t="n">
        <f>IF(OR(B17="",D17=""),0,SUMPRODUCT(--($B$13:$B$512&lt;&gt;""),--($D$13:$D$512=D17),--($E$13:$E$512&lt;&gt;E17)))</f>
        <v>0</v>
      </c>
      <c r="U17" s="0" t="n">
        <f>IF(B17="",0,IF(SUMPRODUCT(--('LÉEME'!$C$65:$C$86=E17))=0,1,0))</f>
        <v>0</v>
      </c>
      <c r="V17" s="0">
        <f>IF(B17="","",SUMIFS('PEGAR'!$AA$13:$AA$512,'PEGAR'!$O$13:$O$512,B17))</f>
      </c>
      <c r="W17" s="0">
        <f>IF(B17="","",IF(OR(L17=0,N17&gt;0,T17&gt;0,IF(ISNUMBER(H17),ROUND(ABS(H17),8)&gt;$F$6,FALSE)),2,IF(OR(M17=0,O17&gt;0,P17&gt;0,Q17&gt;0,R17&gt;0,S17&gt;0,U17&gt;0,V17&gt;0),1,0)))</f>
      </c>
      <c r="X17" s="0">
        <f>IF(B17="","",IF(ISNUMBER(G17),1,0))</f>
      </c>
      <c r="AB17" s="0">
        <f>IF(AND(ISNUMBER(W17),W17&gt;0),"ID "&amp;B17,"")</f>
      </c>
      <c r="AC17" s="0">
        <f>IF(AND(ISNUMBER(W17),W17&gt;0),C17,"")</f>
      </c>
      <c r="AD17" s="0">
        <f>IF(AND(ISNUMBER(W17),W17&gt;0),D17,"")</f>
      </c>
      <c r="AE17" s="0">
        <f>IF(AND(ISNUMBER(W17),W17&gt;0),IF(INDEX('PEGAR'!$D$13:$D$512,IF(L17&gt;0,L17,K17))="","Sin descripción",INDEX('PEGAR'!$D$13:$D$512,IF(L17&gt;0,L17,K17))),"")</f>
      </c>
      <c r="AF17" s="0">
        <f>IF(AND(ISNUMBER(W17),W17&gt;0),J17,"")</f>
      </c>
      <c r="AG17" s="0" t="n">
        <f>IF(AND(ISNUMBER(W17),W17&gt;0),W17,0)</f>
        <v>0</v>
      </c>
      <c r="AH17" s="0">
        <f>IF(AG17&gt;0,COUNTIFS($AG$13:AG17,"&gt;0"),"")</f>
      </c>
    </row>
    <row r="18" ht="22" customHeight="1">
      <c r="B18" s="27">
        <f>IF(K18="","",INDEX('PEGAR'!$O$13:$O$512,K18))</f>
      </c>
      <c r="C18" s="30">
        <f>IF(B18="","",IF(LEN(TRIM(INDEX('PEGAR'!$B$13:$B$512,IF(L18&gt;0,L18,K18))&amp;""))=0,"Sin capítulo",TRIM(INDEX('PEGAR'!$B$13:$B$512,IF(L18&gt;0,L18,K18))&amp;"")))</f>
      </c>
      <c r="D18" s="27">
        <f>IF(B18="","",IF(LEN(TRIM(INDEX('PEGAR'!$C$13:$C$512,IF(L18&gt;0,L18,K18))&amp;""))=0,"",TRIM(INDEX('PEGAR'!$C$13:$C$512,IF(L18&gt;0,L18,K18))&amp;"")))</f>
      </c>
      <c r="E18" s="27">
        <f>IF(B18="","",INDEX('PEGAR'!$S$13:$S$512,IF(L18&gt;0,L18,K18)))</f>
      </c>
      <c r="F18" s="39">
        <f>IF(B18="","",IF(L18&gt;0,INDEX('PEGAR'!$F$13:$F$512,L18),""))</f>
      </c>
      <c r="G18" s="39">
        <f>IF(B18="","",IF(OR(M18=0,N18&gt;0,O18&gt;0),"",SUMIFS('PEGAR'!$M$13:$M$512,'PEGAR'!$O$13:$O$512,B18)))</f>
      </c>
      <c r="H18" s="39">
        <f>IF(AND(ISNUMBER(F18),ISNUMBER(G18)),G18-F18,"")</f>
      </c>
      <c r="I18" s="27">
        <f>IF(B18="","",IF(W18=2,"ROJO",IF(W18=1,"ÁMBAR","VERDE")))</f>
      </c>
      <c r="J18" s="30">
        <f>IF(B18="","",IF(W18=0,"Sin avisos numéricos. Revisamos el alcance aparte.",IF(L18=0,"Faltan datos completos de partida; no elegimos un total por suposición."&amp;CHAR(10),"")&amp;IF(N18&gt;0,"Hay filas incompletas o contradictorias; las revisamos en PEGAR."&amp;CHAR(10),"")&amp;IF(O18&gt;0,"Faltan las medidas de alguna fila; no cerramos la suma."&amp;CHAR(10),"")&amp;IF(M18=0,"No constan líneas de medición."&amp;CHAR(10),"")&amp;IF(IF(ISNUMBER(H18),ROUND(ABS(H18),8)&gt;$F$6,FALSE),"Las líneas difieren del total en más de 0,01; confirmamos cantidad o exclusión."&amp;CHAR(10),"")&amp;IF(P18&gt;0,"Parece m³: encontramos tres dimensiones bajo m²."&amp;CHAR(10),"")&amp;IF(R18&gt;0,"Código repetido dentro del capítulo; mantenemos sus ID separados."&amp;CHAR(10),"")&amp;IF(S18&gt;0,"Código repetido en otro capítulo; no unimos las partidas."&amp;CHAR(10),"")&amp;IF(T18&gt;0,"Mismo código con unidades distintas; pedimos aclaración."&amp;CHAR(10),"")&amp;IF(Q18&gt;0,"Hay más precisión que los decimales indicados; cotejamos el formato original."&amp;CHAR(10),"")&amp;IF(U18&gt;0,"Unidad sin normalizar; cotejamos su significado antes de sumar unidades."&amp;CHAR(10),"")&amp;IF(V18&gt;0,"Revisamos dimensiones, cantidades directas, ceros o deducciones en PEGAR."&amp;CHAR(10),"")))</f>
      </c>
      <c r="K18" s="0">
        <f>IF(6&gt;'RESUMEN'!$E$6,"",MATCH(6,'PEGAR'!$W$13:$W$512,0))</f>
      </c>
      <c r="L18" s="0">
        <f>IF(K18="","",INDEX('PEGAR'!$R$13:$R$512,K18))</f>
      </c>
      <c r="M18" s="0">
        <f>IF(B18="","",COUNTIFS('PEGAR'!$O$13:$O$512,B18,'PEGAR'!$P$13:$P$512,"DIMENSIONES")+COUNTIFS('PEGAR'!$O$13:$O$512,B18,'PEGAR'!$P$13:$P$512,"DIRECTA"))</f>
      </c>
      <c r="N18" s="0">
        <f>IF(B18="","",COUNTIFS('PEGAR'!$O$13:$O$512,B18,'PEGAR'!$X$13:$X$512,2))</f>
      </c>
      <c r="O18" s="0">
        <f>IF(B18="","",COUNTIFS('PEGAR'!$O$13:$O$512,B18,'PEGAR'!$P$13:$P$512,"SIN LÍNEAS"))</f>
      </c>
      <c r="P18" s="0">
        <f>IF(B18="","",SUMIFS('PEGAR'!$Y$13:$Y$512,'PEGAR'!$O$13:$O$512,B18))</f>
      </c>
      <c r="Q18" s="0">
        <f>IF(B18="","",SUMIFS('PEGAR'!$Z$13:$Z$512,'PEGAR'!$O$13:$O$512,B18))</f>
      </c>
      <c r="R18" s="0" t="n">
        <f>IF(OR(B18="",D18=""),0,SUMPRODUCT(--($B$13:$B$512&lt;&gt;""),--($D$13:$D$512=D18),--($C$13:$C$512=C18))-1)</f>
        <v>0</v>
      </c>
      <c r="S18" s="0" t="n">
        <f>IF(OR(B18="",D18=""),0,SUMPRODUCT(--($B$13:$B$512&lt;&gt;""),--($D$13:$D$512=D18),--($C$13:$C$512&lt;&gt;C18)))</f>
        <v>0</v>
      </c>
      <c r="T18" s="0" t="n">
        <f>IF(OR(B18="",D18=""),0,SUMPRODUCT(--($B$13:$B$512&lt;&gt;""),--($D$13:$D$512=D18),--($E$13:$E$512&lt;&gt;E18)))</f>
        <v>0</v>
      </c>
      <c r="U18" s="0" t="n">
        <f>IF(B18="",0,IF(SUMPRODUCT(--('LÉEME'!$C$65:$C$86=E18))=0,1,0))</f>
        <v>0</v>
      </c>
      <c r="V18" s="0">
        <f>IF(B18="","",SUMIFS('PEGAR'!$AA$13:$AA$512,'PEGAR'!$O$13:$O$512,B18))</f>
      </c>
      <c r="W18" s="0">
        <f>IF(B18="","",IF(OR(L18=0,N18&gt;0,T18&gt;0,IF(ISNUMBER(H18),ROUND(ABS(H18),8)&gt;$F$6,FALSE)),2,IF(OR(M18=0,O18&gt;0,P18&gt;0,Q18&gt;0,R18&gt;0,S18&gt;0,U18&gt;0,V18&gt;0),1,0)))</f>
      </c>
      <c r="X18" s="0">
        <f>IF(B18="","",IF(ISNUMBER(G18),1,0))</f>
      </c>
      <c r="AB18" s="0">
        <f>IF(AND(ISNUMBER(W18),W18&gt;0),"ID "&amp;B18,"")</f>
      </c>
      <c r="AC18" s="0">
        <f>IF(AND(ISNUMBER(W18),W18&gt;0),C18,"")</f>
      </c>
      <c r="AD18" s="0">
        <f>IF(AND(ISNUMBER(W18),W18&gt;0),D18,"")</f>
      </c>
      <c r="AE18" s="0">
        <f>IF(AND(ISNUMBER(W18),W18&gt;0),IF(INDEX('PEGAR'!$D$13:$D$512,IF(L18&gt;0,L18,K18))="","Sin descripción",INDEX('PEGAR'!$D$13:$D$512,IF(L18&gt;0,L18,K18))),"")</f>
      </c>
      <c r="AF18" s="0">
        <f>IF(AND(ISNUMBER(W18),W18&gt;0),J18,"")</f>
      </c>
      <c r="AG18" s="0" t="n">
        <f>IF(AND(ISNUMBER(W18),W18&gt;0),W18,0)</f>
        <v>0</v>
      </c>
      <c r="AH18" s="0">
        <f>IF(AG18&gt;0,COUNTIFS($AG$13:AG18,"&gt;0"),"")</f>
      </c>
    </row>
    <row r="19" ht="22" customHeight="1">
      <c r="B19" s="27">
        <f>IF(K19="","",INDEX('PEGAR'!$O$13:$O$512,K19))</f>
      </c>
      <c r="C19" s="30">
        <f>IF(B19="","",IF(LEN(TRIM(INDEX('PEGAR'!$B$13:$B$512,IF(L19&gt;0,L19,K19))&amp;""))=0,"Sin capítulo",TRIM(INDEX('PEGAR'!$B$13:$B$512,IF(L19&gt;0,L19,K19))&amp;"")))</f>
      </c>
      <c r="D19" s="27">
        <f>IF(B19="","",IF(LEN(TRIM(INDEX('PEGAR'!$C$13:$C$512,IF(L19&gt;0,L19,K19))&amp;""))=0,"",TRIM(INDEX('PEGAR'!$C$13:$C$512,IF(L19&gt;0,L19,K19))&amp;"")))</f>
      </c>
      <c r="E19" s="27">
        <f>IF(B19="","",INDEX('PEGAR'!$S$13:$S$512,IF(L19&gt;0,L19,K19)))</f>
      </c>
      <c r="F19" s="39">
        <f>IF(B19="","",IF(L19&gt;0,INDEX('PEGAR'!$F$13:$F$512,L19),""))</f>
      </c>
      <c r="G19" s="39">
        <f>IF(B19="","",IF(OR(M19=0,N19&gt;0,O19&gt;0),"",SUMIFS('PEGAR'!$M$13:$M$512,'PEGAR'!$O$13:$O$512,B19)))</f>
      </c>
      <c r="H19" s="39">
        <f>IF(AND(ISNUMBER(F19),ISNUMBER(G19)),G19-F19,"")</f>
      </c>
      <c r="I19" s="27">
        <f>IF(B19="","",IF(W19=2,"ROJO",IF(W19=1,"ÁMBAR","VERDE")))</f>
      </c>
      <c r="J19" s="30">
        <f>IF(B19="","",IF(W19=0,"Sin avisos numéricos. Revisamos el alcance aparte.",IF(L19=0,"Faltan datos completos de partida; no elegimos un total por suposición."&amp;CHAR(10),"")&amp;IF(N19&gt;0,"Hay filas incompletas o contradictorias; las revisamos en PEGAR."&amp;CHAR(10),"")&amp;IF(O19&gt;0,"Faltan las medidas de alguna fila; no cerramos la suma."&amp;CHAR(10),"")&amp;IF(M19=0,"No constan líneas de medición."&amp;CHAR(10),"")&amp;IF(IF(ISNUMBER(H19),ROUND(ABS(H19),8)&gt;$F$6,FALSE),"Las líneas difieren del total en más de 0,01; confirmamos cantidad o exclusión."&amp;CHAR(10),"")&amp;IF(P19&gt;0,"Parece m³: encontramos tres dimensiones bajo m²."&amp;CHAR(10),"")&amp;IF(R19&gt;0,"Código repetido dentro del capítulo; mantenemos sus ID separados."&amp;CHAR(10),"")&amp;IF(S19&gt;0,"Código repetido en otro capítulo; no unimos las partidas."&amp;CHAR(10),"")&amp;IF(T19&gt;0,"Mismo código con unidades distintas; pedimos aclaración."&amp;CHAR(10),"")&amp;IF(Q19&gt;0,"Hay más precisión que los decimales indicados; cotejamos el formato original."&amp;CHAR(10),"")&amp;IF(U19&gt;0,"Unidad sin normalizar; cotejamos su significado antes de sumar unidades."&amp;CHAR(10),"")&amp;IF(V19&gt;0,"Revisamos dimensiones, cantidades directas, ceros o deducciones en PEGAR."&amp;CHAR(10),"")))</f>
      </c>
      <c r="K19" s="0">
        <f>IF(7&gt;'RESUMEN'!$E$6,"",MATCH(7,'PEGAR'!$W$13:$W$512,0))</f>
      </c>
      <c r="L19" s="0">
        <f>IF(K19="","",INDEX('PEGAR'!$R$13:$R$512,K19))</f>
      </c>
      <c r="M19" s="0">
        <f>IF(B19="","",COUNTIFS('PEGAR'!$O$13:$O$512,B19,'PEGAR'!$P$13:$P$512,"DIMENSIONES")+COUNTIFS('PEGAR'!$O$13:$O$512,B19,'PEGAR'!$P$13:$P$512,"DIRECTA"))</f>
      </c>
      <c r="N19" s="0">
        <f>IF(B19="","",COUNTIFS('PEGAR'!$O$13:$O$512,B19,'PEGAR'!$X$13:$X$512,2))</f>
      </c>
      <c r="O19" s="0">
        <f>IF(B19="","",COUNTIFS('PEGAR'!$O$13:$O$512,B19,'PEGAR'!$P$13:$P$512,"SIN LÍNEAS"))</f>
      </c>
      <c r="P19" s="0">
        <f>IF(B19="","",SUMIFS('PEGAR'!$Y$13:$Y$512,'PEGAR'!$O$13:$O$512,B19))</f>
      </c>
      <c r="Q19" s="0">
        <f>IF(B19="","",SUMIFS('PEGAR'!$Z$13:$Z$512,'PEGAR'!$O$13:$O$512,B19))</f>
      </c>
      <c r="R19" s="0" t="n">
        <f>IF(OR(B19="",D19=""),0,SUMPRODUCT(--($B$13:$B$512&lt;&gt;""),--($D$13:$D$512=D19),--($C$13:$C$512=C19))-1)</f>
        <v>0</v>
      </c>
      <c r="S19" s="0" t="n">
        <f>IF(OR(B19="",D19=""),0,SUMPRODUCT(--($B$13:$B$512&lt;&gt;""),--($D$13:$D$512=D19),--($C$13:$C$512&lt;&gt;C19)))</f>
        <v>0</v>
      </c>
      <c r="T19" s="0" t="n">
        <f>IF(OR(B19="",D19=""),0,SUMPRODUCT(--($B$13:$B$512&lt;&gt;""),--($D$13:$D$512=D19),--($E$13:$E$512&lt;&gt;E19)))</f>
        <v>0</v>
      </c>
      <c r="U19" s="0" t="n">
        <f>IF(B19="",0,IF(SUMPRODUCT(--('LÉEME'!$C$65:$C$86=E19))=0,1,0))</f>
        <v>0</v>
      </c>
      <c r="V19" s="0">
        <f>IF(B19="","",SUMIFS('PEGAR'!$AA$13:$AA$512,'PEGAR'!$O$13:$O$512,B19))</f>
      </c>
      <c r="W19" s="0">
        <f>IF(B19="","",IF(OR(L19=0,N19&gt;0,T19&gt;0,IF(ISNUMBER(H19),ROUND(ABS(H19),8)&gt;$F$6,FALSE)),2,IF(OR(M19=0,O19&gt;0,P19&gt;0,Q19&gt;0,R19&gt;0,S19&gt;0,U19&gt;0,V19&gt;0),1,0)))</f>
      </c>
      <c r="X19" s="0">
        <f>IF(B19="","",IF(ISNUMBER(G19),1,0))</f>
      </c>
      <c r="AB19" s="0">
        <f>IF(AND(ISNUMBER(W19),W19&gt;0),"ID "&amp;B19,"")</f>
      </c>
      <c r="AC19" s="0">
        <f>IF(AND(ISNUMBER(W19),W19&gt;0),C19,"")</f>
      </c>
      <c r="AD19" s="0">
        <f>IF(AND(ISNUMBER(W19),W19&gt;0),D19,"")</f>
      </c>
      <c r="AE19" s="0">
        <f>IF(AND(ISNUMBER(W19),W19&gt;0),IF(INDEX('PEGAR'!$D$13:$D$512,IF(L19&gt;0,L19,K19))="","Sin descripción",INDEX('PEGAR'!$D$13:$D$512,IF(L19&gt;0,L19,K19))),"")</f>
      </c>
      <c r="AF19" s="0">
        <f>IF(AND(ISNUMBER(W19),W19&gt;0),J19,"")</f>
      </c>
      <c r="AG19" s="0" t="n">
        <f>IF(AND(ISNUMBER(W19),W19&gt;0),W19,0)</f>
        <v>0</v>
      </c>
      <c r="AH19" s="0">
        <f>IF(AG19&gt;0,COUNTIFS($AG$13:AG19,"&gt;0"),"")</f>
      </c>
    </row>
    <row r="20" ht="22" customHeight="1">
      <c r="B20" s="27">
        <f>IF(K20="","",INDEX('PEGAR'!$O$13:$O$512,K20))</f>
      </c>
      <c r="C20" s="30">
        <f>IF(B20="","",IF(LEN(TRIM(INDEX('PEGAR'!$B$13:$B$512,IF(L20&gt;0,L20,K20))&amp;""))=0,"Sin capítulo",TRIM(INDEX('PEGAR'!$B$13:$B$512,IF(L20&gt;0,L20,K20))&amp;"")))</f>
      </c>
      <c r="D20" s="27">
        <f>IF(B20="","",IF(LEN(TRIM(INDEX('PEGAR'!$C$13:$C$512,IF(L20&gt;0,L20,K20))&amp;""))=0,"",TRIM(INDEX('PEGAR'!$C$13:$C$512,IF(L20&gt;0,L20,K20))&amp;"")))</f>
      </c>
      <c r="E20" s="27">
        <f>IF(B20="","",INDEX('PEGAR'!$S$13:$S$512,IF(L20&gt;0,L20,K20)))</f>
      </c>
      <c r="F20" s="39">
        <f>IF(B20="","",IF(L20&gt;0,INDEX('PEGAR'!$F$13:$F$512,L20),""))</f>
      </c>
      <c r="G20" s="39">
        <f>IF(B20="","",IF(OR(M20=0,N20&gt;0,O20&gt;0),"",SUMIFS('PEGAR'!$M$13:$M$512,'PEGAR'!$O$13:$O$512,B20)))</f>
      </c>
      <c r="H20" s="39">
        <f>IF(AND(ISNUMBER(F20),ISNUMBER(G20)),G20-F20,"")</f>
      </c>
      <c r="I20" s="27">
        <f>IF(B20="","",IF(W20=2,"ROJO",IF(W20=1,"ÁMBAR","VERDE")))</f>
      </c>
      <c r="J20" s="30">
        <f>IF(B20="","",IF(W20=0,"Sin avisos numéricos. Revisamos el alcance aparte.",IF(L20=0,"Faltan datos completos de partida; no elegimos un total por suposición."&amp;CHAR(10),"")&amp;IF(N20&gt;0,"Hay filas incompletas o contradictorias; las revisamos en PEGAR."&amp;CHAR(10),"")&amp;IF(O20&gt;0,"Faltan las medidas de alguna fila; no cerramos la suma."&amp;CHAR(10),"")&amp;IF(M20=0,"No constan líneas de medición."&amp;CHAR(10),"")&amp;IF(IF(ISNUMBER(H20),ROUND(ABS(H20),8)&gt;$F$6,FALSE),"Las líneas difieren del total en más de 0,01; confirmamos cantidad o exclusión."&amp;CHAR(10),"")&amp;IF(P20&gt;0,"Parece m³: encontramos tres dimensiones bajo m²."&amp;CHAR(10),"")&amp;IF(R20&gt;0,"Código repetido dentro del capítulo; mantenemos sus ID separados."&amp;CHAR(10),"")&amp;IF(S20&gt;0,"Código repetido en otro capítulo; no unimos las partidas."&amp;CHAR(10),"")&amp;IF(T20&gt;0,"Mismo código con unidades distintas; pedimos aclaración."&amp;CHAR(10),"")&amp;IF(Q20&gt;0,"Hay más precisión que los decimales indicados; cotejamos el formato original."&amp;CHAR(10),"")&amp;IF(U20&gt;0,"Unidad sin normalizar; cotejamos su significado antes de sumar unidades."&amp;CHAR(10),"")&amp;IF(V20&gt;0,"Revisamos dimensiones, cantidades directas, ceros o deducciones en PEGAR."&amp;CHAR(10),"")))</f>
      </c>
      <c r="K20" s="0">
        <f>IF(8&gt;'RESUMEN'!$E$6,"",MATCH(8,'PEGAR'!$W$13:$W$512,0))</f>
      </c>
      <c r="L20" s="0">
        <f>IF(K20="","",INDEX('PEGAR'!$R$13:$R$512,K20))</f>
      </c>
      <c r="M20" s="0">
        <f>IF(B20="","",COUNTIFS('PEGAR'!$O$13:$O$512,B20,'PEGAR'!$P$13:$P$512,"DIMENSIONES")+COUNTIFS('PEGAR'!$O$13:$O$512,B20,'PEGAR'!$P$13:$P$512,"DIRECTA"))</f>
      </c>
      <c r="N20" s="0">
        <f>IF(B20="","",COUNTIFS('PEGAR'!$O$13:$O$512,B20,'PEGAR'!$X$13:$X$512,2))</f>
      </c>
      <c r="O20" s="0">
        <f>IF(B20="","",COUNTIFS('PEGAR'!$O$13:$O$512,B20,'PEGAR'!$P$13:$P$512,"SIN LÍNEAS"))</f>
      </c>
      <c r="P20" s="0">
        <f>IF(B20="","",SUMIFS('PEGAR'!$Y$13:$Y$512,'PEGAR'!$O$13:$O$512,B20))</f>
      </c>
      <c r="Q20" s="0">
        <f>IF(B20="","",SUMIFS('PEGAR'!$Z$13:$Z$512,'PEGAR'!$O$13:$O$512,B20))</f>
      </c>
      <c r="R20" s="0" t="n">
        <f>IF(OR(B20="",D20=""),0,SUMPRODUCT(--($B$13:$B$512&lt;&gt;""),--($D$13:$D$512=D20),--($C$13:$C$512=C20))-1)</f>
        <v>0</v>
      </c>
      <c r="S20" s="0" t="n">
        <f>IF(OR(B20="",D20=""),0,SUMPRODUCT(--($B$13:$B$512&lt;&gt;""),--($D$13:$D$512=D20),--($C$13:$C$512&lt;&gt;C20)))</f>
        <v>0</v>
      </c>
      <c r="T20" s="0" t="n">
        <f>IF(OR(B20="",D20=""),0,SUMPRODUCT(--($B$13:$B$512&lt;&gt;""),--($D$13:$D$512=D20),--($E$13:$E$512&lt;&gt;E20)))</f>
        <v>0</v>
      </c>
      <c r="U20" s="0" t="n">
        <f>IF(B20="",0,IF(SUMPRODUCT(--('LÉEME'!$C$65:$C$86=E20))=0,1,0))</f>
        <v>0</v>
      </c>
      <c r="V20" s="0">
        <f>IF(B20="","",SUMIFS('PEGAR'!$AA$13:$AA$512,'PEGAR'!$O$13:$O$512,B20))</f>
      </c>
      <c r="W20" s="0">
        <f>IF(B20="","",IF(OR(L20=0,N20&gt;0,T20&gt;0,IF(ISNUMBER(H20),ROUND(ABS(H20),8)&gt;$F$6,FALSE)),2,IF(OR(M20=0,O20&gt;0,P20&gt;0,Q20&gt;0,R20&gt;0,S20&gt;0,U20&gt;0,V20&gt;0),1,0)))</f>
      </c>
      <c r="X20" s="0">
        <f>IF(B20="","",IF(ISNUMBER(G20),1,0))</f>
      </c>
      <c r="AB20" s="0">
        <f>IF(AND(ISNUMBER(W20),W20&gt;0),"ID "&amp;B20,"")</f>
      </c>
      <c r="AC20" s="0">
        <f>IF(AND(ISNUMBER(W20),W20&gt;0),C20,"")</f>
      </c>
      <c r="AD20" s="0">
        <f>IF(AND(ISNUMBER(W20),W20&gt;0),D20,"")</f>
      </c>
      <c r="AE20" s="0">
        <f>IF(AND(ISNUMBER(W20),W20&gt;0),IF(INDEX('PEGAR'!$D$13:$D$512,IF(L20&gt;0,L20,K20))="","Sin descripción",INDEX('PEGAR'!$D$13:$D$512,IF(L20&gt;0,L20,K20))),"")</f>
      </c>
      <c r="AF20" s="0">
        <f>IF(AND(ISNUMBER(W20),W20&gt;0),J20,"")</f>
      </c>
      <c r="AG20" s="0" t="n">
        <f>IF(AND(ISNUMBER(W20),W20&gt;0),W20,0)</f>
        <v>0</v>
      </c>
      <c r="AH20" s="0">
        <f>IF(AG20&gt;0,COUNTIFS($AG$13:AG20,"&gt;0"),"")</f>
      </c>
    </row>
    <row r="21" ht="22" customHeight="1">
      <c r="B21" s="27">
        <f>IF(K21="","",INDEX('PEGAR'!$O$13:$O$512,K21))</f>
      </c>
      <c r="C21" s="30">
        <f>IF(B21="","",IF(LEN(TRIM(INDEX('PEGAR'!$B$13:$B$512,IF(L21&gt;0,L21,K21))&amp;""))=0,"Sin capítulo",TRIM(INDEX('PEGAR'!$B$13:$B$512,IF(L21&gt;0,L21,K21))&amp;"")))</f>
      </c>
      <c r="D21" s="27">
        <f>IF(B21="","",IF(LEN(TRIM(INDEX('PEGAR'!$C$13:$C$512,IF(L21&gt;0,L21,K21))&amp;""))=0,"",TRIM(INDEX('PEGAR'!$C$13:$C$512,IF(L21&gt;0,L21,K21))&amp;"")))</f>
      </c>
      <c r="E21" s="27">
        <f>IF(B21="","",INDEX('PEGAR'!$S$13:$S$512,IF(L21&gt;0,L21,K21)))</f>
      </c>
      <c r="F21" s="39">
        <f>IF(B21="","",IF(L21&gt;0,INDEX('PEGAR'!$F$13:$F$512,L21),""))</f>
      </c>
      <c r="G21" s="39">
        <f>IF(B21="","",IF(OR(M21=0,N21&gt;0,O21&gt;0),"",SUMIFS('PEGAR'!$M$13:$M$512,'PEGAR'!$O$13:$O$512,B21)))</f>
      </c>
      <c r="H21" s="39">
        <f>IF(AND(ISNUMBER(F21),ISNUMBER(G21)),G21-F21,"")</f>
      </c>
      <c r="I21" s="27">
        <f>IF(B21="","",IF(W21=2,"ROJO",IF(W21=1,"ÁMBAR","VERDE")))</f>
      </c>
      <c r="J21" s="30">
        <f>IF(B21="","",IF(W21=0,"Sin avisos numéricos. Revisamos el alcance aparte.",IF(L21=0,"Faltan datos completos de partida; no elegimos un total por suposición."&amp;CHAR(10),"")&amp;IF(N21&gt;0,"Hay filas incompletas o contradictorias; las revisamos en PEGAR."&amp;CHAR(10),"")&amp;IF(O21&gt;0,"Faltan las medidas de alguna fila; no cerramos la suma."&amp;CHAR(10),"")&amp;IF(M21=0,"No constan líneas de medición."&amp;CHAR(10),"")&amp;IF(IF(ISNUMBER(H21),ROUND(ABS(H21),8)&gt;$F$6,FALSE),"Las líneas difieren del total en más de 0,01; confirmamos cantidad o exclusión."&amp;CHAR(10),"")&amp;IF(P21&gt;0,"Parece m³: encontramos tres dimensiones bajo m²."&amp;CHAR(10),"")&amp;IF(R21&gt;0,"Código repetido dentro del capítulo; mantenemos sus ID separados."&amp;CHAR(10),"")&amp;IF(S21&gt;0,"Código repetido en otro capítulo; no unimos las partidas."&amp;CHAR(10),"")&amp;IF(T21&gt;0,"Mismo código con unidades distintas; pedimos aclaración."&amp;CHAR(10),"")&amp;IF(Q21&gt;0,"Hay más precisión que los decimales indicados; cotejamos el formato original."&amp;CHAR(10),"")&amp;IF(U21&gt;0,"Unidad sin normalizar; cotejamos su significado antes de sumar unidades."&amp;CHAR(10),"")&amp;IF(V21&gt;0,"Revisamos dimensiones, cantidades directas, ceros o deducciones en PEGAR."&amp;CHAR(10),"")))</f>
      </c>
      <c r="K21" s="0">
        <f>IF(9&gt;'RESUMEN'!$E$6,"",MATCH(9,'PEGAR'!$W$13:$W$512,0))</f>
      </c>
      <c r="L21" s="0">
        <f>IF(K21="","",INDEX('PEGAR'!$R$13:$R$512,K21))</f>
      </c>
      <c r="M21" s="0">
        <f>IF(B21="","",COUNTIFS('PEGAR'!$O$13:$O$512,B21,'PEGAR'!$P$13:$P$512,"DIMENSIONES")+COUNTIFS('PEGAR'!$O$13:$O$512,B21,'PEGAR'!$P$13:$P$512,"DIRECTA"))</f>
      </c>
      <c r="N21" s="0">
        <f>IF(B21="","",COUNTIFS('PEGAR'!$O$13:$O$512,B21,'PEGAR'!$X$13:$X$512,2))</f>
      </c>
      <c r="O21" s="0">
        <f>IF(B21="","",COUNTIFS('PEGAR'!$O$13:$O$512,B21,'PEGAR'!$P$13:$P$512,"SIN LÍNEAS"))</f>
      </c>
      <c r="P21" s="0">
        <f>IF(B21="","",SUMIFS('PEGAR'!$Y$13:$Y$512,'PEGAR'!$O$13:$O$512,B21))</f>
      </c>
      <c r="Q21" s="0">
        <f>IF(B21="","",SUMIFS('PEGAR'!$Z$13:$Z$512,'PEGAR'!$O$13:$O$512,B21))</f>
      </c>
      <c r="R21" s="0" t="n">
        <f>IF(OR(B21="",D21=""),0,SUMPRODUCT(--($B$13:$B$512&lt;&gt;""),--($D$13:$D$512=D21),--($C$13:$C$512=C21))-1)</f>
        <v>0</v>
      </c>
      <c r="S21" s="0" t="n">
        <f>IF(OR(B21="",D21=""),0,SUMPRODUCT(--($B$13:$B$512&lt;&gt;""),--($D$13:$D$512=D21),--($C$13:$C$512&lt;&gt;C21)))</f>
        <v>0</v>
      </c>
      <c r="T21" s="0" t="n">
        <f>IF(OR(B21="",D21=""),0,SUMPRODUCT(--($B$13:$B$512&lt;&gt;""),--($D$13:$D$512=D21),--($E$13:$E$512&lt;&gt;E21)))</f>
        <v>0</v>
      </c>
      <c r="U21" s="0" t="n">
        <f>IF(B21="",0,IF(SUMPRODUCT(--('LÉEME'!$C$65:$C$86=E21))=0,1,0))</f>
        <v>0</v>
      </c>
      <c r="V21" s="0">
        <f>IF(B21="","",SUMIFS('PEGAR'!$AA$13:$AA$512,'PEGAR'!$O$13:$O$512,B21))</f>
      </c>
      <c r="W21" s="0">
        <f>IF(B21="","",IF(OR(L21=0,N21&gt;0,T21&gt;0,IF(ISNUMBER(H21),ROUND(ABS(H21),8)&gt;$F$6,FALSE)),2,IF(OR(M21=0,O21&gt;0,P21&gt;0,Q21&gt;0,R21&gt;0,S21&gt;0,U21&gt;0,V21&gt;0),1,0)))</f>
      </c>
      <c r="X21" s="0">
        <f>IF(B21="","",IF(ISNUMBER(G21),1,0))</f>
      </c>
      <c r="AB21" s="0">
        <f>IF(AND(ISNUMBER(W21),W21&gt;0),"ID "&amp;B21,"")</f>
      </c>
      <c r="AC21" s="0">
        <f>IF(AND(ISNUMBER(W21),W21&gt;0),C21,"")</f>
      </c>
      <c r="AD21" s="0">
        <f>IF(AND(ISNUMBER(W21),W21&gt;0),D21,"")</f>
      </c>
      <c r="AE21" s="0">
        <f>IF(AND(ISNUMBER(W21),W21&gt;0),IF(INDEX('PEGAR'!$D$13:$D$512,IF(L21&gt;0,L21,K21))="","Sin descripción",INDEX('PEGAR'!$D$13:$D$512,IF(L21&gt;0,L21,K21))),"")</f>
      </c>
      <c r="AF21" s="0">
        <f>IF(AND(ISNUMBER(W21),W21&gt;0),J21,"")</f>
      </c>
      <c r="AG21" s="0" t="n">
        <f>IF(AND(ISNUMBER(W21),W21&gt;0),W21,0)</f>
        <v>0</v>
      </c>
      <c r="AH21" s="0">
        <f>IF(AG21&gt;0,COUNTIFS($AG$13:AG21,"&gt;0"),"")</f>
      </c>
    </row>
    <row r="22" ht="22" customHeight="1">
      <c r="B22" s="27">
        <f>IF(K22="","",INDEX('PEGAR'!$O$13:$O$512,K22))</f>
      </c>
      <c r="C22" s="30">
        <f>IF(B22="","",IF(LEN(TRIM(INDEX('PEGAR'!$B$13:$B$512,IF(L22&gt;0,L22,K22))&amp;""))=0,"Sin capítulo",TRIM(INDEX('PEGAR'!$B$13:$B$512,IF(L22&gt;0,L22,K22))&amp;"")))</f>
      </c>
      <c r="D22" s="27">
        <f>IF(B22="","",IF(LEN(TRIM(INDEX('PEGAR'!$C$13:$C$512,IF(L22&gt;0,L22,K22))&amp;""))=0,"",TRIM(INDEX('PEGAR'!$C$13:$C$512,IF(L22&gt;0,L22,K22))&amp;"")))</f>
      </c>
      <c r="E22" s="27">
        <f>IF(B22="","",INDEX('PEGAR'!$S$13:$S$512,IF(L22&gt;0,L22,K22)))</f>
      </c>
      <c r="F22" s="39">
        <f>IF(B22="","",IF(L22&gt;0,INDEX('PEGAR'!$F$13:$F$512,L22),""))</f>
      </c>
      <c r="G22" s="39">
        <f>IF(B22="","",IF(OR(M22=0,N22&gt;0,O22&gt;0),"",SUMIFS('PEGAR'!$M$13:$M$512,'PEGAR'!$O$13:$O$512,B22)))</f>
      </c>
      <c r="H22" s="39">
        <f>IF(AND(ISNUMBER(F22),ISNUMBER(G22)),G22-F22,"")</f>
      </c>
      <c r="I22" s="27">
        <f>IF(B22="","",IF(W22=2,"ROJO",IF(W22=1,"ÁMBAR","VERDE")))</f>
      </c>
      <c r="J22" s="30">
        <f>IF(B22="","",IF(W22=0,"Sin avisos numéricos. Revisamos el alcance aparte.",IF(L22=0,"Faltan datos completos de partida; no elegimos un total por suposición."&amp;CHAR(10),"")&amp;IF(N22&gt;0,"Hay filas incompletas o contradictorias; las revisamos en PEGAR."&amp;CHAR(10),"")&amp;IF(O22&gt;0,"Faltan las medidas de alguna fila; no cerramos la suma."&amp;CHAR(10),"")&amp;IF(M22=0,"No constan líneas de medición."&amp;CHAR(10),"")&amp;IF(IF(ISNUMBER(H22),ROUND(ABS(H22),8)&gt;$F$6,FALSE),"Las líneas difieren del total en más de 0,01; confirmamos cantidad o exclusión."&amp;CHAR(10),"")&amp;IF(P22&gt;0,"Parece m³: encontramos tres dimensiones bajo m²."&amp;CHAR(10),"")&amp;IF(R22&gt;0,"Código repetido dentro del capítulo; mantenemos sus ID separados."&amp;CHAR(10),"")&amp;IF(S22&gt;0,"Código repetido en otro capítulo; no unimos las partidas."&amp;CHAR(10),"")&amp;IF(T22&gt;0,"Mismo código con unidades distintas; pedimos aclaración."&amp;CHAR(10),"")&amp;IF(Q22&gt;0,"Hay más precisión que los decimales indicados; cotejamos el formato original."&amp;CHAR(10),"")&amp;IF(U22&gt;0,"Unidad sin normalizar; cotejamos su significado antes de sumar unidades."&amp;CHAR(10),"")&amp;IF(V22&gt;0,"Revisamos dimensiones, cantidades directas, ceros o deducciones en PEGAR."&amp;CHAR(10),"")))</f>
      </c>
      <c r="K22" s="0">
        <f>IF(10&gt;'RESUMEN'!$E$6,"",MATCH(10,'PEGAR'!$W$13:$W$512,0))</f>
      </c>
      <c r="L22" s="0">
        <f>IF(K22="","",INDEX('PEGAR'!$R$13:$R$512,K22))</f>
      </c>
      <c r="M22" s="0">
        <f>IF(B22="","",COUNTIFS('PEGAR'!$O$13:$O$512,B22,'PEGAR'!$P$13:$P$512,"DIMENSIONES")+COUNTIFS('PEGAR'!$O$13:$O$512,B22,'PEGAR'!$P$13:$P$512,"DIRECTA"))</f>
      </c>
      <c r="N22" s="0">
        <f>IF(B22="","",COUNTIFS('PEGAR'!$O$13:$O$512,B22,'PEGAR'!$X$13:$X$512,2))</f>
      </c>
      <c r="O22" s="0">
        <f>IF(B22="","",COUNTIFS('PEGAR'!$O$13:$O$512,B22,'PEGAR'!$P$13:$P$512,"SIN LÍNEAS"))</f>
      </c>
      <c r="P22" s="0">
        <f>IF(B22="","",SUMIFS('PEGAR'!$Y$13:$Y$512,'PEGAR'!$O$13:$O$512,B22))</f>
      </c>
      <c r="Q22" s="0">
        <f>IF(B22="","",SUMIFS('PEGAR'!$Z$13:$Z$512,'PEGAR'!$O$13:$O$512,B22))</f>
      </c>
      <c r="R22" s="0" t="n">
        <f>IF(OR(B22="",D22=""),0,SUMPRODUCT(--($B$13:$B$512&lt;&gt;""),--($D$13:$D$512=D22),--($C$13:$C$512=C22))-1)</f>
        <v>0</v>
      </c>
      <c r="S22" s="0" t="n">
        <f>IF(OR(B22="",D22=""),0,SUMPRODUCT(--($B$13:$B$512&lt;&gt;""),--($D$13:$D$512=D22),--($C$13:$C$512&lt;&gt;C22)))</f>
        <v>0</v>
      </c>
      <c r="T22" s="0" t="n">
        <f>IF(OR(B22="",D22=""),0,SUMPRODUCT(--($B$13:$B$512&lt;&gt;""),--($D$13:$D$512=D22),--($E$13:$E$512&lt;&gt;E22)))</f>
        <v>0</v>
      </c>
      <c r="U22" s="0" t="n">
        <f>IF(B22="",0,IF(SUMPRODUCT(--('LÉEME'!$C$65:$C$86=E22))=0,1,0))</f>
        <v>0</v>
      </c>
      <c r="V22" s="0">
        <f>IF(B22="","",SUMIFS('PEGAR'!$AA$13:$AA$512,'PEGAR'!$O$13:$O$512,B22))</f>
      </c>
      <c r="W22" s="0">
        <f>IF(B22="","",IF(OR(L22=0,N22&gt;0,T22&gt;0,IF(ISNUMBER(H22),ROUND(ABS(H22),8)&gt;$F$6,FALSE)),2,IF(OR(M22=0,O22&gt;0,P22&gt;0,Q22&gt;0,R22&gt;0,S22&gt;0,U22&gt;0,V22&gt;0),1,0)))</f>
      </c>
      <c r="X22" s="0">
        <f>IF(B22="","",IF(ISNUMBER(G22),1,0))</f>
      </c>
      <c r="AB22" s="0">
        <f>IF(AND(ISNUMBER(W22),W22&gt;0),"ID "&amp;B22,"")</f>
      </c>
      <c r="AC22" s="0">
        <f>IF(AND(ISNUMBER(W22),W22&gt;0),C22,"")</f>
      </c>
      <c r="AD22" s="0">
        <f>IF(AND(ISNUMBER(W22),W22&gt;0),D22,"")</f>
      </c>
      <c r="AE22" s="0">
        <f>IF(AND(ISNUMBER(W22),W22&gt;0),IF(INDEX('PEGAR'!$D$13:$D$512,IF(L22&gt;0,L22,K22))="","Sin descripción",INDEX('PEGAR'!$D$13:$D$512,IF(L22&gt;0,L22,K22))),"")</f>
      </c>
      <c r="AF22" s="0">
        <f>IF(AND(ISNUMBER(W22),W22&gt;0),J22,"")</f>
      </c>
      <c r="AG22" s="0" t="n">
        <f>IF(AND(ISNUMBER(W22),W22&gt;0),W22,0)</f>
        <v>0</v>
      </c>
      <c r="AH22" s="0">
        <f>IF(AG22&gt;0,COUNTIFS($AG$13:AG22,"&gt;0"),"")</f>
      </c>
    </row>
    <row r="23" ht="22" customHeight="1">
      <c r="B23" s="27">
        <f>IF(K23="","",INDEX('PEGAR'!$O$13:$O$512,K23))</f>
      </c>
      <c r="C23" s="30">
        <f>IF(B23="","",IF(LEN(TRIM(INDEX('PEGAR'!$B$13:$B$512,IF(L23&gt;0,L23,K23))&amp;""))=0,"Sin capítulo",TRIM(INDEX('PEGAR'!$B$13:$B$512,IF(L23&gt;0,L23,K23))&amp;"")))</f>
      </c>
      <c r="D23" s="27">
        <f>IF(B23="","",IF(LEN(TRIM(INDEX('PEGAR'!$C$13:$C$512,IF(L23&gt;0,L23,K23))&amp;""))=0,"",TRIM(INDEX('PEGAR'!$C$13:$C$512,IF(L23&gt;0,L23,K23))&amp;"")))</f>
      </c>
      <c r="E23" s="27">
        <f>IF(B23="","",INDEX('PEGAR'!$S$13:$S$512,IF(L23&gt;0,L23,K23)))</f>
      </c>
      <c r="F23" s="39">
        <f>IF(B23="","",IF(L23&gt;0,INDEX('PEGAR'!$F$13:$F$512,L23),""))</f>
      </c>
      <c r="G23" s="39">
        <f>IF(B23="","",IF(OR(M23=0,N23&gt;0,O23&gt;0),"",SUMIFS('PEGAR'!$M$13:$M$512,'PEGAR'!$O$13:$O$512,B23)))</f>
      </c>
      <c r="H23" s="39">
        <f>IF(AND(ISNUMBER(F23),ISNUMBER(G23)),G23-F23,"")</f>
      </c>
      <c r="I23" s="27">
        <f>IF(B23="","",IF(W23=2,"ROJO",IF(W23=1,"ÁMBAR","VERDE")))</f>
      </c>
      <c r="J23" s="30">
        <f>IF(B23="","",IF(W23=0,"Sin avisos numéricos. Revisamos el alcance aparte.",IF(L23=0,"Faltan datos completos de partida; no elegimos un total por suposición."&amp;CHAR(10),"")&amp;IF(N23&gt;0,"Hay filas incompletas o contradictorias; las revisamos en PEGAR."&amp;CHAR(10),"")&amp;IF(O23&gt;0,"Faltan las medidas de alguna fila; no cerramos la suma."&amp;CHAR(10),"")&amp;IF(M23=0,"No constan líneas de medición."&amp;CHAR(10),"")&amp;IF(IF(ISNUMBER(H23),ROUND(ABS(H23),8)&gt;$F$6,FALSE),"Las líneas difieren del total en más de 0,01; confirmamos cantidad o exclusión."&amp;CHAR(10),"")&amp;IF(P23&gt;0,"Parece m³: encontramos tres dimensiones bajo m²."&amp;CHAR(10),"")&amp;IF(R23&gt;0,"Código repetido dentro del capítulo; mantenemos sus ID separados."&amp;CHAR(10),"")&amp;IF(S23&gt;0,"Código repetido en otro capítulo; no unimos las partidas."&amp;CHAR(10),"")&amp;IF(T23&gt;0,"Mismo código con unidades distintas; pedimos aclaración."&amp;CHAR(10),"")&amp;IF(Q23&gt;0,"Hay más precisión que los decimales indicados; cotejamos el formato original."&amp;CHAR(10),"")&amp;IF(U23&gt;0,"Unidad sin normalizar; cotejamos su significado antes de sumar unidades."&amp;CHAR(10),"")&amp;IF(V23&gt;0,"Revisamos dimensiones, cantidades directas, ceros o deducciones en PEGAR."&amp;CHAR(10),"")))</f>
      </c>
      <c r="K23" s="0">
        <f>IF(11&gt;'RESUMEN'!$E$6,"",MATCH(11,'PEGAR'!$W$13:$W$512,0))</f>
      </c>
      <c r="L23" s="0">
        <f>IF(K23="","",INDEX('PEGAR'!$R$13:$R$512,K23))</f>
      </c>
      <c r="M23" s="0">
        <f>IF(B23="","",COUNTIFS('PEGAR'!$O$13:$O$512,B23,'PEGAR'!$P$13:$P$512,"DIMENSIONES")+COUNTIFS('PEGAR'!$O$13:$O$512,B23,'PEGAR'!$P$13:$P$512,"DIRECTA"))</f>
      </c>
      <c r="N23" s="0">
        <f>IF(B23="","",COUNTIFS('PEGAR'!$O$13:$O$512,B23,'PEGAR'!$X$13:$X$512,2))</f>
      </c>
      <c r="O23" s="0">
        <f>IF(B23="","",COUNTIFS('PEGAR'!$O$13:$O$512,B23,'PEGAR'!$P$13:$P$512,"SIN LÍNEAS"))</f>
      </c>
      <c r="P23" s="0">
        <f>IF(B23="","",SUMIFS('PEGAR'!$Y$13:$Y$512,'PEGAR'!$O$13:$O$512,B23))</f>
      </c>
      <c r="Q23" s="0">
        <f>IF(B23="","",SUMIFS('PEGAR'!$Z$13:$Z$512,'PEGAR'!$O$13:$O$512,B23))</f>
      </c>
      <c r="R23" s="0" t="n">
        <f>IF(OR(B23="",D23=""),0,SUMPRODUCT(--($B$13:$B$512&lt;&gt;""),--($D$13:$D$512=D23),--($C$13:$C$512=C23))-1)</f>
        <v>0</v>
      </c>
      <c r="S23" s="0" t="n">
        <f>IF(OR(B23="",D23=""),0,SUMPRODUCT(--($B$13:$B$512&lt;&gt;""),--($D$13:$D$512=D23),--($C$13:$C$512&lt;&gt;C23)))</f>
        <v>0</v>
      </c>
      <c r="T23" s="0" t="n">
        <f>IF(OR(B23="",D23=""),0,SUMPRODUCT(--($B$13:$B$512&lt;&gt;""),--($D$13:$D$512=D23),--($E$13:$E$512&lt;&gt;E23)))</f>
        <v>0</v>
      </c>
      <c r="U23" s="0" t="n">
        <f>IF(B23="",0,IF(SUMPRODUCT(--('LÉEME'!$C$65:$C$86=E23))=0,1,0))</f>
        <v>0</v>
      </c>
      <c r="V23" s="0">
        <f>IF(B23="","",SUMIFS('PEGAR'!$AA$13:$AA$512,'PEGAR'!$O$13:$O$512,B23))</f>
      </c>
      <c r="W23" s="0">
        <f>IF(B23="","",IF(OR(L23=0,N23&gt;0,T23&gt;0,IF(ISNUMBER(H23),ROUND(ABS(H23),8)&gt;$F$6,FALSE)),2,IF(OR(M23=0,O23&gt;0,P23&gt;0,Q23&gt;0,R23&gt;0,S23&gt;0,U23&gt;0,V23&gt;0),1,0)))</f>
      </c>
      <c r="X23" s="0">
        <f>IF(B23="","",IF(ISNUMBER(G23),1,0))</f>
      </c>
      <c r="AB23" s="0">
        <f>IF(AND(ISNUMBER(W23),W23&gt;0),"ID "&amp;B23,"")</f>
      </c>
      <c r="AC23" s="0">
        <f>IF(AND(ISNUMBER(W23),W23&gt;0),C23,"")</f>
      </c>
      <c r="AD23" s="0">
        <f>IF(AND(ISNUMBER(W23),W23&gt;0),D23,"")</f>
      </c>
      <c r="AE23" s="0">
        <f>IF(AND(ISNUMBER(W23),W23&gt;0),IF(INDEX('PEGAR'!$D$13:$D$512,IF(L23&gt;0,L23,K23))="","Sin descripción",INDEX('PEGAR'!$D$13:$D$512,IF(L23&gt;0,L23,K23))),"")</f>
      </c>
      <c r="AF23" s="0">
        <f>IF(AND(ISNUMBER(W23),W23&gt;0),J23,"")</f>
      </c>
      <c r="AG23" s="0" t="n">
        <f>IF(AND(ISNUMBER(W23),W23&gt;0),W23,0)</f>
        <v>0</v>
      </c>
      <c r="AH23" s="0">
        <f>IF(AG23&gt;0,COUNTIFS($AG$13:AG23,"&gt;0"),"")</f>
      </c>
    </row>
    <row r="24" ht="22" customHeight="1">
      <c r="B24" s="27">
        <f>IF(K24="","",INDEX('PEGAR'!$O$13:$O$512,K24))</f>
      </c>
      <c r="C24" s="30">
        <f>IF(B24="","",IF(LEN(TRIM(INDEX('PEGAR'!$B$13:$B$512,IF(L24&gt;0,L24,K24))&amp;""))=0,"Sin capítulo",TRIM(INDEX('PEGAR'!$B$13:$B$512,IF(L24&gt;0,L24,K24))&amp;"")))</f>
      </c>
      <c r="D24" s="27">
        <f>IF(B24="","",IF(LEN(TRIM(INDEX('PEGAR'!$C$13:$C$512,IF(L24&gt;0,L24,K24))&amp;""))=0,"",TRIM(INDEX('PEGAR'!$C$13:$C$512,IF(L24&gt;0,L24,K24))&amp;"")))</f>
      </c>
      <c r="E24" s="27">
        <f>IF(B24="","",INDEX('PEGAR'!$S$13:$S$512,IF(L24&gt;0,L24,K24)))</f>
      </c>
      <c r="F24" s="39">
        <f>IF(B24="","",IF(L24&gt;0,INDEX('PEGAR'!$F$13:$F$512,L24),""))</f>
      </c>
      <c r="G24" s="39">
        <f>IF(B24="","",IF(OR(M24=0,N24&gt;0,O24&gt;0),"",SUMIFS('PEGAR'!$M$13:$M$512,'PEGAR'!$O$13:$O$512,B24)))</f>
      </c>
      <c r="H24" s="39">
        <f>IF(AND(ISNUMBER(F24),ISNUMBER(G24)),G24-F24,"")</f>
      </c>
      <c r="I24" s="27">
        <f>IF(B24="","",IF(W24=2,"ROJO",IF(W24=1,"ÁMBAR","VERDE")))</f>
      </c>
      <c r="J24" s="30">
        <f>IF(B24="","",IF(W24=0,"Sin avisos numéricos. Revisamos el alcance aparte.",IF(L24=0,"Faltan datos completos de partida; no elegimos un total por suposición."&amp;CHAR(10),"")&amp;IF(N24&gt;0,"Hay filas incompletas o contradictorias; las revisamos en PEGAR."&amp;CHAR(10),"")&amp;IF(O24&gt;0,"Faltan las medidas de alguna fila; no cerramos la suma."&amp;CHAR(10),"")&amp;IF(M24=0,"No constan líneas de medición."&amp;CHAR(10),"")&amp;IF(IF(ISNUMBER(H24),ROUND(ABS(H24),8)&gt;$F$6,FALSE),"Las líneas difieren del total en más de 0,01; confirmamos cantidad o exclusión."&amp;CHAR(10),"")&amp;IF(P24&gt;0,"Parece m³: encontramos tres dimensiones bajo m²."&amp;CHAR(10),"")&amp;IF(R24&gt;0,"Código repetido dentro del capítulo; mantenemos sus ID separados."&amp;CHAR(10),"")&amp;IF(S24&gt;0,"Código repetido en otro capítulo; no unimos las partidas."&amp;CHAR(10),"")&amp;IF(T24&gt;0,"Mismo código con unidades distintas; pedimos aclaración."&amp;CHAR(10),"")&amp;IF(Q24&gt;0,"Hay más precisión que los decimales indicados; cotejamos el formato original."&amp;CHAR(10),"")&amp;IF(U24&gt;0,"Unidad sin normalizar; cotejamos su significado antes de sumar unidades."&amp;CHAR(10),"")&amp;IF(V24&gt;0,"Revisamos dimensiones, cantidades directas, ceros o deducciones en PEGAR."&amp;CHAR(10),"")))</f>
      </c>
      <c r="K24" s="0">
        <f>IF(12&gt;'RESUMEN'!$E$6,"",MATCH(12,'PEGAR'!$W$13:$W$512,0))</f>
      </c>
      <c r="L24" s="0">
        <f>IF(K24="","",INDEX('PEGAR'!$R$13:$R$512,K24))</f>
      </c>
      <c r="M24" s="0">
        <f>IF(B24="","",COUNTIFS('PEGAR'!$O$13:$O$512,B24,'PEGAR'!$P$13:$P$512,"DIMENSIONES")+COUNTIFS('PEGAR'!$O$13:$O$512,B24,'PEGAR'!$P$13:$P$512,"DIRECTA"))</f>
      </c>
      <c r="N24" s="0">
        <f>IF(B24="","",COUNTIFS('PEGAR'!$O$13:$O$512,B24,'PEGAR'!$X$13:$X$512,2))</f>
      </c>
      <c r="O24" s="0">
        <f>IF(B24="","",COUNTIFS('PEGAR'!$O$13:$O$512,B24,'PEGAR'!$P$13:$P$512,"SIN LÍNEAS"))</f>
      </c>
      <c r="P24" s="0">
        <f>IF(B24="","",SUMIFS('PEGAR'!$Y$13:$Y$512,'PEGAR'!$O$13:$O$512,B24))</f>
      </c>
      <c r="Q24" s="0">
        <f>IF(B24="","",SUMIFS('PEGAR'!$Z$13:$Z$512,'PEGAR'!$O$13:$O$512,B24))</f>
      </c>
      <c r="R24" s="0" t="n">
        <f>IF(OR(B24="",D24=""),0,SUMPRODUCT(--($B$13:$B$512&lt;&gt;""),--($D$13:$D$512=D24),--($C$13:$C$512=C24))-1)</f>
        <v>0</v>
      </c>
      <c r="S24" s="0" t="n">
        <f>IF(OR(B24="",D24=""),0,SUMPRODUCT(--($B$13:$B$512&lt;&gt;""),--($D$13:$D$512=D24),--($C$13:$C$512&lt;&gt;C24)))</f>
        <v>0</v>
      </c>
      <c r="T24" s="0" t="n">
        <f>IF(OR(B24="",D24=""),0,SUMPRODUCT(--($B$13:$B$512&lt;&gt;""),--($D$13:$D$512=D24),--($E$13:$E$512&lt;&gt;E24)))</f>
        <v>0</v>
      </c>
      <c r="U24" s="0" t="n">
        <f>IF(B24="",0,IF(SUMPRODUCT(--('LÉEME'!$C$65:$C$86=E24))=0,1,0))</f>
        <v>0</v>
      </c>
      <c r="V24" s="0">
        <f>IF(B24="","",SUMIFS('PEGAR'!$AA$13:$AA$512,'PEGAR'!$O$13:$O$512,B24))</f>
      </c>
      <c r="W24" s="0">
        <f>IF(B24="","",IF(OR(L24=0,N24&gt;0,T24&gt;0,IF(ISNUMBER(H24),ROUND(ABS(H24),8)&gt;$F$6,FALSE)),2,IF(OR(M24=0,O24&gt;0,P24&gt;0,Q24&gt;0,R24&gt;0,S24&gt;0,U24&gt;0,V24&gt;0),1,0)))</f>
      </c>
      <c r="X24" s="0">
        <f>IF(B24="","",IF(ISNUMBER(G24),1,0))</f>
      </c>
      <c r="AB24" s="0">
        <f>IF(AND(ISNUMBER(W24),W24&gt;0),"ID "&amp;B24,"")</f>
      </c>
      <c r="AC24" s="0">
        <f>IF(AND(ISNUMBER(W24),W24&gt;0),C24,"")</f>
      </c>
      <c r="AD24" s="0">
        <f>IF(AND(ISNUMBER(W24),W24&gt;0),D24,"")</f>
      </c>
      <c r="AE24" s="0">
        <f>IF(AND(ISNUMBER(W24),W24&gt;0),IF(INDEX('PEGAR'!$D$13:$D$512,IF(L24&gt;0,L24,K24))="","Sin descripción",INDEX('PEGAR'!$D$13:$D$512,IF(L24&gt;0,L24,K24))),"")</f>
      </c>
      <c r="AF24" s="0">
        <f>IF(AND(ISNUMBER(W24),W24&gt;0),J24,"")</f>
      </c>
      <c r="AG24" s="0" t="n">
        <f>IF(AND(ISNUMBER(W24),W24&gt;0),W24,0)</f>
        <v>0</v>
      </c>
      <c r="AH24" s="0">
        <f>IF(AG24&gt;0,COUNTIFS($AG$13:AG24,"&gt;0"),"")</f>
      </c>
    </row>
    <row r="25" ht="22" customHeight="1">
      <c r="B25" s="27">
        <f>IF(K25="","",INDEX('PEGAR'!$O$13:$O$512,K25))</f>
      </c>
      <c r="C25" s="30">
        <f>IF(B25="","",IF(LEN(TRIM(INDEX('PEGAR'!$B$13:$B$512,IF(L25&gt;0,L25,K25))&amp;""))=0,"Sin capítulo",TRIM(INDEX('PEGAR'!$B$13:$B$512,IF(L25&gt;0,L25,K25))&amp;"")))</f>
      </c>
      <c r="D25" s="27">
        <f>IF(B25="","",IF(LEN(TRIM(INDEX('PEGAR'!$C$13:$C$512,IF(L25&gt;0,L25,K25))&amp;""))=0,"",TRIM(INDEX('PEGAR'!$C$13:$C$512,IF(L25&gt;0,L25,K25))&amp;"")))</f>
      </c>
      <c r="E25" s="27">
        <f>IF(B25="","",INDEX('PEGAR'!$S$13:$S$512,IF(L25&gt;0,L25,K25)))</f>
      </c>
      <c r="F25" s="39">
        <f>IF(B25="","",IF(L25&gt;0,INDEX('PEGAR'!$F$13:$F$512,L25),""))</f>
      </c>
      <c r="G25" s="39">
        <f>IF(B25="","",IF(OR(M25=0,N25&gt;0,O25&gt;0),"",SUMIFS('PEGAR'!$M$13:$M$512,'PEGAR'!$O$13:$O$512,B25)))</f>
      </c>
      <c r="H25" s="39">
        <f>IF(AND(ISNUMBER(F25),ISNUMBER(G25)),G25-F25,"")</f>
      </c>
      <c r="I25" s="27">
        <f>IF(B25="","",IF(W25=2,"ROJO",IF(W25=1,"ÁMBAR","VERDE")))</f>
      </c>
      <c r="J25" s="30">
        <f>IF(B25="","",IF(W25=0,"Sin avisos numéricos. Revisamos el alcance aparte.",IF(L25=0,"Faltan datos completos de partida; no elegimos un total por suposición."&amp;CHAR(10),"")&amp;IF(N25&gt;0,"Hay filas incompletas o contradictorias; las revisamos en PEGAR."&amp;CHAR(10),"")&amp;IF(O25&gt;0,"Faltan las medidas de alguna fila; no cerramos la suma."&amp;CHAR(10),"")&amp;IF(M25=0,"No constan líneas de medición."&amp;CHAR(10),"")&amp;IF(IF(ISNUMBER(H25),ROUND(ABS(H25),8)&gt;$F$6,FALSE),"Las líneas difieren del total en más de 0,01; confirmamos cantidad o exclusión."&amp;CHAR(10),"")&amp;IF(P25&gt;0,"Parece m³: encontramos tres dimensiones bajo m²."&amp;CHAR(10),"")&amp;IF(R25&gt;0,"Código repetido dentro del capítulo; mantenemos sus ID separados."&amp;CHAR(10),"")&amp;IF(S25&gt;0,"Código repetido en otro capítulo; no unimos las partidas."&amp;CHAR(10),"")&amp;IF(T25&gt;0,"Mismo código con unidades distintas; pedimos aclaración."&amp;CHAR(10),"")&amp;IF(Q25&gt;0,"Hay más precisión que los decimales indicados; cotejamos el formato original."&amp;CHAR(10),"")&amp;IF(U25&gt;0,"Unidad sin normalizar; cotejamos su significado antes de sumar unidades."&amp;CHAR(10),"")&amp;IF(V25&gt;0,"Revisamos dimensiones, cantidades directas, ceros o deducciones en PEGAR."&amp;CHAR(10),"")))</f>
      </c>
      <c r="K25" s="0">
        <f>IF(13&gt;'RESUMEN'!$E$6,"",MATCH(13,'PEGAR'!$W$13:$W$512,0))</f>
      </c>
      <c r="L25" s="0">
        <f>IF(K25="","",INDEX('PEGAR'!$R$13:$R$512,K25))</f>
      </c>
      <c r="M25" s="0">
        <f>IF(B25="","",COUNTIFS('PEGAR'!$O$13:$O$512,B25,'PEGAR'!$P$13:$P$512,"DIMENSIONES")+COUNTIFS('PEGAR'!$O$13:$O$512,B25,'PEGAR'!$P$13:$P$512,"DIRECTA"))</f>
      </c>
      <c r="N25" s="0">
        <f>IF(B25="","",COUNTIFS('PEGAR'!$O$13:$O$512,B25,'PEGAR'!$X$13:$X$512,2))</f>
      </c>
      <c r="O25" s="0">
        <f>IF(B25="","",COUNTIFS('PEGAR'!$O$13:$O$512,B25,'PEGAR'!$P$13:$P$512,"SIN LÍNEAS"))</f>
      </c>
      <c r="P25" s="0">
        <f>IF(B25="","",SUMIFS('PEGAR'!$Y$13:$Y$512,'PEGAR'!$O$13:$O$512,B25))</f>
      </c>
      <c r="Q25" s="0">
        <f>IF(B25="","",SUMIFS('PEGAR'!$Z$13:$Z$512,'PEGAR'!$O$13:$O$512,B25))</f>
      </c>
      <c r="R25" s="0" t="n">
        <f>IF(OR(B25="",D25=""),0,SUMPRODUCT(--($B$13:$B$512&lt;&gt;""),--($D$13:$D$512=D25),--($C$13:$C$512=C25))-1)</f>
        <v>0</v>
      </c>
      <c r="S25" s="0" t="n">
        <f>IF(OR(B25="",D25=""),0,SUMPRODUCT(--($B$13:$B$512&lt;&gt;""),--($D$13:$D$512=D25),--($C$13:$C$512&lt;&gt;C25)))</f>
        <v>0</v>
      </c>
      <c r="T25" s="0" t="n">
        <f>IF(OR(B25="",D25=""),0,SUMPRODUCT(--($B$13:$B$512&lt;&gt;""),--($D$13:$D$512=D25),--($E$13:$E$512&lt;&gt;E25)))</f>
        <v>0</v>
      </c>
      <c r="U25" s="0" t="n">
        <f>IF(B25="",0,IF(SUMPRODUCT(--('LÉEME'!$C$65:$C$86=E25))=0,1,0))</f>
        <v>0</v>
      </c>
      <c r="V25" s="0">
        <f>IF(B25="","",SUMIFS('PEGAR'!$AA$13:$AA$512,'PEGAR'!$O$13:$O$512,B25))</f>
      </c>
      <c r="W25" s="0">
        <f>IF(B25="","",IF(OR(L25=0,N25&gt;0,T25&gt;0,IF(ISNUMBER(H25),ROUND(ABS(H25),8)&gt;$F$6,FALSE)),2,IF(OR(M25=0,O25&gt;0,P25&gt;0,Q25&gt;0,R25&gt;0,S25&gt;0,U25&gt;0,V25&gt;0),1,0)))</f>
      </c>
      <c r="X25" s="0">
        <f>IF(B25="","",IF(ISNUMBER(G25),1,0))</f>
      </c>
      <c r="AB25" s="0">
        <f>IF(AND(ISNUMBER(W25),W25&gt;0),"ID "&amp;B25,"")</f>
      </c>
      <c r="AC25" s="0">
        <f>IF(AND(ISNUMBER(W25),W25&gt;0),C25,"")</f>
      </c>
      <c r="AD25" s="0">
        <f>IF(AND(ISNUMBER(W25),W25&gt;0),D25,"")</f>
      </c>
      <c r="AE25" s="0">
        <f>IF(AND(ISNUMBER(W25),W25&gt;0),IF(INDEX('PEGAR'!$D$13:$D$512,IF(L25&gt;0,L25,K25))="","Sin descripción",INDEX('PEGAR'!$D$13:$D$512,IF(L25&gt;0,L25,K25))),"")</f>
      </c>
      <c r="AF25" s="0">
        <f>IF(AND(ISNUMBER(W25),W25&gt;0),J25,"")</f>
      </c>
      <c r="AG25" s="0" t="n">
        <f>IF(AND(ISNUMBER(W25),W25&gt;0),W25,0)</f>
        <v>0</v>
      </c>
      <c r="AH25" s="0">
        <f>IF(AG25&gt;0,COUNTIFS($AG$13:AG25,"&gt;0"),"")</f>
      </c>
    </row>
    <row r="26" ht="22" customHeight="1">
      <c r="B26" s="27">
        <f>IF(K26="","",INDEX('PEGAR'!$O$13:$O$512,K26))</f>
      </c>
      <c r="C26" s="30">
        <f>IF(B26="","",IF(LEN(TRIM(INDEX('PEGAR'!$B$13:$B$512,IF(L26&gt;0,L26,K26))&amp;""))=0,"Sin capítulo",TRIM(INDEX('PEGAR'!$B$13:$B$512,IF(L26&gt;0,L26,K26))&amp;"")))</f>
      </c>
      <c r="D26" s="27">
        <f>IF(B26="","",IF(LEN(TRIM(INDEX('PEGAR'!$C$13:$C$512,IF(L26&gt;0,L26,K26))&amp;""))=0,"",TRIM(INDEX('PEGAR'!$C$13:$C$512,IF(L26&gt;0,L26,K26))&amp;"")))</f>
      </c>
      <c r="E26" s="27">
        <f>IF(B26="","",INDEX('PEGAR'!$S$13:$S$512,IF(L26&gt;0,L26,K26)))</f>
      </c>
      <c r="F26" s="39">
        <f>IF(B26="","",IF(L26&gt;0,INDEX('PEGAR'!$F$13:$F$512,L26),""))</f>
      </c>
      <c r="G26" s="39">
        <f>IF(B26="","",IF(OR(M26=0,N26&gt;0,O26&gt;0),"",SUMIFS('PEGAR'!$M$13:$M$512,'PEGAR'!$O$13:$O$512,B26)))</f>
      </c>
      <c r="H26" s="39">
        <f>IF(AND(ISNUMBER(F26),ISNUMBER(G26)),G26-F26,"")</f>
      </c>
      <c r="I26" s="27">
        <f>IF(B26="","",IF(W26=2,"ROJO",IF(W26=1,"ÁMBAR","VERDE")))</f>
      </c>
      <c r="J26" s="30">
        <f>IF(B26="","",IF(W26=0,"Sin avisos numéricos. Revisamos el alcance aparte.",IF(L26=0,"Faltan datos completos de partida; no elegimos un total por suposición."&amp;CHAR(10),"")&amp;IF(N26&gt;0,"Hay filas incompletas o contradictorias; las revisamos en PEGAR."&amp;CHAR(10),"")&amp;IF(O26&gt;0,"Faltan las medidas de alguna fila; no cerramos la suma."&amp;CHAR(10),"")&amp;IF(M26=0,"No constan líneas de medición."&amp;CHAR(10),"")&amp;IF(IF(ISNUMBER(H26),ROUND(ABS(H26),8)&gt;$F$6,FALSE),"Las líneas difieren del total en más de 0,01; confirmamos cantidad o exclusión."&amp;CHAR(10),"")&amp;IF(P26&gt;0,"Parece m³: encontramos tres dimensiones bajo m²."&amp;CHAR(10),"")&amp;IF(R26&gt;0,"Código repetido dentro del capítulo; mantenemos sus ID separados."&amp;CHAR(10),"")&amp;IF(S26&gt;0,"Código repetido en otro capítulo; no unimos las partidas."&amp;CHAR(10),"")&amp;IF(T26&gt;0,"Mismo código con unidades distintas; pedimos aclaración."&amp;CHAR(10),"")&amp;IF(Q26&gt;0,"Hay más precisión que los decimales indicados; cotejamos el formato original."&amp;CHAR(10),"")&amp;IF(U26&gt;0,"Unidad sin normalizar; cotejamos su significado antes de sumar unidades."&amp;CHAR(10),"")&amp;IF(V26&gt;0,"Revisamos dimensiones, cantidades directas, ceros o deducciones en PEGAR."&amp;CHAR(10),"")))</f>
      </c>
      <c r="K26" s="0">
        <f>IF(14&gt;'RESUMEN'!$E$6,"",MATCH(14,'PEGAR'!$W$13:$W$512,0))</f>
      </c>
      <c r="L26" s="0">
        <f>IF(K26="","",INDEX('PEGAR'!$R$13:$R$512,K26))</f>
      </c>
      <c r="M26" s="0">
        <f>IF(B26="","",COUNTIFS('PEGAR'!$O$13:$O$512,B26,'PEGAR'!$P$13:$P$512,"DIMENSIONES")+COUNTIFS('PEGAR'!$O$13:$O$512,B26,'PEGAR'!$P$13:$P$512,"DIRECTA"))</f>
      </c>
      <c r="N26" s="0">
        <f>IF(B26="","",COUNTIFS('PEGAR'!$O$13:$O$512,B26,'PEGAR'!$X$13:$X$512,2))</f>
      </c>
      <c r="O26" s="0">
        <f>IF(B26="","",COUNTIFS('PEGAR'!$O$13:$O$512,B26,'PEGAR'!$P$13:$P$512,"SIN LÍNEAS"))</f>
      </c>
      <c r="P26" s="0">
        <f>IF(B26="","",SUMIFS('PEGAR'!$Y$13:$Y$512,'PEGAR'!$O$13:$O$512,B26))</f>
      </c>
      <c r="Q26" s="0">
        <f>IF(B26="","",SUMIFS('PEGAR'!$Z$13:$Z$512,'PEGAR'!$O$13:$O$512,B26))</f>
      </c>
      <c r="R26" s="0" t="n">
        <f>IF(OR(B26="",D26=""),0,SUMPRODUCT(--($B$13:$B$512&lt;&gt;""),--($D$13:$D$512=D26),--($C$13:$C$512=C26))-1)</f>
        <v>0</v>
      </c>
      <c r="S26" s="0" t="n">
        <f>IF(OR(B26="",D26=""),0,SUMPRODUCT(--($B$13:$B$512&lt;&gt;""),--($D$13:$D$512=D26),--($C$13:$C$512&lt;&gt;C26)))</f>
        <v>0</v>
      </c>
      <c r="T26" s="0" t="n">
        <f>IF(OR(B26="",D26=""),0,SUMPRODUCT(--($B$13:$B$512&lt;&gt;""),--($D$13:$D$512=D26),--($E$13:$E$512&lt;&gt;E26)))</f>
        <v>0</v>
      </c>
      <c r="U26" s="0" t="n">
        <f>IF(B26="",0,IF(SUMPRODUCT(--('LÉEME'!$C$65:$C$86=E26))=0,1,0))</f>
        <v>0</v>
      </c>
      <c r="V26" s="0">
        <f>IF(B26="","",SUMIFS('PEGAR'!$AA$13:$AA$512,'PEGAR'!$O$13:$O$512,B26))</f>
      </c>
      <c r="W26" s="0">
        <f>IF(B26="","",IF(OR(L26=0,N26&gt;0,T26&gt;0,IF(ISNUMBER(H26),ROUND(ABS(H26),8)&gt;$F$6,FALSE)),2,IF(OR(M26=0,O26&gt;0,P26&gt;0,Q26&gt;0,R26&gt;0,S26&gt;0,U26&gt;0,V26&gt;0),1,0)))</f>
      </c>
      <c r="X26" s="0">
        <f>IF(B26="","",IF(ISNUMBER(G26),1,0))</f>
      </c>
      <c r="AB26" s="0">
        <f>IF(AND(ISNUMBER(W26),W26&gt;0),"ID "&amp;B26,"")</f>
      </c>
      <c r="AC26" s="0">
        <f>IF(AND(ISNUMBER(W26),W26&gt;0),C26,"")</f>
      </c>
      <c r="AD26" s="0">
        <f>IF(AND(ISNUMBER(W26),W26&gt;0),D26,"")</f>
      </c>
      <c r="AE26" s="0">
        <f>IF(AND(ISNUMBER(W26),W26&gt;0),IF(INDEX('PEGAR'!$D$13:$D$512,IF(L26&gt;0,L26,K26))="","Sin descripción",INDEX('PEGAR'!$D$13:$D$512,IF(L26&gt;0,L26,K26))),"")</f>
      </c>
      <c r="AF26" s="0">
        <f>IF(AND(ISNUMBER(W26),W26&gt;0),J26,"")</f>
      </c>
      <c r="AG26" s="0" t="n">
        <f>IF(AND(ISNUMBER(W26),W26&gt;0),W26,0)</f>
        <v>0</v>
      </c>
      <c r="AH26" s="0">
        <f>IF(AG26&gt;0,COUNTIFS($AG$13:AG26,"&gt;0"),"")</f>
      </c>
    </row>
    <row r="27" ht="22" customHeight="1">
      <c r="B27" s="27">
        <f>IF(K27="","",INDEX('PEGAR'!$O$13:$O$512,K27))</f>
      </c>
      <c r="C27" s="30">
        <f>IF(B27="","",IF(LEN(TRIM(INDEX('PEGAR'!$B$13:$B$512,IF(L27&gt;0,L27,K27))&amp;""))=0,"Sin capítulo",TRIM(INDEX('PEGAR'!$B$13:$B$512,IF(L27&gt;0,L27,K27))&amp;"")))</f>
      </c>
      <c r="D27" s="27">
        <f>IF(B27="","",IF(LEN(TRIM(INDEX('PEGAR'!$C$13:$C$512,IF(L27&gt;0,L27,K27))&amp;""))=0,"",TRIM(INDEX('PEGAR'!$C$13:$C$512,IF(L27&gt;0,L27,K27))&amp;"")))</f>
      </c>
      <c r="E27" s="27">
        <f>IF(B27="","",INDEX('PEGAR'!$S$13:$S$512,IF(L27&gt;0,L27,K27)))</f>
      </c>
      <c r="F27" s="39">
        <f>IF(B27="","",IF(L27&gt;0,INDEX('PEGAR'!$F$13:$F$512,L27),""))</f>
      </c>
      <c r="G27" s="39">
        <f>IF(B27="","",IF(OR(M27=0,N27&gt;0,O27&gt;0),"",SUMIFS('PEGAR'!$M$13:$M$512,'PEGAR'!$O$13:$O$512,B27)))</f>
      </c>
      <c r="H27" s="39">
        <f>IF(AND(ISNUMBER(F27),ISNUMBER(G27)),G27-F27,"")</f>
      </c>
      <c r="I27" s="27">
        <f>IF(B27="","",IF(W27=2,"ROJO",IF(W27=1,"ÁMBAR","VERDE")))</f>
      </c>
      <c r="J27" s="30">
        <f>IF(B27="","",IF(W27=0,"Sin avisos numéricos. Revisamos el alcance aparte.",IF(L27=0,"Faltan datos completos de partida; no elegimos un total por suposición."&amp;CHAR(10),"")&amp;IF(N27&gt;0,"Hay filas incompletas o contradictorias; las revisamos en PEGAR."&amp;CHAR(10),"")&amp;IF(O27&gt;0,"Faltan las medidas de alguna fila; no cerramos la suma."&amp;CHAR(10),"")&amp;IF(M27=0,"No constan líneas de medición."&amp;CHAR(10),"")&amp;IF(IF(ISNUMBER(H27),ROUND(ABS(H27),8)&gt;$F$6,FALSE),"Las líneas difieren del total en más de 0,01; confirmamos cantidad o exclusión."&amp;CHAR(10),"")&amp;IF(P27&gt;0,"Parece m³: encontramos tres dimensiones bajo m²."&amp;CHAR(10),"")&amp;IF(R27&gt;0,"Código repetido dentro del capítulo; mantenemos sus ID separados."&amp;CHAR(10),"")&amp;IF(S27&gt;0,"Código repetido en otro capítulo; no unimos las partidas."&amp;CHAR(10),"")&amp;IF(T27&gt;0,"Mismo código con unidades distintas; pedimos aclaración."&amp;CHAR(10),"")&amp;IF(Q27&gt;0,"Hay más precisión que los decimales indicados; cotejamos el formato original."&amp;CHAR(10),"")&amp;IF(U27&gt;0,"Unidad sin normalizar; cotejamos su significado antes de sumar unidades."&amp;CHAR(10),"")&amp;IF(V27&gt;0,"Revisamos dimensiones, cantidades directas, ceros o deducciones en PEGAR."&amp;CHAR(10),"")))</f>
      </c>
      <c r="K27" s="0">
        <f>IF(15&gt;'RESUMEN'!$E$6,"",MATCH(15,'PEGAR'!$W$13:$W$512,0))</f>
      </c>
      <c r="L27" s="0">
        <f>IF(K27="","",INDEX('PEGAR'!$R$13:$R$512,K27))</f>
      </c>
      <c r="M27" s="0">
        <f>IF(B27="","",COUNTIFS('PEGAR'!$O$13:$O$512,B27,'PEGAR'!$P$13:$P$512,"DIMENSIONES")+COUNTIFS('PEGAR'!$O$13:$O$512,B27,'PEGAR'!$P$13:$P$512,"DIRECTA"))</f>
      </c>
      <c r="N27" s="0">
        <f>IF(B27="","",COUNTIFS('PEGAR'!$O$13:$O$512,B27,'PEGAR'!$X$13:$X$512,2))</f>
      </c>
      <c r="O27" s="0">
        <f>IF(B27="","",COUNTIFS('PEGAR'!$O$13:$O$512,B27,'PEGAR'!$P$13:$P$512,"SIN LÍNEAS"))</f>
      </c>
      <c r="P27" s="0">
        <f>IF(B27="","",SUMIFS('PEGAR'!$Y$13:$Y$512,'PEGAR'!$O$13:$O$512,B27))</f>
      </c>
      <c r="Q27" s="0">
        <f>IF(B27="","",SUMIFS('PEGAR'!$Z$13:$Z$512,'PEGAR'!$O$13:$O$512,B27))</f>
      </c>
      <c r="R27" s="0" t="n">
        <f>IF(OR(B27="",D27=""),0,SUMPRODUCT(--($B$13:$B$512&lt;&gt;""),--($D$13:$D$512=D27),--($C$13:$C$512=C27))-1)</f>
        <v>0</v>
      </c>
      <c r="S27" s="0" t="n">
        <f>IF(OR(B27="",D27=""),0,SUMPRODUCT(--($B$13:$B$512&lt;&gt;""),--($D$13:$D$512=D27),--($C$13:$C$512&lt;&gt;C27)))</f>
        <v>0</v>
      </c>
      <c r="T27" s="0" t="n">
        <f>IF(OR(B27="",D27=""),0,SUMPRODUCT(--($B$13:$B$512&lt;&gt;""),--($D$13:$D$512=D27),--($E$13:$E$512&lt;&gt;E27)))</f>
        <v>0</v>
      </c>
      <c r="U27" s="0" t="n">
        <f>IF(B27="",0,IF(SUMPRODUCT(--('LÉEME'!$C$65:$C$86=E27))=0,1,0))</f>
        <v>0</v>
      </c>
      <c r="V27" s="0">
        <f>IF(B27="","",SUMIFS('PEGAR'!$AA$13:$AA$512,'PEGAR'!$O$13:$O$512,B27))</f>
      </c>
      <c r="W27" s="0">
        <f>IF(B27="","",IF(OR(L27=0,N27&gt;0,T27&gt;0,IF(ISNUMBER(H27),ROUND(ABS(H27),8)&gt;$F$6,FALSE)),2,IF(OR(M27=0,O27&gt;0,P27&gt;0,Q27&gt;0,R27&gt;0,S27&gt;0,U27&gt;0,V27&gt;0),1,0)))</f>
      </c>
      <c r="X27" s="0">
        <f>IF(B27="","",IF(ISNUMBER(G27),1,0))</f>
      </c>
      <c r="AB27" s="0">
        <f>IF(AND(ISNUMBER(W27),W27&gt;0),"ID "&amp;B27,"")</f>
      </c>
      <c r="AC27" s="0">
        <f>IF(AND(ISNUMBER(W27),W27&gt;0),C27,"")</f>
      </c>
      <c r="AD27" s="0">
        <f>IF(AND(ISNUMBER(W27),W27&gt;0),D27,"")</f>
      </c>
      <c r="AE27" s="0">
        <f>IF(AND(ISNUMBER(W27),W27&gt;0),IF(INDEX('PEGAR'!$D$13:$D$512,IF(L27&gt;0,L27,K27))="","Sin descripción",INDEX('PEGAR'!$D$13:$D$512,IF(L27&gt;0,L27,K27))),"")</f>
      </c>
      <c r="AF27" s="0">
        <f>IF(AND(ISNUMBER(W27),W27&gt;0),J27,"")</f>
      </c>
      <c r="AG27" s="0" t="n">
        <f>IF(AND(ISNUMBER(W27),W27&gt;0),W27,0)</f>
        <v>0</v>
      </c>
      <c r="AH27" s="0">
        <f>IF(AG27&gt;0,COUNTIFS($AG$13:AG27,"&gt;0"),"")</f>
      </c>
    </row>
    <row r="28" ht="22" customHeight="1">
      <c r="B28" s="27">
        <f>IF(K28="","",INDEX('PEGAR'!$O$13:$O$512,K28))</f>
      </c>
      <c r="C28" s="30">
        <f>IF(B28="","",IF(LEN(TRIM(INDEX('PEGAR'!$B$13:$B$512,IF(L28&gt;0,L28,K28))&amp;""))=0,"Sin capítulo",TRIM(INDEX('PEGAR'!$B$13:$B$512,IF(L28&gt;0,L28,K28))&amp;"")))</f>
      </c>
      <c r="D28" s="27">
        <f>IF(B28="","",IF(LEN(TRIM(INDEX('PEGAR'!$C$13:$C$512,IF(L28&gt;0,L28,K28))&amp;""))=0,"",TRIM(INDEX('PEGAR'!$C$13:$C$512,IF(L28&gt;0,L28,K28))&amp;"")))</f>
      </c>
      <c r="E28" s="27">
        <f>IF(B28="","",INDEX('PEGAR'!$S$13:$S$512,IF(L28&gt;0,L28,K28)))</f>
      </c>
      <c r="F28" s="39">
        <f>IF(B28="","",IF(L28&gt;0,INDEX('PEGAR'!$F$13:$F$512,L28),""))</f>
      </c>
      <c r="G28" s="39">
        <f>IF(B28="","",IF(OR(M28=0,N28&gt;0,O28&gt;0),"",SUMIFS('PEGAR'!$M$13:$M$512,'PEGAR'!$O$13:$O$512,B28)))</f>
      </c>
      <c r="H28" s="39">
        <f>IF(AND(ISNUMBER(F28),ISNUMBER(G28)),G28-F28,"")</f>
      </c>
      <c r="I28" s="27">
        <f>IF(B28="","",IF(W28=2,"ROJO",IF(W28=1,"ÁMBAR","VERDE")))</f>
      </c>
      <c r="J28" s="30">
        <f>IF(B28="","",IF(W28=0,"Sin avisos numéricos. Revisamos el alcance aparte.",IF(L28=0,"Faltan datos completos de partida; no elegimos un total por suposición."&amp;CHAR(10),"")&amp;IF(N28&gt;0,"Hay filas incompletas o contradictorias; las revisamos en PEGAR."&amp;CHAR(10),"")&amp;IF(O28&gt;0,"Faltan las medidas de alguna fila; no cerramos la suma."&amp;CHAR(10),"")&amp;IF(M28=0,"No constan líneas de medición."&amp;CHAR(10),"")&amp;IF(IF(ISNUMBER(H28),ROUND(ABS(H28),8)&gt;$F$6,FALSE),"Las líneas difieren del total en más de 0,01; confirmamos cantidad o exclusión."&amp;CHAR(10),"")&amp;IF(P28&gt;0,"Parece m³: encontramos tres dimensiones bajo m²."&amp;CHAR(10),"")&amp;IF(R28&gt;0,"Código repetido dentro del capítulo; mantenemos sus ID separados."&amp;CHAR(10),"")&amp;IF(S28&gt;0,"Código repetido en otro capítulo; no unimos las partidas."&amp;CHAR(10),"")&amp;IF(T28&gt;0,"Mismo código con unidades distintas; pedimos aclaración."&amp;CHAR(10),"")&amp;IF(Q28&gt;0,"Hay más precisión que los decimales indicados; cotejamos el formato original."&amp;CHAR(10),"")&amp;IF(U28&gt;0,"Unidad sin normalizar; cotejamos su significado antes de sumar unidades."&amp;CHAR(10),"")&amp;IF(V28&gt;0,"Revisamos dimensiones, cantidades directas, ceros o deducciones en PEGAR."&amp;CHAR(10),"")))</f>
      </c>
      <c r="K28" s="0">
        <f>IF(16&gt;'RESUMEN'!$E$6,"",MATCH(16,'PEGAR'!$W$13:$W$512,0))</f>
      </c>
      <c r="L28" s="0">
        <f>IF(K28="","",INDEX('PEGAR'!$R$13:$R$512,K28))</f>
      </c>
      <c r="M28" s="0">
        <f>IF(B28="","",COUNTIFS('PEGAR'!$O$13:$O$512,B28,'PEGAR'!$P$13:$P$512,"DIMENSIONES")+COUNTIFS('PEGAR'!$O$13:$O$512,B28,'PEGAR'!$P$13:$P$512,"DIRECTA"))</f>
      </c>
      <c r="N28" s="0">
        <f>IF(B28="","",COUNTIFS('PEGAR'!$O$13:$O$512,B28,'PEGAR'!$X$13:$X$512,2))</f>
      </c>
      <c r="O28" s="0">
        <f>IF(B28="","",COUNTIFS('PEGAR'!$O$13:$O$512,B28,'PEGAR'!$P$13:$P$512,"SIN LÍNEAS"))</f>
      </c>
      <c r="P28" s="0">
        <f>IF(B28="","",SUMIFS('PEGAR'!$Y$13:$Y$512,'PEGAR'!$O$13:$O$512,B28))</f>
      </c>
      <c r="Q28" s="0">
        <f>IF(B28="","",SUMIFS('PEGAR'!$Z$13:$Z$512,'PEGAR'!$O$13:$O$512,B28))</f>
      </c>
      <c r="R28" s="0" t="n">
        <f>IF(OR(B28="",D28=""),0,SUMPRODUCT(--($B$13:$B$512&lt;&gt;""),--($D$13:$D$512=D28),--($C$13:$C$512=C28))-1)</f>
        <v>0</v>
      </c>
      <c r="S28" s="0" t="n">
        <f>IF(OR(B28="",D28=""),0,SUMPRODUCT(--($B$13:$B$512&lt;&gt;""),--($D$13:$D$512=D28),--($C$13:$C$512&lt;&gt;C28)))</f>
        <v>0</v>
      </c>
      <c r="T28" s="0" t="n">
        <f>IF(OR(B28="",D28=""),0,SUMPRODUCT(--($B$13:$B$512&lt;&gt;""),--($D$13:$D$512=D28),--($E$13:$E$512&lt;&gt;E28)))</f>
        <v>0</v>
      </c>
      <c r="U28" s="0" t="n">
        <f>IF(B28="",0,IF(SUMPRODUCT(--('LÉEME'!$C$65:$C$86=E28))=0,1,0))</f>
        <v>0</v>
      </c>
      <c r="V28" s="0">
        <f>IF(B28="","",SUMIFS('PEGAR'!$AA$13:$AA$512,'PEGAR'!$O$13:$O$512,B28))</f>
      </c>
      <c r="W28" s="0">
        <f>IF(B28="","",IF(OR(L28=0,N28&gt;0,T28&gt;0,IF(ISNUMBER(H28),ROUND(ABS(H28),8)&gt;$F$6,FALSE)),2,IF(OR(M28=0,O28&gt;0,P28&gt;0,Q28&gt;0,R28&gt;0,S28&gt;0,U28&gt;0,V28&gt;0),1,0)))</f>
      </c>
      <c r="X28" s="0">
        <f>IF(B28="","",IF(ISNUMBER(G28),1,0))</f>
      </c>
      <c r="AB28" s="0">
        <f>IF(AND(ISNUMBER(W28),W28&gt;0),"ID "&amp;B28,"")</f>
      </c>
      <c r="AC28" s="0">
        <f>IF(AND(ISNUMBER(W28),W28&gt;0),C28,"")</f>
      </c>
      <c r="AD28" s="0">
        <f>IF(AND(ISNUMBER(W28),W28&gt;0),D28,"")</f>
      </c>
      <c r="AE28" s="0">
        <f>IF(AND(ISNUMBER(W28),W28&gt;0),IF(INDEX('PEGAR'!$D$13:$D$512,IF(L28&gt;0,L28,K28))="","Sin descripción",INDEX('PEGAR'!$D$13:$D$512,IF(L28&gt;0,L28,K28))),"")</f>
      </c>
      <c r="AF28" s="0">
        <f>IF(AND(ISNUMBER(W28),W28&gt;0),J28,"")</f>
      </c>
      <c r="AG28" s="0" t="n">
        <f>IF(AND(ISNUMBER(W28),W28&gt;0),W28,0)</f>
        <v>0</v>
      </c>
      <c r="AH28" s="0">
        <f>IF(AG28&gt;0,COUNTIFS($AG$13:AG28,"&gt;0"),"")</f>
      </c>
    </row>
    <row r="29" ht="22" customHeight="1">
      <c r="B29" s="27">
        <f>IF(K29="","",INDEX('PEGAR'!$O$13:$O$512,K29))</f>
      </c>
      <c r="C29" s="30">
        <f>IF(B29="","",IF(LEN(TRIM(INDEX('PEGAR'!$B$13:$B$512,IF(L29&gt;0,L29,K29))&amp;""))=0,"Sin capítulo",TRIM(INDEX('PEGAR'!$B$13:$B$512,IF(L29&gt;0,L29,K29))&amp;"")))</f>
      </c>
      <c r="D29" s="27">
        <f>IF(B29="","",IF(LEN(TRIM(INDEX('PEGAR'!$C$13:$C$512,IF(L29&gt;0,L29,K29))&amp;""))=0,"",TRIM(INDEX('PEGAR'!$C$13:$C$512,IF(L29&gt;0,L29,K29))&amp;"")))</f>
      </c>
      <c r="E29" s="27">
        <f>IF(B29="","",INDEX('PEGAR'!$S$13:$S$512,IF(L29&gt;0,L29,K29)))</f>
      </c>
      <c r="F29" s="39">
        <f>IF(B29="","",IF(L29&gt;0,INDEX('PEGAR'!$F$13:$F$512,L29),""))</f>
      </c>
      <c r="G29" s="39">
        <f>IF(B29="","",IF(OR(M29=0,N29&gt;0,O29&gt;0),"",SUMIFS('PEGAR'!$M$13:$M$512,'PEGAR'!$O$13:$O$512,B29)))</f>
      </c>
      <c r="H29" s="39">
        <f>IF(AND(ISNUMBER(F29),ISNUMBER(G29)),G29-F29,"")</f>
      </c>
      <c r="I29" s="27">
        <f>IF(B29="","",IF(W29=2,"ROJO",IF(W29=1,"ÁMBAR","VERDE")))</f>
      </c>
      <c r="J29" s="30">
        <f>IF(B29="","",IF(W29=0,"Sin avisos numéricos. Revisamos el alcance aparte.",IF(L29=0,"Faltan datos completos de partida; no elegimos un total por suposición."&amp;CHAR(10),"")&amp;IF(N29&gt;0,"Hay filas incompletas o contradictorias; las revisamos en PEGAR."&amp;CHAR(10),"")&amp;IF(O29&gt;0,"Faltan las medidas de alguna fila; no cerramos la suma."&amp;CHAR(10),"")&amp;IF(M29=0,"No constan líneas de medición."&amp;CHAR(10),"")&amp;IF(IF(ISNUMBER(H29),ROUND(ABS(H29),8)&gt;$F$6,FALSE),"Las líneas difieren del total en más de 0,01; confirmamos cantidad o exclusión."&amp;CHAR(10),"")&amp;IF(P29&gt;0,"Parece m³: encontramos tres dimensiones bajo m²."&amp;CHAR(10),"")&amp;IF(R29&gt;0,"Código repetido dentro del capítulo; mantenemos sus ID separados."&amp;CHAR(10),"")&amp;IF(S29&gt;0,"Código repetido en otro capítulo; no unimos las partidas."&amp;CHAR(10),"")&amp;IF(T29&gt;0,"Mismo código con unidades distintas; pedimos aclaración."&amp;CHAR(10),"")&amp;IF(Q29&gt;0,"Hay más precisión que los decimales indicados; cotejamos el formato original."&amp;CHAR(10),"")&amp;IF(U29&gt;0,"Unidad sin normalizar; cotejamos su significado antes de sumar unidades."&amp;CHAR(10),"")&amp;IF(V29&gt;0,"Revisamos dimensiones, cantidades directas, ceros o deducciones en PEGAR."&amp;CHAR(10),"")))</f>
      </c>
      <c r="K29" s="0">
        <f>IF(17&gt;'RESUMEN'!$E$6,"",MATCH(17,'PEGAR'!$W$13:$W$512,0))</f>
      </c>
      <c r="L29" s="0">
        <f>IF(K29="","",INDEX('PEGAR'!$R$13:$R$512,K29))</f>
      </c>
      <c r="M29" s="0">
        <f>IF(B29="","",COUNTIFS('PEGAR'!$O$13:$O$512,B29,'PEGAR'!$P$13:$P$512,"DIMENSIONES")+COUNTIFS('PEGAR'!$O$13:$O$512,B29,'PEGAR'!$P$13:$P$512,"DIRECTA"))</f>
      </c>
      <c r="N29" s="0">
        <f>IF(B29="","",COUNTIFS('PEGAR'!$O$13:$O$512,B29,'PEGAR'!$X$13:$X$512,2))</f>
      </c>
      <c r="O29" s="0">
        <f>IF(B29="","",COUNTIFS('PEGAR'!$O$13:$O$512,B29,'PEGAR'!$P$13:$P$512,"SIN LÍNEAS"))</f>
      </c>
      <c r="P29" s="0">
        <f>IF(B29="","",SUMIFS('PEGAR'!$Y$13:$Y$512,'PEGAR'!$O$13:$O$512,B29))</f>
      </c>
      <c r="Q29" s="0">
        <f>IF(B29="","",SUMIFS('PEGAR'!$Z$13:$Z$512,'PEGAR'!$O$13:$O$512,B29))</f>
      </c>
      <c r="R29" s="0" t="n">
        <f>IF(OR(B29="",D29=""),0,SUMPRODUCT(--($B$13:$B$512&lt;&gt;""),--($D$13:$D$512=D29),--($C$13:$C$512=C29))-1)</f>
        <v>0</v>
      </c>
      <c r="S29" s="0" t="n">
        <f>IF(OR(B29="",D29=""),0,SUMPRODUCT(--($B$13:$B$512&lt;&gt;""),--($D$13:$D$512=D29),--($C$13:$C$512&lt;&gt;C29)))</f>
        <v>0</v>
      </c>
      <c r="T29" s="0" t="n">
        <f>IF(OR(B29="",D29=""),0,SUMPRODUCT(--($B$13:$B$512&lt;&gt;""),--($D$13:$D$512=D29),--($E$13:$E$512&lt;&gt;E29)))</f>
        <v>0</v>
      </c>
      <c r="U29" s="0" t="n">
        <f>IF(B29="",0,IF(SUMPRODUCT(--('LÉEME'!$C$65:$C$86=E29))=0,1,0))</f>
        <v>0</v>
      </c>
      <c r="V29" s="0">
        <f>IF(B29="","",SUMIFS('PEGAR'!$AA$13:$AA$512,'PEGAR'!$O$13:$O$512,B29))</f>
      </c>
      <c r="W29" s="0">
        <f>IF(B29="","",IF(OR(L29=0,N29&gt;0,T29&gt;0,IF(ISNUMBER(H29),ROUND(ABS(H29),8)&gt;$F$6,FALSE)),2,IF(OR(M29=0,O29&gt;0,P29&gt;0,Q29&gt;0,R29&gt;0,S29&gt;0,U29&gt;0,V29&gt;0),1,0)))</f>
      </c>
      <c r="X29" s="0">
        <f>IF(B29="","",IF(ISNUMBER(G29),1,0))</f>
      </c>
      <c r="AB29" s="0">
        <f>IF(AND(ISNUMBER(W29),W29&gt;0),"ID "&amp;B29,"")</f>
      </c>
      <c r="AC29" s="0">
        <f>IF(AND(ISNUMBER(W29),W29&gt;0),C29,"")</f>
      </c>
      <c r="AD29" s="0">
        <f>IF(AND(ISNUMBER(W29),W29&gt;0),D29,"")</f>
      </c>
      <c r="AE29" s="0">
        <f>IF(AND(ISNUMBER(W29),W29&gt;0),IF(INDEX('PEGAR'!$D$13:$D$512,IF(L29&gt;0,L29,K29))="","Sin descripción",INDEX('PEGAR'!$D$13:$D$512,IF(L29&gt;0,L29,K29))),"")</f>
      </c>
      <c r="AF29" s="0">
        <f>IF(AND(ISNUMBER(W29),W29&gt;0),J29,"")</f>
      </c>
      <c r="AG29" s="0" t="n">
        <f>IF(AND(ISNUMBER(W29),W29&gt;0),W29,0)</f>
        <v>0</v>
      </c>
      <c r="AH29" s="0">
        <f>IF(AG29&gt;0,COUNTIFS($AG$13:AG29,"&gt;0"),"")</f>
      </c>
    </row>
    <row r="30" ht="22" customHeight="1">
      <c r="B30" s="27">
        <f>IF(K30="","",INDEX('PEGAR'!$O$13:$O$512,K30))</f>
      </c>
      <c r="C30" s="30">
        <f>IF(B30="","",IF(LEN(TRIM(INDEX('PEGAR'!$B$13:$B$512,IF(L30&gt;0,L30,K30))&amp;""))=0,"Sin capítulo",TRIM(INDEX('PEGAR'!$B$13:$B$512,IF(L30&gt;0,L30,K30))&amp;"")))</f>
      </c>
      <c r="D30" s="27">
        <f>IF(B30="","",IF(LEN(TRIM(INDEX('PEGAR'!$C$13:$C$512,IF(L30&gt;0,L30,K30))&amp;""))=0,"",TRIM(INDEX('PEGAR'!$C$13:$C$512,IF(L30&gt;0,L30,K30))&amp;"")))</f>
      </c>
      <c r="E30" s="27">
        <f>IF(B30="","",INDEX('PEGAR'!$S$13:$S$512,IF(L30&gt;0,L30,K30)))</f>
      </c>
      <c r="F30" s="39">
        <f>IF(B30="","",IF(L30&gt;0,INDEX('PEGAR'!$F$13:$F$512,L30),""))</f>
      </c>
      <c r="G30" s="39">
        <f>IF(B30="","",IF(OR(M30=0,N30&gt;0,O30&gt;0),"",SUMIFS('PEGAR'!$M$13:$M$512,'PEGAR'!$O$13:$O$512,B30)))</f>
      </c>
      <c r="H30" s="39">
        <f>IF(AND(ISNUMBER(F30),ISNUMBER(G30)),G30-F30,"")</f>
      </c>
      <c r="I30" s="27">
        <f>IF(B30="","",IF(W30=2,"ROJO",IF(W30=1,"ÁMBAR","VERDE")))</f>
      </c>
      <c r="J30" s="30">
        <f>IF(B30="","",IF(W30=0,"Sin avisos numéricos. Revisamos el alcance aparte.",IF(L30=0,"Faltan datos completos de partida; no elegimos un total por suposición."&amp;CHAR(10),"")&amp;IF(N30&gt;0,"Hay filas incompletas o contradictorias; las revisamos en PEGAR."&amp;CHAR(10),"")&amp;IF(O30&gt;0,"Faltan las medidas de alguna fila; no cerramos la suma."&amp;CHAR(10),"")&amp;IF(M30=0,"No constan líneas de medición."&amp;CHAR(10),"")&amp;IF(IF(ISNUMBER(H30),ROUND(ABS(H30),8)&gt;$F$6,FALSE),"Las líneas difieren del total en más de 0,01; confirmamos cantidad o exclusión."&amp;CHAR(10),"")&amp;IF(P30&gt;0,"Parece m³: encontramos tres dimensiones bajo m²."&amp;CHAR(10),"")&amp;IF(R30&gt;0,"Código repetido dentro del capítulo; mantenemos sus ID separados."&amp;CHAR(10),"")&amp;IF(S30&gt;0,"Código repetido en otro capítulo; no unimos las partidas."&amp;CHAR(10),"")&amp;IF(T30&gt;0,"Mismo código con unidades distintas; pedimos aclaración."&amp;CHAR(10),"")&amp;IF(Q30&gt;0,"Hay más precisión que los decimales indicados; cotejamos el formato original."&amp;CHAR(10),"")&amp;IF(U30&gt;0,"Unidad sin normalizar; cotejamos su significado antes de sumar unidades."&amp;CHAR(10),"")&amp;IF(V30&gt;0,"Revisamos dimensiones, cantidades directas, ceros o deducciones en PEGAR."&amp;CHAR(10),"")))</f>
      </c>
      <c r="K30" s="0">
        <f>IF(18&gt;'RESUMEN'!$E$6,"",MATCH(18,'PEGAR'!$W$13:$W$512,0))</f>
      </c>
      <c r="L30" s="0">
        <f>IF(K30="","",INDEX('PEGAR'!$R$13:$R$512,K30))</f>
      </c>
      <c r="M30" s="0">
        <f>IF(B30="","",COUNTIFS('PEGAR'!$O$13:$O$512,B30,'PEGAR'!$P$13:$P$512,"DIMENSIONES")+COUNTIFS('PEGAR'!$O$13:$O$512,B30,'PEGAR'!$P$13:$P$512,"DIRECTA"))</f>
      </c>
      <c r="N30" s="0">
        <f>IF(B30="","",COUNTIFS('PEGAR'!$O$13:$O$512,B30,'PEGAR'!$X$13:$X$512,2))</f>
      </c>
      <c r="O30" s="0">
        <f>IF(B30="","",COUNTIFS('PEGAR'!$O$13:$O$512,B30,'PEGAR'!$P$13:$P$512,"SIN LÍNEAS"))</f>
      </c>
      <c r="P30" s="0">
        <f>IF(B30="","",SUMIFS('PEGAR'!$Y$13:$Y$512,'PEGAR'!$O$13:$O$512,B30))</f>
      </c>
      <c r="Q30" s="0">
        <f>IF(B30="","",SUMIFS('PEGAR'!$Z$13:$Z$512,'PEGAR'!$O$13:$O$512,B30))</f>
      </c>
      <c r="R30" s="0" t="n">
        <f>IF(OR(B30="",D30=""),0,SUMPRODUCT(--($B$13:$B$512&lt;&gt;""),--($D$13:$D$512=D30),--($C$13:$C$512=C30))-1)</f>
        <v>0</v>
      </c>
      <c r="S30" s="0" t="n">
        <f>IF(OR(B30="",D30=""),0,SUMPRODUCT(--($B$13:$B$512&lt;&gt;""),--($D$13:$D$512=D30),--($C$13:$C$512&lt;&gt;C30)))</f>
        <v>0</v>
      </c>
      <c r="T30" s="0" t="n">
        <f>IF(OR(B30="",D30=""),0,SUMPRODUCT(--($B$13:$B$512&lt;&gt;""),--($D$13:$D$512=D30),--($E$13:$E$512&lt;&gt;E30)))</f>
        <v>0</v>
      </c>
      <c r="U30" s="0" t="n">
        <f>IF(B30="",0,IF(SUMPRODUCT(--('LÉEME'!$C$65:$C$86=E30))=0,1,0))</f>
        <v>0</v>
      </c>
      <c r="V30" s="0">
        <f>IF(B30="","",SUMIFS('PEGAR'!$AA$13:$AA$512,'PEGAR'!$O$13:$O$512,B30))</f>
      </c>
      <c r="W30" s="0">
        <f>IF(B30="","",IF(OR(L30=0,N30&gt;0,T30&gt;0,IF(ISNUMBER(H30),ROUND(ABS(H30),8)&gt;$F$6,FALSE)),2,IF(OR(M30=0,O30&gt;0,P30&gt;0,Q30&gt;0,R30&gt;0,S30&gt;0,U30&gt;0,V30&gt;0),1,0)))</f>
      </c>
      <c r="X30" s="0">
        <f>IF(B30="","",IF(ISNUMBER(G30),1,0))</f>
      </c>
      <c r="AB30" s="0">
        <f>IF(AND(ISNUMBER(W30),W30&gt;0),"ID "&amp;B30,"")</f>
      </c>
      <c r="AC30" s="0">
        <f>IF(AND(ISNUMBER(W30),W30&gt;0),C30,"")</f>
      </c>
      <c r="AD30" s="0">
        <f>IF(AND(ISNUMBER(W30),W30&gt;0),D30,"")</f>
      </c>
      <c r="AE30" s="0">
        <f>IF(AND(ISNUMBER(W30),W30&gt;0),IF(INDEX('PEGAR'!$D$13:$D$512,IF(L30&gt;0,L30,K30))="","Sin descripción",INDEX('PEGAR'!$D$13:$D$512,IF(L30&gt;0,L30,K30))),"")</f>
      </c>
      <c r="AF30" s="0">
        <f>IF(AND(ISNUMBER(W30),W30&gt;0),J30,"")</f>
      </c>
      <c r="AG30" s="0" t="n">
        <f>IF(AND(ISNUMBER(W30),W30&gt;0),W30,0)</f>
        <v>0</v>
      </c>
      <c r="AH30" s="0">
        <f>IF(AG30&gt;0,COUNTIFS($AG$13:AG30,"&gt;0"),"")</f>
      </c>
    </row>
    <row r="31" ht="22" customHeight="1">
      <c r="B31" s="27">
        <f>IF(K31="","",INDEX('PEGAR'!$O$13:$O$512,K31))</f>
      </c>
      <c r="C31" s="30">
        <f>IF(B31="","",IF(LEN(TRIM(INDEX('PEGAR'!$B$13:$B$512,IF(L31&gt;0,L31,K31))&amp;""))=0,"Sin capítulo",TRIM(INDEX('PEGAR'!$B$13:$B$512,IF(L31&gt;0,L31,K31))&amp;"")))</f>
      </c>
      <c r="D31" s="27">
        <f>IF(B31="","",IF(LEN(TRIM(INDEX('PEGAR'!$C$13:$C$512,IF(L31&gt;0,L31,K31))&amp;""))=0,"",TRIM(INDEX('PEGAR'!$C$13:$C$512,IF(L31&gt;0,L31,K31))&amp;"")))</f>
      </c>
      <c r="E31" s="27">
        <f>IF(B31="","",INDEX('PEGAR'!$S$13:$S$512,IF(L31&gt;0,L31,K31)))</f>
      </c>
      <c r="F31" s="39">
        <f>IF(B31="","",IF(L31&gt;0,INDEX('PEGAR'!$F$13:$F$512,L31),""))</f>
      </c>
      <c r="G31" s="39">
        <f>IF(B31="","",IF(OR(M31=0,N31&gt;0,O31&gt;0),"",SUMIFS('PEGAR'!$M$13:$M$512,'PEGAR'!$O$13:$O$512,B31)))</f>
      </c>
      <c r="H31" s="39">
        <f>IF(AND(ISNUMBER(F31),ISNUMBER(G31)),G31-F31,"")</f>
      </c>
      <c r="I31" s="27">
        <f>IF(B31="","",IF(W31=2,"ROJO",IF(W31=1,"ÁMBAR","VERDE")))</f>
      </c>
      <c r="J31" s="30">
        <f>IF(B31="","",IF(W31=0,"Sin avisos numéricos. Revisamos el alcance aparte.",IF(L31=0,"Faltan datos completos de partida; no elegimos un total por suposición."&amp;CHAR(10),"")&amp;IF(N31&gt;0,"Hay filas incompletas o contradictorias; las revisamos en PEGAR."&amp;CHAR(10),"")&amp;IF(O31&gt;0,"Faltan las medidas de alguna fila; no cerramos la suma."&amp;CHAR(10),"")&amp;IF(M31=0,"No constan líneas de medición."&amp;CHAR(10),"")&amp;IF(IF(ISNUMBER(H31),ROUND(ABS(H31),8)&gt;$F$6,FALSE),"Las líneas difieren del total en más de 0,01; confirmamos cantidad o exclusión."&amp;CHAR(10),"")&amp;IF(P31&gt;0,"Parece m³: encontramos tres dimensiones bajo m²."&amp;CHAR(10),"")&amp;IF(R31&gt;0,"Código repetido dentro del capítulo; mantenemos sus ID separados."&amp;CHAR(10),"")&amp;IF(S31&gt;0,"Código repetido en otro capítulo; no unimos las partidas."&amp;CHAR(10),"")&amp;IF(T31&gt;0,"Mismo código con unidades distintas; pedimos aclaración."&amp;CHAR(10),"")&amp;IF(Q31&gt;0,"Hay más precisión que los decimales indicados; cotejamos el formato original."&amp;CHAR(10),"")&amp;IF(U31&gt;0,"Unidad sin normalizar; cotejamos su significado antes de sumar unidades."&amp;CHAR(10),"")&amp;IF(V31&gt;0,"Revisamos dimensiones, cantidades directas, ceros o deducciones en PEGAR."&amp;CHAR(10),"")))</f>
      </c>
      <c r="K31" s="0">
        <f>IF(19&gt;'RESUMEN'!$E$6,"",MATCH(19,'PEGAR'!$W$13:$W$512,0))</f>
      </c>
      <c r="L31" s="0">
        <f>IF(K31="","",INDEX('PEGAR'!$R$13:$R$512,K31))</f>
      </c>
      <c r="M31" s="0">
        <f>IF(B31="","",COUNTIFS('PEGAR'!$O$13:$O$512,B31,'PEGAR'!$P$13:$P$512,"DIMENSIONES")+COUNTIFS('PEGAR'!$O$13:$O$512,B31,'PEGAR'!$P$13:$P$512,"DIRECTA"))</f>
      </c>
      <c r="N31" s="0">
        <f>IF(B31="","",COUNTIFS('PEGAR'!$O$13:$O$512,B31,'PEGAR'!$X$13:$X$512,2))</f>
      </c>
      <c r="O31" s="0">
        <f>IF(B31="","",COUNTIFS('PEGAR'!$O$13:$O$512,B31,'PEGAR'!$P$13:$P$512,"SIN LÍNEAS"))</f>
      </c>
      <c r="P31" s="0">
        <f>IF(B31="","",SUMIFS('PEGAR'!$Y$13:$Y$512,'PEGAR'!$O$13:$O$512,B31))</f>
      </c>
      <c r="Q31" s="0">
        <f>IF(B31="","",SUMIFS('PEGAR'!$Z$13:$Z$512,'PEGAR'!$O$13:$O$512,B31))</f>
      </c>
      <c r="R31" s="0" t="n">
        <f>IF(OR(B31="",D31=""),0,SUMPRODUCT(--($B$13:$B$512&lt;&gt;""),--($D$13:$D$512=D31),--($C$13:$C$512=C31))-1)</f>
        <v>0</v>
      </c>
      <c r="S31" s="0" t="n">
        <f>IF(OR(B31="",D31=""),0,SUMPRODUCT(--($B$13:$B$512&lt;&gt;""),--($D$13:$D$512=D31),--($C$13:$C$512&lt;&gt;C31)))</f>
        <v>0</v>
      </c>
      <c r="T31" s="0" t="n">
        <f>IF(OR(B31="",D31=""),0,SUMPRODUCT(--($B$13:$B$512&lt;&gt;""),--($D$13:$D$512=D31),--($E$13:$E$512&lt;&gt;E31)))</f>
        <v>0</v>
      </c>
      <c r="U31" s="0" t="n">
        <f>IF(B31="",0,IF(SUMPRODUCT(--('LÉEME'!$C$65:$C$86=E31))=0,1,0))</f>
        <v>0</v>
      </c>
      <c r="V31" s="0">
        <f>IF(B31="","",SUMIFS('PEGAR'!$AA$13:$AA$512,'PEGAR'!$O$13:$O$512,B31))</f>
      </c>
      <c r="W31" s="0">
        <f>IF(B31="","",IF(OR(L31=0,N31&gt;0,T31&gt;0,IF(ISNUMBER(H31),ROUND(ABS(H31),8)&gt;$F$6,FALSE)),2,IF(OR(M31=0,O31&gt;0,P31&gt;0,Q31&gt;0,R31&gt;0,S31&gt;0,U31&gt;0,V31&gt;0),1,0)))</f>
      </c>
      <c r="X31" s="0">
        <f>IF(B31="","",IF(ISNUMBER(G31),1,0))</f>
      </c>
      <c r="AB31" s="0">
        <f>IF(AND(ISNUMBER(W31),W31&gt;0),"ID "&amp;B31,"")</f>
      </c>
      <c r="AC31" s="0">
        <f>IF(AND(ISNUMBER(W31),W31&gt;0),C31,"")</f>
      </c>
      <c r="AD31" s="0">
        <f>IF(AND(ISNUMBER(W31),W31&gt;0),D31,"")</f>
      </c>
      <c r="AE31" s="0">
        <f>IF(AND(ISNUMBER(W31),W31&gt;0),IF(INDEX('PEGAR'!$D$13:$D$512,IF(L31&gt;0,L31,K31))="","Sin descripción",INDEX('PEGAR'!$D$13:$D$512,IF(L31&gt;0,L31,K31))),"")</f>
      </c>
      <c r="AF31" s="0">
        <f>IF(AND(ISNUMBER(W31),W31&gt;0),J31,"")</f>
      </c>
      <c r="AG31" s="0" t="n">
        <f>IF(AND(ISNUMBER(W31),W31&gt;0),W31,0)</f>
        <v>0</v>
      </c>
      <c r="AH31" s="0">
        <f>IF(AG31&gt;0,COUNTIFS($AG$13:AG31,"&gt;0"),"")</f>
      </c>
    </row>
    <row r="32" ht="22" customHeight="1">
      <c r="B32" s="27">
        <f>IF(K32="","",INDEX('PEGAR'!$O$13:$O$512,K32))</f>
      </c>
      <c r="C32" s="30">
        <f>IF(B32="","",IF(LEN(TRIM(INDEX('PEGAR'!$B$13:$B$512,IF(L32&gt;0,L32,K32))&amp;""))=0,"Sin capítulo",TRIM(INDEX('PEGAR'!$B$13:$B$512,IF(L32&gt;0,L32,K32))&amp;"")))</f>
      </c>
      <c r="D32" s="27">
        <f>IF(B32="","",IF(LEN(TRIM(INDEX('PEGAR'!$C$13:$C$512,IF(L32&gt;0,L32,K32))&amp;""))=0,"",TRIM(INDEX('PEGAR'!$C$13:$C$512,IF(L32&gt;0,L32,K32))&amp;"")))</f>
      </c>
      <c r="E32" s="27">
        <f>IF(B32="","",INDEX('PEGAR'!$S$13:$S$512,IF(L32&gt;0,L32,K32)))</f>
      </c>
      <c r="F32" s="39">
        <f>IF(B32="","",IF(L32&gt;0,INDEX('PEGAR'!$F$13:$F$512,L32),""))</f>
      </c>
      <c r="G32" s="39">
        <f>IF(B32="","",IF(OR(M32=0,N32&gt;0,O32&gt;0),"",SUMIFS('PEGAR'!$M$13:$M$512,'PEGAR'!$O$13:$O$512,B32)))</f>
      </c>
      <c r="H32" s="39">
        <f>IF(AND(ISNUMBER(F32),ISNUMBER(G32)),G32-F32,"")</f>
      </c>
      <c r="I32" s="27">
        <f>IF(B32="","",IF(W32=2,"ROJO",IF(W32=1,"ÁMBAR","VERDE")))</f>
      </c>
      <c r="J32" s="30">
        <f>IF(B32="","",IF(W32=0,"Sin avisos numéricos. Revisamos el alcance aparte.",IF(L32=0,"Faltan datos completos de partida; no elegimos un total por suposición."&amp;CHAR(10),"")&amp;IF(N32&gt;0,"Hay filas incompletas o contradictorias; las revisamos en PEGAR."&amp;CHAR(10),"")&amp;IF(O32&gt;0,"Faltan las medidas de alguna fila; no cerramos la suma."&amp;CHAR(10),"")&amp;IF(M32=0,"No constan líneas de medición."&amp;CHAR(10),"")&amp;IF(IF(ISNUMBER(H32),ROUND(ABS(H32),8)&gt;$F$6,FALSE),"Las líneas difieren del total en más de 0,01; confirmamos cantidad o exclusión."&amp;CHAR(10),"")&amp;IF(P32&gt;0,"Parece m³: encontramos tres dimensiones bajo m²."&amp;CHAR(10),"")&amp;IF(R32&gt;0,"Código repetido dentro del capítulo; mantenemos sus ID separados."&amp;CHAR(10),"")&amp;IF(S32&gt;0,"Código repetido en otro capítulo; no unimos las partidas."&amp;CHAR(10),"")&amp;IF(T32&gt;0,"Mismo código con unidades distintas; pedimos aclaración."&amp;CHAR(10),"")&amp;IF(Q32&gt;0,"Hay más precisión que los decimales indicados; cotejamos el formato original."&amp;CHAR(10),"")&amp;IF(U32&gt;0,"Unidad sin normalizar; cotejamos su significado antes de sumar unidades."&amp;CHAR(10),"")&amp;IF(V32&gt;0,"Revisamos dimensiones, cantidades directas, ceros o deducciones en PEGAR."&amp;CHAR(10),"")))</f>
      </c>
      <c r="K32" s="0">
        <f>IF(20&gt;'RESUMEN'!$E$6,"",MATCH(20,'PEGAR'!$W$13:$W$512,0))</f>
      </c>
      <c r="L32" s="0">
        <f>IF(K32="","",INDEX('PEGAR'!$R$13:$R$512,K32))</f>
      </c>
      <c r="M32" s="0">
        <f>IF(B32="","",COUNTIFS('PEGAR'!$O$13:$O$512,B32,'PEGAR'!$P$13:$P$512,"DIMENSIONES")+COUNTIFS('PEGAR'!$O$13:$O$512,B32,'PEGAR'!$P$13:$P$512,"DIRECTA"))</f>
      </c>
      <c r="N32" s="0">
        <f>IF(B32="","",COUNTIFS('PEGAR'!$O$13:$O$512,B32,'PEGAR'!$X$13:$X$512,2))</f>
      </c>
      <c r="O32" s="0">
        <f>IF(B32="","",COUNTIFS('PEGAR'!$O$13:$O$512,B32,'PEGAR'!$P$13:$P$512,"SIN LÍNEAS"))</f>
      </c>
      <c r="P32" s="0">
        <f>IF(B32="","",SUMIFS('PEGAR'!$Y$13:$Y$512,'PEGAR'!$O$13:$O$512,B32))</f>
      </c>
      <c r="Q32" s="0">
        <f>IF(B32="","",SUMIFS('PEGAR'!$Z$13:$Z$512,'PEGAR'!$O$13:$O$512,B32))</f>
      </c>
      <c r="R32" s="0" t="n">
        <f>IF(OR(B32="",D32=""),0,SUMPRODUCT(--($B$13:$B$512&lt;&gt;""),--($D$13:$D$512=D32),--($C$13:$C$512=C32))-1)</f>
        <v>0</v>
      </c>
      <c r="S32" s="0" t="n">
        <f>IF(OR(B32="",D32=""),0,SUMPRODUCT(--($B$13:$B$512&lt;&gt;""),--($D$13:$D$512=D32),--($C$13:$C$512&lt;&gt;C32)))</f>
        <v>0</v>
      </c>
      <c r="T32" s="0" t="n">
        <f>IF(OR(B32="",D32=""),0,SUMPRODUCT(--($B$13:$B$512&lt;&gt;""),--($D$13:$D$512=D32),--($E$13:$E$512&lt;&gt;E32)))</f>
        <v>0</v>
      </c>
      <c r="U32" s="0" t="n">
        <f>IF(B32="",0,IF(SUMPRODUCT(--('LÉEME'!$C$65:$C$86=E32))=0,1,0))</f>
        <v>0</v>
      </c>
      <c r="V32" s="0">
        <f>IF(B32="","",SUMIFS('PEGAR'!$AA$13:$AA$512,'PEGAR'!$O$13:$O$512,B32))</f>
      </c>
      <c r="W32" s="0">
        <f>IF(B32="","",IF(OR(L32=0,N32&gt;0,T32&gt;0,IF(ISNUMBER(H32),ROUND(ABS(H32),8)&gt;$F$6,FALSE)),2,IF(OR(M32=0,O32&gt;0,P32&gt;0,Q32&gt;0,R32&gt;0,S32&gt;0,U32&gt;0,V32&gt;0),1,0)))</f>
      </c>
      <c r="X32" s="0">
        <f>IF(B32="","",IF(ISNUMBER(G32),1,0))</f>
      </c>
      <c r="AB32" s="0">
        <f>IF(AND(ISNUMBER(W32),W32&gt;0),"ID "&amp;B32,"")</f>
      </c>
      <c r="AC32" s="0">
        <f>IF(AND(ISNUMBER(W32),W32&gt;0),C32,"")</f>
      </c>
      <c r="AD32" s="0">
        <f>IF(AND(ISNUMBER(W32),W32&gt;0),D32,"")</f>
      </c>
      <c r="AE32" s="0">
        <f>IF(AND(ISNUMBER(W32),W32&gt;0),IF(INDEX('PEGAR'!$D$13:$D$512,IF(L32&gt;0,L32,K32))="","Sin descripción",INDEX('PEGAR'!$D$13:$D$512,IF(L32&gt;0,L32,K32))),"")</f>
      </c>
      <c r="AF32" s="0">
        <f>IF(AND(ISNUMBER(W32),W32&gt;0),J32,"")</f>
      </c>
      <c r="AG32" s="0" t="n">
        <f>IF(AND(ISNUMBER(W32),W32&gt;0),W32,0)</f>
        <v>0</v>
      </c>
      <c r="AH32" s="0">
        <f>IF(AG32&gt;0,COUNTIFS($AG$13:AG32,"&gt;0"),"")</f>
      </c>
    </row>
    <row r="33" ht="22" customHeight="1">
      <c r="B33" s="27">
        <f>IF(K33="","",INDEX('PEGAR'!$O$13:$O$512,K33))</f>
      </c>
      <c r="C33" s="30">
        <f>IF(B33="","",IF(LEN(TRIM(INDEX('PEGAR'!$B$13:$B$512,IF(L33&gt;0,L33,K33))&amp;""))=0,"Sin capítulo",TRIM(INDEX('PEGAR'!$B$13:$B$512,IF(L33&gt;0,L33,K33))&amp;"")))</f>
      </c>
      <c r="D33" s="27">
        <f>IF(B33="","",IF(LEN(TRIM(INDEX('PEGAR'!$C$13:$C$512,IF(L33&gt;0,L33,K33))&amp;""))=0,"",TRIM(INDEX('PEGAR'!$C$13:$C$512,IF(L33&gt;0,L33,K33))&amp;"")))</f>
      </c>
      <c r="E33" s="27">
        <f>IF(B33="","",INDEX('PEGAR'!$S$13:$S$512,IF(L33&gt;0,L33,K33)))</f>
      </c>
      <c r="F33" s="39">
        <f>IF(B33="","",IF(L33&gt;0,INDEX('PEGAR'!$F$13:$F$512,L33),""))</f>
      </c>
      <c r="G33" s="39">
        <f>IF(B33="","",IF(OR(M33=0,N33&gt;0,O33&gt;0),"",SUMIFS('PEGAR'!$M$13:$M$512,'PEGAR'!$O$13:$O$512,B33)))</f>
      </c>
      <c r="H33" s="39">
        <f>IF(AND(ISNUMBER(F33),ISNUMBER(G33)),G33-F33,"")</f>
      </c>
      <c r="I33" s="27">
        <f>IF(B33="","",IF(W33=2,"ROJO",IF(W33=1,"ÁMBAR","VERDE")))</f>
      </c>
      <c r="J33" s="30">
        <f>IF(B33="","",IF(W33=0,"Sin avisos numéricos. Revisamos el alcance aparte.",IF(L33=0,"Faltan datos completos de partida; no elegimos un total por suposición."&amp;CHAR(10),"")&amp;IF(N33&gt;0,"Hay filas incompletas o contradictorias; las revisamos en PEGAR."&amp;CHAR(10),"")&amp;IF(O33&gt;0,"Faltan las medidas de alguna fila; no cerramos la suma."&amp;CHAR(10),"")&amp;IF(M33=0,"No constan líneas de medición."&amp;CHAR(10),"")&amp;IF(IF(ISNUMBER(H33),ROUND(ABS(H33),8)&gt;$F$6,FALSE),"Las líneas difieren del total en más de 0,01; confirmamos cantidad o exclusión."&amp;CHAR(10),"")&amp;IF(P33&gt;0,"Parece m³: encontramos tres dimensiones bajo m²."&amp;CHAR(10),"")&amp;IF(R33&gt;0,"Código repetido dentro del capítulo; mantenemos sus ID separados."&amp;CHAR(10),"")&amp;IF(S33&gt;0,"Código repetido en otro capítulo; no unimos las partidas."&amp;CHAR(10),"")&amp;IF(T33&gt;0,"Mismo código con unidades distintas; pedimos aclaración."&amp;CHAR(10),"")&amp;IF(Q33&gt;0,"Hay más precisión que los decimales indicados; cotejamos el formato original."&amp;CHAR(10),"")&amp;IF(U33&gt;0,"Unidad sin normalizar; cotejamos su significado antes de sumar unidades."&amp;CHAR(10),"")&amp;IF(V33&gt;0,"Revisamos dimensiones, cantidades directas, ceros o deducciones en PEGAR."&amp;CHAR(10),"")))</f>
      </c>
      <c r="K33" s="0">
        <f>IF(21&gt;'RESUMEN'!$E$6,"",MATCH(21,'PEGAR'!$W$13:$W$512,0))</f>
      </c>
      <c r="L33" s="0">
        <f>IF(K33="","",INDEX('PEGAR'!$R$13:$R$512,K33))</f>
      </c>
      <c r="M33" s="0">
        <f>IF(B33="","",COUNTIFS('PEGAR'!$O$13:$O$512,B33,'PEGAR'!$P$13:$P$512,"DIMENSIONES")+COUNTIFS('PEGAR'!$O$13:$O$512,B33,'PEGAR'!$P$13:$P$512,"DIRECTA"))</f>
      </c>
      <c r="N33" s="0">
        <f>IF(B33="","",COUNTIFS('PEGAR'!$O$13:$O$512,B33,'PEGAR'!$X$13:$X$512,2))</f>
      </c>
      <c r="O33" s="0">
        <f>IF(B33="","",COUNTIFS('PEGAR'!$O$13:$O$512,B33,'PEGAR'!$P$13:$P$512,"SIN LÍNEAS"))</f>
      </c>
      <c r="P33" s="0">
        <f>IF(B33="","",SUMIFS('PEGAR'!$Y$13:$Y$512,'PEGAR'!$O$13:$O$512,B33))</f>
      </c>
      <c r="Q33" s="0">
        <f>IF(B33="","",SUMIFS('PEGAR'!$Z$13:$Z$512,'PEGAR'!$O$13:$O$512,B33))</f>
      </c>
      <c r="R33" s="0" t="n">
        <f>IF(OR(B33="",D33=""),0,SUMPRODUCT(--($B$13:$B$512&lt;&gt;""),--($D$13:$D$512=D33),--($C$13:$C$512=C33))-1)</f>
        <v>0</v>
      </c>
      <c r="S33" s="0" t="n">
        <f>IF(OR(B33="",D33=""),0,SUMPRODUCT(--($B$13:$B$512&lt;&gt;""),--($D$13:$D$512=D33),--($C$13:$C$512&lt;&gt;C33)))</f>
        <v>0</v>
      </c>
      <c r="T33" s="0" t="n">
        <f>IF(OR(B33="",D33=""),0,SUMPRODUCT(--($B$13:$B$512&lt;&gt;""),--($D$13:$D$512=D33),--($E$13:$E$512&lt;&gt;E33)))</f>
        <v>0</v>
      </c>
      <c r="U33" s="0" t="n">
        <f>IF(B33="",0,IF(SUMPRODUCT(--('LÉEME'!$C$65:$C$86=E33))=0,1,0))</f>
        <v>0</v>
      </c>
      <c r="V33" s="0">
        <f>IF(B33="","",SUMIFS('PEGAR'!$AA$13:$AA$512,'PEGAR'!$O$13:$O$512,B33))</f>
      </c>
      <c r="W33" s="0">
        <f>IF(B33="","",IF(OR(L33=0,N33&gt;0,T33&gt;0,IF(ISNUMBER(H33),ROUND(ABS(H33),8)&gt;$F$6,FALSE)),2,IF(OR(M33=0,O33&gt;0,P33&gt;0,Q33&gt;0,R33&gt;0,S33&gt;0,U33&gt;0,V33&gt;0),1,0)))</f>
      </c>
      <c r="X33" s="0">
        <f>IF(B33="","",IF(ISNUMBER(G33),1,0))</f>
      </c>
      <c r="AB33" s="0">
        <f>IF(AND(ISNUMBER(W33),W33&gt;0),"ID "&amp;B33,"")</f>
      </c>
      <c r="AC33" s="0">
        <f>IF(AND(ISNUMBER(W33),W33&gt;0),C33,"")</f>
      </c>
      <c r="AD33" s="0">
        <f>IF(AND(ISNUMBER(W33),W33&gt;0),D33,"")</f>
      </c>
      <c r="AE33" s="0">
        <f>IF(AND(ISNUMBER(W33),W33&gt;0),IF(INDEX('PEGAR'!$D$13:$D$512,IF(L33&gt;0,L33,K33))="","Sin descripción",INDEX('PEGAR'!$D$13:$D$512,IF(L33&gt;0,L33,K33))),"")</f>
      </c>
      <c r="AF33" s="0">
        <f>IF(AND(ISNUMBER(W33),W33&gt;0),J33,"")</f>
      </c>
      <c r="AG33" s="0" t="n">
        <f>IF(AND(ISNUMBER(W33),W33&gt;0),W33,0)</f>
        <v>0</v>
      </c>
      <c r="AH33" s="0">
        <f>IF(AG33&gt;0,COUNTIFS($AG$13:AG33,"&gt;0"),"")</f>
      </c>
    </row>
    <row r="34" ht="22" customHeight="1">
      <c r="B34" s="27">
        <f>IF(K34="","",INDEX('PEGAR'!$O$13:$O$512,K34))</f>
      </c>
      <c r="C34" s="30">
        <f>IF(B34="","",IF(LEN(TRIM(INDEX('PEGAR'!$B$13:$B$512,IF(L34&gt;0,L34,K34))&amp;""))=0,"Sin capítulo",TRIM(INDEX('PEGAR'!$B$13:$B$512,IF(L34&gt;0,L34,K34))&amp;"")))</f>
      </c>
      <c r="D34" s="27">
        <f>IF(B34="","",IF(LEN(TRIM(INDEX('PEGAR'!$C$13:$C$512,IF(L34&gt;0,L34,K34))&amp;""))=0,"",TRIM(INDEX('PEGAR'!$C$13:$C$512,IF(L34&gt;0,L34,K34))&amp;"")))</f>
      </c>
      <c r="E34" s="27">
        <f>IF(B34="","",INDEX('PEGAR'!$S$13:$S$512,IF(L34&gt;0,L34,K34)))</f>
      </c>
      <c r="F34" s="39">
        <f>IF(B34="","",IF(L34&gt;0,INDEX('PEGAR'!$F$13:$F$512,L34),""))</f>
      </c>
      <c r="G34" s="39">
        <f>IF(B34="","",IF(OR(M34=0,N34&gt;0,O34&gt;0),"",SUMIFS('PEGAR'!$M$13:$M$512,'PEGAR'!$O$13:$O$512,B34)))</f>
      </c>
      <c r="H34" s="39">
        <f>IF(AND(ISNUMBER(F34),ISNUMBER(G34)),G34-F34,"")</f>
      </c>
      <c r="I34" s="27">
        <f>IF(B34="","",IF(W34=2,"ROJO",IF(W34=1,"ÁMBAR","VERDE")))</f>
      </c>
      <c r="J34" s="30">
        <f>IF(B34="","",IF(W34=0,"Sin avisos numéricos. Revisamos el alcance aparte.",IF(L34=0,"Faltan datos completos de partida; no elegimos un total por suposición."&amp;CHAR(10),"")&amp;IF(N34&gt;0,"Hay filas incompletas o contradictorias; las revisamos en PEGAR."&amp;CHAR(10),"")&amp;IF(O34&gt;0,"Faltan las medidas de alguna fila; no cerramos la suma."&amp;CHAR(10),"")&amp;IF(M34=0,"No constan líneas de medición."&amp;CHAR(10),"")&amp;IF(IF(ISNUMBER(H34),ROUND(ABS(H34),8)&gt;$F$6,FALSE),"Las líneas difieren del total en más de 0,01; confirmamos cantidad o exclusión."&amp;CHAR(10),"")&amp;IF(P34&gt;0,"Parece m³: encontramos tres dimensiones bajo m²."&amp;CHAR(10),"")&amp;IF(R34&gt;0,"Código repetido dentro del capítulo; mantenemos sus ID separados."&amp;CHAR(10),"")&amp;IF(S34&gt;0,"Código repetido en otro capítulo; no unimos las partidas."&amp;CHAR(10),"")&amp;IF(T34&gt;0,"Mismo código con unidades distintas; pedimos aclaración."&amp;CHAR(10),"")&amp;IF(Q34&gt;0,"Hay más precisión que los decimales indicados; cotejamos el formato original."&amp;CHAR(10),"")&amp;IF(U34&gt;0,"Unidad sin normalizar; cotejamos su significado antes de sumar unidades."&amp;CHAR(10),"")&amp;IF(V34&gt;0,"Revisamos dimensiones, cantidades directas, ceros o deducciones en PEGAR."&amp;CHAR(10),"")))</f>
      </c>
      <c r="K34" s="0">
        <f>IF(22&gt;'RESUMEN'!$E$6,"",MATCH(22,'PEGAR'!$W$13:$W$512,0))</f>
      </c>
      <c r="L34" s="0">
        <f>IF(K34="","",INDEX('PEGAR'!$R$13:$R$512,K34))</f>
      </c>
      <c r="M34" s="0">
        <f>IF(B34="","",COUNTIFS('PEGAR'!$O$13:$O$512,B34,'PEGAR'!$P$13:$P$512,"DIMENSIONES")+COUNTIFS('PEGAR'!$O$13:$O$512,B34,'PEGAR'!$P$13:$P$512,"DIRECTA"))</f>
      </c>
      <c r="N34" s="0">
        <f>IF(B34="","",COUNTIFS('PEGAR'!$O$13:$O$512,B34,'PEGAR'!$X$13:$X$512,2))</f>
      </c>
      <c r="O34" s="0">
        <f>IF(B34="","",COUNTIFS('PEGAR'!$O$13:$O$512,B34,'PEGAR'!$P$13:$P$512,"SIN LÍNEAS"))</f>
      </c>
      <c r="P34" s="0">
        <f>IF(B34="","",SUMIFS('PEGAR'!$Y$13:$Y$512,'PEGAR'!$O$13:$O$512,B34))</f>
      </c>
      <c r="Q34" s="0">
        <f>IF(B34="","",SUMIFS('PEGAR'!$Z$13:$Z$512,'PEGAR'!$O$13:$O$512,B34))</f>
      </c>
      <c r="R34" s="0" t="n">
        <f>IF(OR(B34="",D34=""),0,SUMPRODUCT(--($B$13:$B$512&lt;&gt;""),--($D$13:$D$512=D34),--($C$13:$C$512=C34))-1)</f>
        <v>0</v>
      </c>
      <c r="S34" s="0" t="n">
        <f>IF(OR(B34="",D34=""),0,SUMPRODUCT(--($B$13:$B$512&lt;&gt;""),--($D$13:$D$512=D34),--($C$13:$C$512&lt;&gt;C34)))</f>
        <v>0</v>
      </c>
      <c r="T34" s="0" t="n">
        <f>IF(OR(B34="",D34=""),0,SUMPRODUCT(--($B$13:$B$512&lt;&gt;""),--($D$13:$D$512=D34),--($E$13:$E$512&lt;&gt;E34)))</f>
        <v>0</v>
      </c>
      <c r="U34" s="0" t="n">
        <f>IF(B34="",0,IF(SUMPRODUCT(--('LÉEME'!$C$65:$C$86=E34))=0,1,0))</f>
        <v>0</v>
      </c>
      <c r="V34" s="0">
        <f>IF(B34="","",SUMIFS('PEGAR'!$AA$13:$AA$512,'PEGAR'!$O$13:$O$512,B34))</f>
      </c>
      <c r="W34" s="0">
        <f>IF(B34="","",IF(OR(L34=0,N34&gt;0,T34&gt;0,IF(ISNUMBER(H34),ROUND(ABS(H34),8)&gt;$F$6,FALSE)),2,IF(OR(M34=0,O34&gt;0,P34&gt;0,Q34&gt;0,R34&gt;0,S34&gt;0,U34&gt;0,V34&gt;0),1,0)))</f>
      </c>
      <c r="X34" s="0">
        <f>IF(B34="","",IF(ISNUMBER(G34),1,0))</f>
      </c>
      <c r="AB34" s="0">
        <f>IF(AND(ISNUMBER(W34),W34&gt;0),"ID "&amp;B34,"")</f>
      </c>
      <c r="AC34" s="0">
        <f>IF(AND(ISNUMBER(W34),W34&gt;0),C34,"")</f>
      </c>
      <c r="AD34" s="0">
        <f>IF(AND(ISNUMBER(W34),W34&gt;0),D34,"")</f>
      </c>
      <c r="AE34" s="0">
        <f>IF(AND(ISNUMBER(W34),W34&gt;0),IF(INDEX('PEGAR'!$D$13:$D$512,IF(L34&gt;0,L34,K34))="","Sin descripción",INDEX('PEGAR'!$D$13:$D$512,IF(L34&gt;0,L34,K34))),"")</f>
      </c>
      <c r="AF34" s="0">
        <f>IF(AND(ISNUMBER(W34),W34&gt;0),J34,"")</f>
      </c>
      <c r="AG34" s="0" t="n">
        <f>IF(AND(ISNUMBER(W34),W34&gt;0),W34,0)</f>
        <v>0</v>
      </c>
      <c r="AH34" s="0">
        <f>IF(AG34&gt;0,COUNTIFS($AG$13:AG34,"&gt;0"),"")</f>
      </c>
    </row>
    <row r="35" ht="22" customHeight="1">
      <c r="B35" s="27">
        <f>IF(K35="","",INDEX('PEGAR'!$O$13:$O$512,K35))</f>
      </c>
      <c r="C35" s="30">
        <f>IF(B35="","",IF(LEN(TRIM(INDEX('PEGAR'!$B$13:$B$512,IF(L35&gt;0,L35,K35))&amp;""))=0,"Sin capítulo",TRIM(INDEX('PEGAR'!$B$13:$B$512,IF(L35&gt;0,L35,K35))&amp;"")))</f>
      </c>
      <c r="D35" s="27">
        <f>IF(B35="","",IF(LEN(TRIM(INDEX('PEGAR'!$C$13:$C$512,IF(L35&gt;0,L35,K35))&amp;""))=0,"",TRIM(INDEX('PEGAR'!$C$13:$C$512,IF(L35&gt;0,L35,K35))&amp;"")))</f>
      </c>
      <c r="E35" s="27">
        <f>IF(B35="","",INDEX('PEGAR'!$S$13:$S$512,IF(L35&gt;0,L35,K35)))</f>
      </c>
      <c r="F35" s="39">
        <f>IF(B35="","",IF(L35&gt;0,INDEX('PEGAR'!$F$13:$F$512,L35),""))</f>
      </c>
      <c r="G35" s="39">
        <f>IF(B35="","",IF(OR(M35=0,N35&gt;0,O35&gt;0),"",SUMIFS('PEGAR'!$M$13:$M$512,'PEGAR'!$O$13:$O$512,B35)))</f>
      </c>
      <c r="H35" s="39">
        <f>IF(AND(ISNUMBER(F35),ISNUMBER(G35)),G35-F35,"")</f>
      </c>
      <c r="I35" s="27">
        <f>IF(B35="","",IF(W35=2,"ROJO",IF(W35=1,"ÁMBAR","VERDE")))</f>
      </c>
      <c r="J35" s="30">
        <f>IF(B35="","",IF(W35=0,"Sin avisos numéricos. Revisamos el alcance aparte.",IF(L35=0,"Faltan datos completos de partida; no elegimos un total por suposición."&amp;CHAR(10),"")&amp;IF(N35&gt;0,"Hay filas incompletas o contradictorias; las revisamos en PEGAR."&amp;CHAR(10),"")&amp;IF(O35&gt;0,"Faltan las medidas de alguna fila; no cerramos la suma."&amp;CHAR(10),"")&amp;IF(M35=0,"No constan líneas de medición."&amp;CHAR(10),"")&amp;IF(IF(ISNUMBER(H35),ROUND(ABS(H35),8)&gt;$F$6,FALSE),"Las líneas difieren del total en más de 0,01; confirmamos cantidad o exclusión."&amp;CHAR(10),"")&amp;IF(P35&gt;0,"Parece m³: encontramos tres dimensiones bajo m²."&amp;CHAR(10),"")&amp;IF(R35&gt;0,"Código repetido dentro del capítulo; mantenemos sus ID separados."&amp;CHAR(10),"")&amp;IF(S35&gt;0,"Código repetido en otro capítulo; no unimos las partidas."&amp;CHAR(10),"")&amp;IF(T35&gt;0,"Mismo código con unidades distintas; pedimos aclaración."&amp;CHAR(10),"")&amp;IF(Q35&gt;0,"Hay más precisión que los decimales indicados; cotejamos el formato original."&amp;CHAR(10),"")&amp;IF(U35&gt;0,"Unidad sin normalizar; cotejamos su significado antes de sumar unidades."&amp;CHAR(10),"")&amp;IF(V35&gt;0,"Revisamos dimensiones, cantidades directas, ceros o deducciones en PEGAR."&amp;CHAR(10),"")))</f>
      </c>
      <c r="K35" s="0">
        <f>IF(23&gt;'RESUMEN'!$E$6,"",MATCH(23,'PEGAR'!$W$13:$W$512,0))</f>
      </c>
      <c r="L35" s="0">
        <f>IF(K35="","",INDEX('PEGAR'!$R$13:$R$512,K35))</f>
      </c>
      <c r="M35" s="0">
        <f>IF(B35="","",COUNTIFS('PEGAR'!$O$13:$O$512,B35,'PEGAR'!$P$13:$P$512,"DIMENSIONES")+COUNTIFS('PEGAR'!$O$13:$O$512,B35,'PEGAR'!$P$13:$P$512,"DIRECTA"))</f>
      </c>
      <c r="N35" s="0">
        <f>IF(B35="","",COUNTIFS('PEGAR'!$O$13:$O$512,B35,'PEGAR'!$X$13:$X$512,2))</f>
      </c>
      <c r="O35" s="0">
        <f>IF(B35="","",COUNTIFS('PEGAR'!$O$13:$O$512,B35,'PEGAR'!$P$13:$P$512,"SIN LÍNEAS"))</f>
      </c>
      <c r="P35" s="0">
        <f>IF(B35="","",SUMIFS('PEGAR'!$Y$13:$Y$512,'PEGAR'!$O$13:$O$512,B35))</f>
      </c>
      <c r="Q35" s="0">
        <f>IF(B35="","",SUMIFS('PEGAR'!$Z$13:$Z$512,'PEGAR'!$O$13:$O$512,B35))</f>
      </c>
      <c r="R35" s="0" t="n">
        <f>IF(OR(B35="",D35=""),0,SUMPRODUCT(--($B$13:$B$512&lt;&gt;""),--($D$13:$D$512=D35),--($C$13:$C$512=C35))-1)</f>
        <v>0</v>
      </c>
      <c r="S35" s="0" t="n">
        <f>IF(OR(B35="",D35=""),0,SUMPRODUCT(--($B$13:$B$512&lt;&gt;""),--($D$13:$D$512=D35),--($C$13:$C$512&lt;&gt;C35)))</f>
        <v>0</v>
      </c>
      <c r="T35" s="0" t="n">
        <f>IF(OR(B35="",D35=""),0,SUMPRODUCT(--($B$13:$B$512&lt;&gt;""),--($D$13:$D$512=D35),--($E$13:$E$512&lt;&gt;E35)))</f>
        <v>0</v>
      </c>
      <c r="U35" s="0" t="n">
        <f>IF(B35="",0,IF(SUMPRODUCT(--('LÉEME'!$C$65:$C$86=E35))=0,1,0))</f>
        <v>0</v>
      </c>
      <c r="V35" s="0">
        <f>IF(B35="","",SUMIFS('PEGAR'!$AA$13:$AA$512,'PEGAR'!$O$13:$O$512,B35))</f>
      </c>
      <c r="W35" s="0">
        <f>IF(B35="","",IF(OR(L35=0,N35&gt;0,T35&gt;0,IF(ISNUMBER(H35),ROUND(ABS(H35),8)&gt;$F$6,FALSE)),2,IF(OR(M35=0,O35&gt;0,P35&gt;0,Q35&gt;0,R35&gt;0,S35&gt;0,U35&gt;0,V35&gt;0),1,0)))</f>
      </c>
      <c r="X35" s="0">
        <f>IF(B35="","",IF(ISNUMBER(G35),1,0))</f>
      </c>
      <c r="AB35" s="0">
        <f>IF(AND(ISNUMBER(W35),W35&gt;0),"ID "&amp;B35,"")</f>
      </c>
      <c r="AC35" s="0">
        <f>IF(AND(ISNUMBER(W35),W35&gt;0),C35,"")</f>
      </c>
      <c r="AD35" s="0">
        <f>IF(AND(ISNUMBER(W35),W35&gt;0),D35,"")</f>
      </c>
      <c r="AE35" s="0">
        <f>IF(AND(ISNUMBER(W35),W35&gt;0),IF(INDEX('PEGAR'!$D$13:$D$512,IF(L35&gt;0,L35,K35))="","Sin descripción",INDEX('PEGAR'!$D$13:$D$512,IF(L35&gt;0,L35,K35))),"")</f>
      </c>
      <c r="AF35" s="0">
        <f>IF(AND(ISNUMBER(W35),W35&gt;0),J35,"")</f>
      </c>
      <c r="AG35" s="0" t="n">
        <f>IF(AND(ISNUMBER(W35),W35&gt;0),W35,0)</f>
        <v>0</v>
      </c>
      <c r="AH35" s="0">
        <f>IF(AG35&gt;0,COUNTIFS($AG$13:AG35,"&gt;0"),"")</f>
      </c>
    </row>
    <row r="36" ht="22" customHeight="1">
      <c r="B36" s="27">
        <f>IF(K36="","",INDEX('PEGAR'!$O$13:$O$512,K36))</f>
      </c>
      <c r="C36" s="30">
        <f>IF(B36="","",IF(LEN(TRIM(INDEX('PEGAR'!$B$13:$B$512,IF(L36&gt;0,L36,K36))&amp;""))=0,"Sin capítulo",TRIM(INDEX('PEGAR'!$B$13:$B$512,IF(L36&gt;0,L36,K36))&amp;"")))</f>
      </c>
      <c r="D36" s="27">
        <f>IF(B36="","",IF(LEN(TRIM(INDEX('PEGAR'!$C$13:$C$512,IF(L36&gt;0,L36,K36))&amp;""))=0,"",TRIM(INDEX('PEGAR'!$C$13:$C$512,IF(L36&gt;0,L36,K36))&amp;"")))</f>
      </c>
      <c r="E36" s="27">
        <f>IF(B36="","",INDEX('PEGAR'!$S$13:$S$512,IF(L36&gt;0,L36,K36)))</f>
      </c>
      <c r="F36" s="39">
        <f>IF(B36="","",IF(L36&gt;0,INDEX('PEGAR'!$F$13:$F$512,L36),""))</f>
      </c>
      <c r="G36" s="39">
        <f>IF(B36="","",IF(OR(M36=0,N36&gt;0,O36&gt;0),"",SUMIFS('PEGAR'!$M$13:$M$512,'PEGAR'!$O$13:$O$512,B36)))</f>
      </c>
      <c r="H36" s="39">
        <f>IF(AND(ISNUMBER(F36),ISNUMBER(G36)),G36-F36,"")</f>
      </c>
      <c r="I36" s="27">
        <f>IF(B36="","",IF(W36=2,"ROJO",IF(W36=1,"ÁMBAR","VERDE")))</f>
      </c>
      <c r="J36" s="30">
        <f>IF(B36="","",IF(W36=0,"Sin avisos numéricos. Revisamos el alcance aparte.",IF(L36=0,"Faltan datos completos de partida; no elegimos un total por suposición."&amp;CHAR(10),"")&amp;IF(N36&gt;0,"Hay filas incompletas o contradictorias; las revisamos en PEGAR."&amp;CHAR(10),"")&amp;IF(O36&gt;0,"Faltan las medidas de alguna fila; no cerramos la suma."&amp;CHAR(10),"")&amp;IF(M36=0,"No constan líneas de medición."&amp;CHAR(10),"")&amp;IF(IF(ISNUMBER(H36),ROUND(ABS(H36),8)&gt;$F$6,FALSE),"Las líneas difieren del total en más de 0,01; confirmamos cantidad o exclusión."&amp;CHAR(10),"")&amp;IF(P36&gt;0,"Parece m³: encontramos tres dimensiones bajo m²."&amp;CHAR(10),"")&amp;IF(R36&gt;0,"Código repetido dentro del capítulo; mantenemos sus ID separados."&amp;CHAR(10),"")&amp;IF(S36&gt;0,"Código repetido en otro capítulo; no unimos las partidas."&amp;CHAR(10),"")&amp;IF(T36&gt;0,"Mismo código con unidades distintas; pedimos aclaración."&amp;CHAR(10),"")&amp;IF(Q36&gt;0,"Hay más precisión que los decimales indicados; cotejamos el formato original."&amp;CHAR(10),"")&amp;IF(U36&gt;0,"Unidad sin normalizar; cotejamos su significado antes de sumar unidades."&amp;CHAR(10),"")&amp;IF(V36&gt;0,"Revisamos dimensiones, cantidades directas, ceros o deducciones en PEGAR."&amp;CHAR(10),"")))</f>
      </c>
      <c r="K36" s="0">
        <f>IF(24&gt;'RESUMEN'!$E$6,"",MATCH(24,'PEGAR'!$W$13:$W$512,0))</f>
      </c>
      <c r="L36" s="0">
        <f>IF(K36="","",INDEX('PEGAR'!$R$13:$R$512,K36))</f>
      </c>
      <c r="M36" s="0">
        <f>IF(B36="","",COUNTIFS('PEGAR'!$O$13:$O$512,B36,'PEGAR'!$P$13:$P$512,"DIMENSIONES")+COUNTIFS('PEGAR'!$O$13:$O$512,B36,'PEGAR'!$P$13:$P$512,"DIRECTA"))</f>
      </c>
      <c r="N36" s="0">
        <f>IF(B36="","",COUNTIFS('PEGAR'!$O$13:$O$512,B36,'PEGAR'!$X$13:$X$512,2))</f>
      </c>
      <c r="O36" s="0">
        <f>IF(B36="","",COUNTIFS('PEGAR'!$O$13:$O$512,B36,'PEGAR'!$P$13:$P$512,"SIN LÍNEAS"))</f>
      </c>
      <c r="P36" s="0">
        <f>IF(B36="","",SUMIFS('PEGAR'!$Y$13:$Y$512,'PEGAR'!$O$13:$O$512,B36))</f>
      </c>
      <c r="Q36" s="0">
        <f>IF(B36="","",SUMIFS('PEGAR'!$Z$13:$Z$512,'PEGAR'!$O$13:$O$512,B36))</f>
      </c>
      <c r="R36" s="0" t="n">
        <f>IF(OR(B36="",D36=""),0,SUMPRODUCT(--($B$13:$B$512&lt;&gt;""),--($D$13:$D$512=D36),--($C$13:$C$512=C36))-1)</f>
        <v>0</v>
      </c>
      <c r="S36" s="0" t="n">
        <f>IF(OR(B36="",D36=""),0,SUMPRODUCT(--($B$13:$B$512&lt;&gt;""),--($D$13:$D$512=D36),--($C$13:$C$512&lt;&gt;C36)))</f>
        <v>0</v>
      </c>
      <c r="T36" s="0" t="n">
        <f>IF(OR(B36="",D36=""),0,SUMPRODUCT(--($B$13:$B$512&lt;&gt;""),--($D$13:$D$512=D36),--($E$13:$E$512&lt;&gt;E36)))</f>
        <v>0</v>
      </c>
      <c r="U36" s="0" t="n">
        <f>IF(B36="",0,IF(SUMPRODUCT(--('LÉEME'!$C$65:$C$86=E36))=0,1,0))</f>
        <v>0</v>
      </c>
      <c r="V36" s="0">
        <f>IF(B36="","",SUMIFS('PEGAR'!$AA$13:$AA$512,'PEGAR'!$O$13:$O$512,B36))</f>
      </c>
      <c r="W36" s="0">
        <f>IF(B36="","",IF(OR(L36=0,N36&gt;0,T36&gt;0,IF(ISNUMBER(H36),ROUND(ABS(H36),8)&gt;$F$6,FALSE)),2,IF(OR(M36=0,O36&gt;0,P36&gt;0,Q36&gt;0,R36&gt;0,S36&gt;0,U36&gt;0,V36&gt;0),1,0)))</f>
      </c>
      <c r="X36" s="0">
        <f>IF(B36="","",IF(ISNUMBER(G36),1,0))</f>
      </c>
      <c r="AB36" s="0">
        <f>IF(AND(ISNUMBER(W36),W36&gt;0),"ID "&amp;B36,"")</f>
      </c>
      <c r="AC36" s="0">
        <f>IF(AND(ISNUMBER(W36),W36&gt;0),C36,"")</f>
      </c>
      <c r="AD36" s="0">
        <f>IF(AND(ISNUMBER(W36),W36&gt;0),D36,"")</f>
      </c>
      <c r="AE36" s="0">
        <f>IF(AND(ISNUMBER(W36),W36&gt;0),IF(INDEX('PEGAR'!$D$13:$D$512,IF(L36&gt;0,L36,K36))="","Sin descripción",INDEX('PEGAR'!$D$13:$D$512,IF(L36&gt;0,L36,K36))),"")</f>
      </c>
      <c r="AF36" s="0">
        <f>IF(AND(ISNUMBER(W36),W36&gt;0),J36,"")</f>
      </c>
      <c r="AG36" s="0" t="n">
        <f>IF(AND(ISNUMBER(W36),W36&gt;0),W36,0)</f>
        <v>0</v>
      </c>
      <c r="AH36" s="0">
        <f>IF(AG36&gt;0,COUNTIFS($AG$13:AG36,"&gt;0"),"")</f>
      </c>
    </row>
    <row r="37" ht="22" customHeight="1">
      <c r="B37" s="27">
        <f>IF(K37="","",INDEX('PEGAR'!$O$13:$O$512,K37))</f>
      </c>
      <c r="C37" s="30">
        <f>IF(B37="","",IF(LEN(TRIM(INDEX('PEGAR'!$B$13:$B$512,IF(L37&gt;0,L37,K37))&amp;""))=0,"Sin capítulo",TRIM(INDEX('PEGAR'!$B$13:$B$512,IF(L37&gt;0,L37,K37))&amp;"")))</f>
      </c>
      <c r="D37" s="27">
        <f>IF(B37="","",IF(LEN(TRIM(INDEX('PEGAR'!$C$13:$C$512,IF(L37&gt;0,L37,K37))&amp;""))=0,"",TRIM(INDEX('PEGAR'!$C$13:$C$512,IF(L37&gt;0,L37,K37))&amp;"")))</f>
      </c>
      <c r="E37" s="27">
        <f>IF(B37="","",INDEX('PEGAR'!$S$13:$S$512,IF(L37&gt;0,L37,K37)))</f>
      </c>
      <c r="F37" s="39">
        <f>IF(B37="","",IF(L37&gt;0,INDEX('PEGAR'!$F$13:$F$512,L37),""))</f>
      </c>
      <c r="G37" s="39">
        <f>IF(B37="","",IF(OR(M37=0,N37&gt;0,O37&gt;0),"",SUMIFS('PEGAR'!$M$13:$M$512,'PEGAR'!$O$13:$O$512,B37)))</f>
      </c>
      <c r="H37" s="39">
        <f>IF(AND(ISNUMBER(F37),ISNUMBER(G37)),G37-F37,"")</f>
      </c>
      <c r="I37" s="27">
        <f>IF(B37="","",IF(W37=2,"ROJO",IF(W37=1,"ÁMBAR","VERDE")))</f>
      </c>
      <c r="J37" s="30">
        <f>IF(B37="","",IF(W37=0,"Sin avisos numéricos. Revisamos el alcance aparte.",IF(L37=0,"Faltan datos completos de partida; no elegimos un total por suposición."&amp;CHAR(10),"")&amp;IF(N37&gt;0,"Hay filas incompletas o contradictorias; las revisamos en PEGAR."&amp;CHAR(10),"")&amp;IF(O37&gt;0,"Faltan las medidas de alguna fila; no cerramos la suma."&amp;CHAR(10),"")&amp;IF(M37=0,"No constan líneas de medición."&amp;CHAR(10),"")&amp;IF(IF(ISNUMBER(H37),ROUND(ABS(H37),8)&gt;$F$6,FALSE),"Las líneas difieren del total en más de 0,01; confirmamos cantidad o exclusión."&amp;CHAR(10),"")&amp;IF(P37&gt;0,"Parece m³: encontramos tres dimensiones bajo m²."&amp;CHAR(10),"")&amp;IF(R37&gt;0,"Código repetido dentro del capítulo; mantenemos sus ID separados."&amp;CHAR(10),"")&amp;IF(S37&gt;0,"Código repetido en otro capítulo; no unimos las partidas."&amp;CHAR(10),"")&amp;IF(T37&gt;0,"Mismo código con unidades distintas; pedimos aclaración."&amp;CHAR(10),"")&amp;IF(Q37&gt;0,"Hay más precisión que los decimales indicados; cotejamos el formato original."&amp;CHAR(10),"")&amp;IF(U37&gt;0,"Unidad sin normalizar; cotejamos su significado antes de sumar unidades."&amp;CHAR(10),"")&amp;IF(V37&gt;0,"Revisamos dimensiones, cantidades directas, ceros o deducciones en PEGAR."&amp;CHAR(10),"")))</f>
      </c>
      <c r="K37" s="0">
        <f>IF(25&gt;'RESUMEN'!$E$6,"",MATCH(25,'PEGAR'!$W$13:$W$512,0))</f>
      </c>
      <c r="L37" s="0">
        <f>IF(K37="","",INDEX('PEGAR'!$R$13:$R$512,K37))</f>
      </c>
      <c r="M37" s="0">
        <f>IF(B37="","",COUNTIFS('PEGAR'!$O$13:$O$512,B37,'PEGAR'!$P$13:$P$512,"DIMENSIONES")+COUNTIFS('PEGAR'!$O$13:$O$512,B37,'PEGAR'!$P$13:$P$512,"DIRECTA"))</f>
      </c>
      <c r="N37" s="0">
        <f>IF(B37="","",COUNTIFS('PEGAR'!$O$13:$O$512,B37,'PEGAR'!$X$13:$X$512,2))</f>
      </c>
      <c r="O37" s="0">
        <f>IF(B37="","",COUNTIFS('PEGAR'!$O$13:$O$512,B37,'PEGAR'!$P$13:$P$512,"SIN LÍNEAS"))</f>
      </c>
      <c r="P37" s="0">
        <f>IF(B37="","",SUMIFS('PEGAR'!$Y$13:$Y$512,'PEGAR'!$O$13:$O$512,B37))</f>
      </c>
      <c r="Q37" s="0">
        <f>IF(B37="","",SUMIFS('PEGAR'!$Z$13:$Z$512,'PEGAR'!$O$13:$O$512,B37))</f>
      </c>
      <c r="R37" s="0" t="n">
        <f>IF(OR(B37="",D37=""),0,SUMPRODUCT(--($B$13:$B$512&lt;&gt;""),--($D$13:$D$512=D37),--($C$13:$C$512=C37))-1)</f>
        <v>0</v>
      </c>
      <c r="S37" s="0" t="n">
        <f>IF(OR(B37="",D37=""),0,SUMPRODUCT(--($B$13:$B$512&lt;&gt;""),--($D$13:$D$512=D37),--($C$13:$C$512&lt;&gt;C37)))</f>
        <v>0</v>
      </c>
      <c r="T37" s="0" t="n">
        <f>IF(OR(B37="",D37=""),0,SUMPRODUCT(--($B$13:$B$512&lt;&gt;""),--($D$13:$D$512=D37),--($E$13:$E$512&lt;&gt;E37)))</f>
        <v>0</v>
      </c>
      <c r="U37" s="0" t="n">
        <f>IF(B37="",0,IF(SUMPRODUCT(--('LÉEME'!$C$65:$C$86=E37))=0,1,0))</f>
        <v>0</v>
      </c>
      <c r="V37" s="0">
        <f>IF(B37="","",SUMIFS('PEGAR'!$AA$13:$AA$512,'PEGAR'!$O$13:$O$512,B37))</f>
      </c>
      <c r="W37" s="0">
        <f>IF(B37="","",IF(OR(L37=0,N37&gt;0,T37&gt;0,IF(ISNUMBER(H37),ROUND(ABS(H37),8)&gt;$F$6,FALSE)),2,IF(OR(M37=0,O37&gt;0,P37&gt;0,Q37&gt;0,R37&gt;0,S37&gt;0,U37&gt;0,V37&gt;0),1,0)))</f>
      </c>
      <c r="X37" s="0">
        <f>IF(B37="","",IF(ISNUMBER(G37),1,0))</f>
      </c>
      <c r="AB37" s="0">
        <f>IF(AND(ISNUMBER(W37),W37&gt;0),"ID "&amp;B37,"")</f>
      </c>
      <c r="AC37" s="0">
        <f>IF(AND(ISNUMBER(W37),W37&gt;0),C37,"")</f>
      </c>
      <c r="AD37" s="0">
        <f>IF(AND(ISNUMBER(W37),W37&gt;0),D37,"")</f>
      </c>
      <c r="AE37" s="0">
        <f>IF(AND(ISNUMBER(W37),W37&gt;0),IF(INDEX('PEGAR'!$D$13:$D$512,IF(L37&gt;0,L37,K37))="","Sin descripción",INDEX('PEGAR'!$D$13:$D$512,IF(L37&gt;0,L37,K37))),"")</f>
      </c>
      <c r="AF37" s="0">
        <f>IF(AND(ISNUMBER(W37),W37&gt;0),J37,"")</f>
      </c>
      <c r="AG37" s="0" t="n">
        <f>IF(AND(ISNUMBER(W37),W37&gt;0),W37,0)</f>
        <v>0</v>
      </c>
      <c r="AH37" s="0">
        <f>IF(AG37&gt;0,COUNTIFS($AG$13:AG37,"&gt;0"),"")</f>
      </c>
    </row>
    <row r="38" ht="22" customHeight="1">
      <c r="B38" s="27">
        <f>IF(K38="","",INDEX('PEGAR'!$O$13:$O$512,K38))</f>
      </c>
      <c r="C38" s="30">
        <f>IF(B38="","",IF(LEN(TRIM(INDEX('PEGAR'!$B$13:$B$512,IF(L38&gt;0,L38,K38))&amp;""))=0,"Sin capítulo",TRIM(INDEX('PEGAR'!$B$13:$B$512,IF(L38&gt;0,L38,K38))&amp;"")))</f>
      </c>
      <c r="D38" s="27">
        <f>IF(B38="","",IF(LEN(TRIM(INDEX('PEGAR'!$C$13:$C$512,IF(L38&gt;0,L38,K38))&amp;""))=0,"",TRIM(INDEX('PEGAR'!$C$13:$C$512,IF(L38&gt;0,L38,K38))&amp;"")))</f>
      </c>
      <c r="E38" s="27">
        <f>IF(B38="","",INDEX('PEGAR'!$S$13:$S$512,IF(L38&gt;0,L38,K38)))</f>
      </c>
      <c r="F38" s="39">
        <f>IF(B38="","",IF(L38&gt;0,INDEX('PEGAR'!$F$13:$F$512,L38),""))</f>
      </c>
      <c r="G38" s="39">
        <f>IF(B38="","",IF(OR(M38=0,N38&gt;0,O38&gt;0),"",SUMIFS('PEGAR'!$M$13:$M$512,'PEGAR'!$O$13:$O$512,B38)))</f>
      </c>
      <c r="H38" s="39">
        <f>IF(AND(ISNUMBER(F38),ISNUMBER(G38)),G38-F38,"")</f>
      </c>
      <c r="I38" s="27">
        <f>IF(B38="","",IF(W38=2,"ROJO",IF(W38=1,"ÁMBAR","VERDE")))</f>
      </c>
      <c r="J38" s="30">
        <f>IF(B38="","",IF(W38=0,"Sin avisos numéricos. Revisamos el alcance aparte.",IF(L38=0,"Faltan datos completos de partida; no elegimos un total por suposición."&amp;CHAR(10),"")&amp;IF(N38&gt;0,"Hay filas incompletas o contradictorias; las revisamos en PEGAR."&amp;CHAR(10),"")&amp;IF(O38&gt;0,"Faltan las medidas de alguna fila; no cerramos la suma."&amp;CHAR(10),"")&amp;IF(M38=0,"No constan líneas de medición."&amp;CHAR(10),"")&amp;IF(IF(ISNUMBER(H38),ROUND(ABS(H38),8)&gt;$F$6,FALSE),"Las líneas difieren del total en más de 0,01; confirmamos cantidad o exclusión."&amp;CHAR(10),"")&amp;IF(P38&gt;0,"Parece m³: encontramos tres dimensiones bajo m²."&amp;CHAR(10),"")&amp;IF(R38&gt;0,"Código repetido dentro del capítulo; mantenemos sus ID separados."&amp;CHAR(10),"")&amp;IF(S38&gt;0,"Código repetido en otro capítulo; no unimos las partidas."&amp;CHAR(10),"")&amp;IF(T38&gt;0,"Mismo código con unidades distintas; pedimos aclaración."&amp;CHAR(10),"")&amp;IF(Q38&gt;0,"Hay más precisión que los decimales indicados; cotejamos el formato original."&amp;CHAR(10),"")&amp;IF(U38&gt;0,"Unidad sin normalizar; cotejamos su significado antes de sumar unidades."&amp;CHAR(10),"")&amp;IF(V38&gt;0,"Revisamos dimensiones, cantidades directas, ceros o deducciones en PEGAR."&amp;CHAR(10),"")))</f>
      </c>
      <c r="K38" s="0">
        <f>IF(26&gt;'RESUMEN'!$E$6,"",MATCH(26,'PEGAR'!$W$13:$W$512,0))</f>
      </c>
      <c r="L38" s="0">
        <f>IF(K38="","",INDEX('PEGAR'!$R$13:$R$512,K38))</f>
      </c>
      <c r="M38" s="0">
        <f>IF(B38="","",COUNTIFS('PEGAR'!$O$13:$O$512,B38,'PEGAR'!$P$13:$P$512,"DIMENSIONES")+COUNTIFS('PEGAR'!$O$13:$O$512,B38,'PEGAR'!$P$13:$P$512,"DIRECTA"))</f>
      </c>
      <c r="N38" s="0">
        <f>IF(B38="","",COUNTIFS('PEGAR'!$O$13:$O$512,B38,'PEGAR'!$X$13:$X$512,2))</f>
      </c>
      <c r="O38" s="0">
        <f>IF(B38="","",COUNTIFS('PEGAR'!$O$13:$O$512,B38,'PEGAR'!$P$13:$P$512,"SIN LÍNEAS"))</f>
      </c>
      <c r="P38" s="0">
        <f>IF(B38="","",SUMIFS('PEGAR'!$Y$13:$Y$512,'PEGAR'!$O$13:$O$512,B38))</f>
      </c>
      <c r="Q38" s="0">
        <f>IF(B38="","",SUMIFS('PEGAR'!$Z$13:$Z$512,'PEGAR'!$O$13:$O$512,B38))</f>
      </c>
      <c r="R38" s="0" t="n">
        <f>IF(OR(B38="",D38=""),0,SUMPRODUCT(--($B$13:$B$512&lt;&gt;""),--($D$13:$D$512=D38),--($C$13:$C$512=C38))-1)</f>
        <v>0</v>
      </c>
      <c r="S38" s="0" t="n">
        <f>IF(OR(B38="",D38=""),0,SUMPRODUCT(--($B$13:$B$512&lt;&gt;""),--($D$13:$D$512=D38),--($C$13:$C$512&lt;&gt;C38)))</f>
        <v>0</v>
      </c>
      <c r="T38" s="0" t="n">
        <f>IF(OR(B38="",D38=""),0,SUMPRODUCT(--($B$13:$B$512&lt;&gt;""),--($D$13:$D$512=D38),--($E$13:$E$512&lt;&gt;E38)))</f>
        <v>0</v>
      </c>
      <c r="U38" s="0" t="n">
        <f>IF(B38="",0,IF(SUMPRODUCT(--('LÉEME'!$C$65:$C$86=E38))=0,1,0))</f>
        <v>0</v>
      </c>
      <c r="V38" s="0">
        <f>IF(B38="","",SUMIFS('PEGAR'!$AA$13:$AA$512,'PEGAR'!$O$13:$O$512,B38))</f>
      </c>
      <c r="W38" s="0">
        <f>IF(B38="","",IF(OR(L38=0,N38&gt;0,T38&gt;0,IF(ISNUMBER(H38),ROUND(ABS(H38),8)&gt;$F$6,FALSE)),2,IF(OR(M38=0,O38&gt;0,P38&gt;0,Q38&gt;0,R38&gt;0,S38&gt;0,U38&gt;0,V38&gt;0),1,0)))</f>
      </c>
      <c r="X38" s="0">
        <f>IF(B38="","",IF(ISNUMBER(G38),1,0))</f>
      </c>
      <c r="AB38" s="0">
        <f>IF(AND(ISNUMBER(W38),W38&gt;0),"ID "&amp;B38,"")</f>
      </c>
      <c r="AC38" s="0">
        <f>IF(AND(ISNUMBER(W38),W38&gt;0),C38,"")</f>
      </c>
      <c r="AD38" s="0">
        <f>IF(AND(ISNUMBER(W38),W38&gt;0),D38,"")</f>
      </c>
      <c r="AE38" s="0">
        <f>IF(AND(ISNUMBER(W38),W38&gt;0),IF(INDEX('PEGAR'!$D$13:$D$512,IF(L38&gt;0,L38,K38))="","Sin descripción",INDEX('PEGAR'!$D$13:$D$512,IF(L38&gt;0,L38,K38))),"")</f>
      </c>
      <c r="AF38" s="0">
        <f>IF(AND(ISNUMBER(W38),W38&gt;0),J38,"")</f>
      </c>
      <c r="AG38" s="0" t="n">
        <f>IF(AND(ISNUMBER(W38),W38&gt;0),W38,0)</f>
        <v>0</v>
      </c>
      <c r="AH38" s="0">
        <f>IF(AG38&gt;0,COUNTIFS($AG$13:AG38,"&gt;0"),"")</f>
      </c>
    </row>
    <row r="39" ht="22" customHeight="1">
      <c r="B39" s="27">
        <f>IF(K39="","",INDEX('PEGAR'!$O$13:$O$512,K39))</f>
      </c>
      <c r="C39" s="30">
        <f>IF(B39="","",IF(LEN(TRIM(INDEX('PEGAR'!$B$13:$B$512,IF(L39&gt;0,L39,K39))&amp;""))=0,"Sin capítulo",TRIM(INDEX('PEGAR'!$B$13:$B$512,IF(L39&gt;0,L39,K39))&amp;"")))</f>
      </c>
      <c r="D39" s="27">
        <f>IF(B39="","",IF(LEN(TRIM(INDEX('PEGAR'!$C$13:$C$512,IF(L39&gt;0,L39,K39))&amp;""))=0,"",TRIM(INDEX('PEGAR'!$C$13:$C$512,IF(L39&gt;0,L39,K39))&amp;"")))</f>
      </c>
      <c r="E39" s="27">
        <f>IF(B39="","",INDEX('PEGAR'!$S$13:$S$512,IF(L39&gt;0,L39,K39)))</f>
      </c>
      <c r="F39" s="39">
        <f>IF(B39="","",IF(L39&gt;0,INDEX('PEGAR'!$F$13:$F$512,L39),""))</f>
      </c>
      <c r="G39" s="39">
        <f>IF(B39="","",IF(OR(M39=0,N39&gt;0,O39&gt;0),"",SUMIFS('PEGAR'!$M$13:$M$512,'PEGAR'!$O$13:$O$512,B39)))</f>
      </c>
      <c r="H39" s="39">
        <f>IF(AND(ISNUMBER(F39),ISNUMBER(G39)),G39-F39,"")</f>
      </c>
      <c r="I39" s="27">
        <f>IF(B39="","",IF(W39=2,"ROJO",IF(W39=1,"ÁMBAR","VERDE")))</f>
      </c>
      <c r="J39" s="30">
        <f>IF(B39="","",IF(W39=0,"Sin avisos numéricos. Revisamos el alcance aparte.",IF(L39=0,"Faltan datos completos de partida; no elegimos un total por suposición."&amp;CHAR(10),"")&amp;IF(N39&gt;0,"Hay filas incompletas o contradictorias; las revisamos en PEGAR."&amp;CHAR(10),"")&amp;IF(O39&gt;0,"Faltan las medidas de alguna fila; no cerramos la suma."&amp;CHAR(10),"")&amp;IF(M39=0,"No constan líneas de medición."&amp;CHAR(10),"")&amp;IF(IF(ISNUMBER(H39),ROUND(ABS(H39),8)&gt;$F$6,FALSE),"Las líneas difieren del total en más de 0,01; confirmamos cantidad o exclusión."&amp;CHAR(10),"")&amp;IF(P39&gt;0,"Parece m³: encontramos tres dimensiones bajo m²."&amp;CHAR(10),"")&amp;IF(R39&gt;0,"Código repetido dentro del capítulo; mantenemos sus ID separados."&amp;CHAR(10),"")&amp;IF(S39&gt;0,"Código repetido en otro capítulo; no unimos las partidas."&amp;CHAR(10),"")&amp;IF(T39&gt;0,"Mismo código con unidades distintas; pedimos aclaración."&amp;CHAR(10),"")&amp;IF(Q39&gt;0,"Hay más precisión que los decimales indicados; cotejamos el formato original."&amp;CHAR(10),"")&amp;IF(U39&gt;0,"Unidad sin normalizar; cotejamos su significado antes de sumar unidades."&amp;CHAR(10),"")&amp;IF(V39&gt;0,"Revisamos dimensiones, cantidades directas, ceros o deducciones en PEGAR."&amp;CHAR(10),"")))</f>
      </c>
      <c r="K39" s="0">
        <f>IF(27&gt;'RESUMEN'!$E$6,"",MATCH(27,'PEGAR'!$W$13:$W$512,0))</f>
      </c>
      <c r="L39" s="0">
        <f>IF(K39="","",INDEX('PEGAR'!$R$13:$R$512,K39))</f>
      </c>
      <c r="M39" s="0">
        <f>IF(B39="","",COUNTIFS('PEGAR'!$O$13:$O$512,B39,'PEGAR'!$P$13:$P$512,"DIMENSIONES")+COUNTIFS('PEGAR'!$O$13:$O$512,B39,'PEGAR'!$P$13:$P$512,"DIRECTA"))</f>
      </c>
      <c r="N39" s="0">
        <f>IF(B39="","",COUNTIFS('PEGAR'!$O$13:$O$512,B39,'PEGAR'!$X$13:$X$512,2))</f>
      </c>
      <c r="O39" s="0">
        <f>IF(B39="","",COUNTIFS('PEGAR'!$O$13:$O$512,B39,'PEGAR'!$P$13:$P$512,"SIN LÍNEAS"))</f>
      </c>
      <c r="P39" s="0">
        <f>IF(B39="","",SUMIFS('PEGAR'!$Y$13:$Y$512,'PEGAR'!$O$13:$O$512,B39))</f>
      </c>
      <c r="Q39" s="0">
        <f>IF(B39="","",SUMIFS('PEGAR'!$Z$13:$Z$512,'PEGAR'!$O$13:$O$512,B39))</f>
      </c>
      <c r="R39" s="0" t="n">
        <f>IF(OR(B39="",D39=""),0,SUMPRODUCT(--($B$13:$B$512&lt;&gt;""),--($D$13:$D$512=D39),--($C$13:$C$512=C39))-1)</f>
        <v>0</v>
      </c>
      <c r="S39" s="0" t="n">
        <f>IF(OR(B39="",D39=""),0,SUMPRODUCT(--($B$13:$B$512&lt;&gt;""),--($D$13:$D$512=D39),--($C$13:$C$512&lt;&gt;C39)))</f>
        <v>0</v>
      </c>
      <c r="T39" s="0" t="n">
        <f>IF(OR(B39="",D39=""),0,SUMPRODUCT(--($B$13:$B$512&lt;&gt;""),--($D$13:$D$512=D39),--($E$13:$E$512&lt;&gt;E39)))</f>
        <v>0</v>
      </c>
      <c r="U39" s="0" t="n">
        <f>IF(B39="",0,IF(SUMPRODUCT(--('LÉEME'!$C$65:$C$86=E39))=0,1,0))</f>
        <v>0</v>
      </c>
      <c r="V39" s="0">
        <f>IF(B39="","",SUMIFS('PEGAR'!$AA$13:$AA$512,'PEGAR'!$O$13:$O$512,B39))</f>
      </c>
      <c r="W39" s="0">
        <f>IF(B39="","",IF(OR(L39=0,N39&gt;0,T39&gt;0,IF(ISNUMBER(H39),ROUND(ABS(H39),8)&gt;$F$6,FALSE)),2,IF(OR(M39=0,O39&gt;0,P39&gt;0,Q39&gt;0,R39&gt;0,S39&gt;0,U39&gt;0,V39&gt;0),1,0)))</f>
      </c>
      <c r="X39" s="0">
        <f>IF(B39="","",IF(ISNUMBER(G39),1,0))</f>
      </c>
      <c r="AB39" s="0">
        <f>IF(AND(ISNUMBER(W39),W39&gt;0),"ID "&amp;B39,"")</f>
      </c>
      <c r="AC39" s="0">
        <f>IF(AND(ISNUMBER(W39),W39&gt;0),C39,"")</f>
      </c>
      <c r="AD39" s="0">
        <f>IF(AND(ISNUMBER(W39),W39&gt;0),D39,"")</f>
      </c>
      <c r="AE39" s="0">
        <f>IF(AND(ISNUMBER(W39),W39&gt;0),IF(INDEX('PEGAR'!$D$13:$D$512,IF(L39&gt;0,L39,K39))="","Sin descripción",INDEX('PEGAR'!$D$13:$D$512,IF(L39&gt;0,L39,K39))),"")</f>
      </c>
      <c r="AF39" s="0">
        <f>IF(AND(ISNUMBER(W39),W39&gt;0),J39,"")</f>
      </c>
      <c r="AG39" s="0" t="n">
        <f>IF(AND(ISNUMBER(W39),W39&gt;0),W39,0)</f>
        <v>0</v>
      </c>
      <c r="AH39" s="0">
        <f>IF(AG39&gt;0,COUNTIFS($AG$13:AG39,"&gt;0"),"")</f>
      </c>
    </row>
    <row r="40" ht="22" customHeight="1">
      <c r="B40" s="27">
        <f>IF(K40="","",INDEX('PEGAR'!$O$13:$O$512,K40))</f>
      </c>
      <c r="C40" s="30">
        <f>IF(B40="","",IF(LEN(TRIM(INDEX('PEGAR'!$B$13:$B$512,IF(L40&gt;0,L40,K40))&amp;""))=0,"Sin capítulo",TRIM(INDEX('PEGAR'!$B$13:$B$512,IF(L40&gt;0,L40,K40))&amp;"")))</f>
      </c>
      <c r="D40" s="27">
        <f>IF(B40="","",IF(LEN(TRIM(INDEX('PEGAR'!$C$13:$C$512,IF(L40&gt;0,L40,K40))&amp;""))=0,"",TRIM(INDEX('PEGAR'!$C$13:$C$512,IF(L40&gt;0,L40,K40))&amp;"")))</f>
      </c>
      <c r="E40" s="27">
        <f>IF(B40="","",INDEX('PEGAR'!$S$13:$S$512,IF(L40&gt;0,L40,K40)))</f>
      </c>
      <c r="F40" s="39">
        <f>IF(B40="","",IF(L40&gt;0,INDEX('PEGAR'!$F$13:$F$512,L40),""))</f>
      </c>
      <c r="G40" s="39">
        <f>IF(B40="","",IF(OR(M40=0,N40&gt;0,O40&gt;0),"",SUMIFS('PEGAR'!$M$13:$M$512,'PEGAR'!$O$13:$O$512,B40)))</f>
      </c>
      <c r="H40" s="39">
        <f>IF(AND(ISNUMBER(F40),ISNUMBER(G40)),G40-F40,"")</f>
      </c>
      <c r="I40" s="27">
        <f>IF(B40="","",IF(W40=2,"ROJO",IF(W40=1,"ÁMBAR","VERDE")))</f>
      </c>
      <c r="J40" s="30">
        <f>IF(B40="","",IF(W40=0,"Sin avisos numéricos. Revisamos el alcance aparte.",IF(L40=0,"Faltan datos completos de partida; no elegimos un total por suposición."&amp;CHAR(10),"")&amp;IF(N40&gt;0,"Hay filas incompletas o contradictorias; las revisamos en PEGAR."&amp;CHAR(10),"")&amp;IF(O40&gt;0,"Faltan las medidas de alguna fila; no cerramos la suma."&amp;CHAR(10),"")&amp;IF(M40=0,"No constan líneas de medición."&amp;CHAR(10),"")&amp;IF(IF(ISNUMBER(H40),ROUND(ABS(H40),8)&gt;$F$6,FALSE),"Las líneas difieren del total en más de 0,01; confirmamos cantidad o exclusión."&amp;CHAR(10),"")&amp;IF(P40&gt;0,"Parece m³: encontramos tres dimensiones bajo m²."&amp;CHAR(10),"")&amp;IF(R40&gt;0,"Código repetido dentro del capítulo; mantenemos sus ID separados."&amp;CHAR(10),"")&amp;IF(S40&gt;0,"Código repetido en otro capítulo; no unimos las partidas."&amp;CHAR(10),"")&amp;IF(T40&gt;0,"Mismo código con unidades distintas; pedimos aclaración."&amp;CHAR(10),"")&amp;IF(Q40&gt;0,"Hay más precisión que los decimales indicados; cotejamos el formato original."&amp;CHAR(10),"")&amp;IF(U40&gt;0,"Unidad sin normalizar; cotejamos su significado antes de sumar unidades."&amp;CHAR(10),"")&amp;IF(V40&gt;0,"Revisamos dimensiones, cantidades directas, ceros o deducciones en PEGAR."&amp;CHAR(10),"")))</f>
      </c>
      <c r="K40" s="0">
        <f>IF(28&gt;'RESUMEN'!$E$6,"",MATCH(28,'PEGAR'!$W$13:$W$512,0))</f>
      </c>
      <c r="L40" s="0">
        <f>IF(K40="","",INDEX('PEGAR'!$R$13:$R$512,K40))</f>
      </c>
      <c r="M40" s="0">
        <f>IF(B40="","",COUNTIFS('PEGAR'!$O$13:$O$512,B40,'PEGAR'!$P$13:$P$512,"DIMENSIONES")+COUNTIFS('PEGAR'!$O$13:$O$512,B40,'PEGAR'!$P$13:$P$512,"DIRECTA"))</f>
      </c>
      <c r="N40" s="0">
        <f>IF(B40="","",COUNTIFS('PEGAR'!$O$13:$O$512,B40,'PEGAR'!$X$13:$X$512,2))</f>
      </c>
      <c r="O40" s="0">
        <f>IF(B40="","",COUNTIFS('PEGAR'!$O$13:$O$512,B40,'PEGAR'!$P$13:$P$512,"SIN LÍNEAS"))</f>
      </c>
      <c r="P40" s="0">
        <f>IF(B40="","",SUMIFS('PEGAR'!$Y$13:$Y$512,'PEGAR'!$O$13:$O$512,B40))</f>
      </c>
      <c r="Q40" s="0">
        <f>IF(B40="","",SUMIFS('PEGAR'!$Z$13:$Z$512,'PEGAR'!$O$13:$O$512,B40))</f>
      </c>
      <c r="R40" s="0" t="n">
        <f>IF(OR(B40="",D40=""),0,SUMPRODUCT(--($B$13:$B$512&lt;&gt;""),--($D$13:$D$512=D40),--($C$13:$C$512=C40))-1)</f>
        <v>0</v>
      </c>
      <c r="S40" s="0" t="n">
        <f>IF(OR(B40="",D40=""),0,SUMPRODUCT(--($B$13:$B$512&lt;&gt;""),--($D$13:$D$512=D40),--($C$13:$C$512&lt;&gt;C40)))</f>
        <v>0</v>
      </c>
      <c r="T40" s="0" t="n">
        <f>IF(OR(B40="",D40=""),0,SUMPRODUCT(--($B$13:$B$512&lt;&gt;""),--($D$13:$D$512=D40),--($E$13:$E$512&lt;&gt;E40)))</f>
        <v>0</v>
      </c>
      <c r="U40" s="0" t="n">
        <f>IF(B40="",0,IF(SUMPRODUCT(--('LÉEME'!$C$65:$C$86=E40))=0,1,0))</f>
        <v>0</v>
      </c>
      <c r="V40" s="0">
        <f>IF(B40="","",SUMIFS('PEGAR'!$AA$13:$AA$512,'PEGAR'!$O$13:$O$512,B40))</f>
      </c>
      <c r="W40" s="0">
        <f>IF(B40="","",IF(OR(L40=0,N40&gt;0,T40&gt;0,IF(ISNUMBER(H40),ROUND(ABS(H40),8)&gt;$F$6,FALSE)),2,IF(OR(M40=0,O40&gt;0,P40&gt;0,Q40&gt;0,R40&gt;0,S40&gt;0,U40&gt;0,V40&gt;0),1,0)))</f>
      </c>
      <c r="X40" s="0">
        <f>IF(B40="","",IF(ISNUMBER(G40),1,0))</f>
      </c>
      <c r="AB40" s="0">
        <f>IF(AND(ISNUMBER(W40),W40&gt;0),"ID "&amp;B40,"")</f>
      </c>
      <c r="AC40" s="0">
        <f>IF(AND(ISNUMBER(W40),W40&gt;0),C40,"")</f>
      </c>
      <c r="AD40" s="0">
        <f>IF(AND(ISNUMBER(W40),W40&gt;0),D40,"")</f>
      </c>
      <c r="AE40" s="0">
        <f>IF(AND(ISNUMBER(W40),W40&gt;0),IF(INDEX('PEGAR'!$D$13:$D$512,IF(L40&gt;0,L40,K40))="","Sin descripción",INDEX('PEGAR'!$D$13:$D$512,IF(L40&gt;0,L40,K40))),"")</f>
      </c>
      <c r="AF40" s="0">
        <f>IF(AND(ISNUMBER(W40),W40&gt;0),J40,"")</f>
      </c>
      <c r="AG40" s="0" t="n">
        <f>IF(AND(ISNUMBER(W40),W40&gt;0),W40,0)</f>
        <v>0</v>
      </c>
      <c r="AH40" s="0">
        <f>IF(AG40&gt;0,COUNTIFS($AG$13:AG40,"&gt;0"),"")</f>
      </c>
    </row>
    <row r="41" ht="22" customHeight="1">
      <c r="B41" s="27">
        <f>IF(K41="","",INDEX('PEGAR'!$O$13:$O$512,K41))</f>
      </c>
      <c r="C41" s="30">
        <f>IF(B41="","",IF(LEN(TRIM(INDEX('PEGAR'!$B$13:$B$512,IF(L41&gt;0,L41,K41))&amp;""))=0,"Sin capítulo",TRIM(INDEX('PEGAR'!$B$13:$B$512,IF(L41&gt;0,L41,K41))&amp;"")))</f>
      </c>
      <c r="D41" s="27">
        <f>IF(B41="","",IF(LEN(TRIM(INDEX('PEGAR'!$C$13:$C$512,IF(L41&gt;0,L41,K41))&amp;""))=0,"",TRIM(INDEX('PEGAR'!$C$13:$C$512,IF(L41&gt;0,L41,K41))&amp;"")))</f>
      </c>
      <c r="E41" s="27">
        <f>IF(B41="","",INDEX('PEGAR'!$S$13:$S$512,IF(L41&gt;0,L41,K41)))</f>
      </c>
      <c r="F41" s="39">
        <f>IF(B41="","",IF(L41&gt;0,INDEX('PEGAR'!$F$13:$F$512,L41),""))</f>
      </c>
      <c r="G41" s="39">
        <f>IF(B41="","",IF(OR(M41=0,N41&gt;0,O41&gt;0),"",SUMIFS('PEGAR'!$M$13:$M$512,'PEGAR'!$O$13:$O$512,B41)))</f>
      </c>
      <c r="H41" s="39">
        <f>IF(AND(ISNUMBER(F41),ISNUMBER(G41)),G41-F41,"")</f>
      </c>
      <c r="I41" s="27">
        <f>IF(B41="","",IF(W41=2,"ROJO",IF(W41=1,"ÁMBAR","VERDE")))</f>
      </c>
      <c r="J41" s="30">
        <f>IF(B41="","",IF(W41=0,"Sin avisos numéricos. Revisamos el alcance aparte.",IF(L41=0,"Faltan datos completos de partida; no elegimos un total por suposición."&amp;CHAR(10),"")&amp;IF(N41&gt;0,"Hay filas incompletas o contradictorias; las revisamos en PEGAR."&amp;CHAR(10),"")&amp;IF(O41&gt;0,"Faltan las medidas de alguna fila; no cerramos la suma."&amp;CHAR(10),"")&amp;IF(M41=0,"No constan líneas de medición."&amp;CHAR(10),"")&amp;IF(IF(ISNUMBER(H41),ROUND(ABS(H41),8)&gt;$F$6,FALSE),"Las líneas difieren del total en más de 0,01; confirmamos cantidad o exclusión."&amp;CHAR(10),"")&amp;IF(P41&gt;0,"Parece m³: encontramos tres dimensiones bajo m²."&amp;CHAR(10),"")&amp;IF(R41&gt;0,"Código repetido dentro del capítulo; mantenemos sus ID separados."&amp;CHAR(10),"")&amp;IF(S41&gt;0,"Código repetido en otro capítulo; no unimos las partidas."&amp;CHAR(10),"")&amp;IF(T41&gt;0,"Mismo código con unidades distintas; pedimos aclaración."&amp;CHAR(10),"")&amp;IF(Q41&gt;0,"Hay más precisión que los decimales indicados; cotejamos el formato original."&amp;CHAR(10),"")&amp;IF(U41&gt;0,"Unidad sin normalizar; cotejamos su significado antes de sumar unidades."&amp;CHAR(10),"")&amp;IF(V41&gt;0,"Revisamos dimensiones, cantidades directas, ceros o deducciones en PEGAR."&amp;CHAR(10),"")))</f>
      </c>
      <c r="K41" s="0">
        <f>IF(29&gt;'RESUMEN'!$E$6,"",MATCH(29,'PEGAR'!$W$13:$W$512,0))</f>
      </c>
      <c r="L41" s="0">
        <f>IF(K41="","",INDEX('PEGAR'!$R$13:$R$512,K41))</f>
      </c>
      <c r="M41" s="0">
        <f>IF(B41="","",COUNTIFS('PEGAR'!$O$13:$O$512,B41,'PEGAR'!$P$13:$P$512,"DIMENSIONES")+COUNTIFS('PEGAR'!$O$13:$O$512,B41,'PEGAR'!$P$13:$P$512,"DIRECTA"))</f>
      </c>
      <c r="N41" s="0">
        <f>IF(B41="","",COUNTIFS('PEGAR'!$O$13:$O$512,B41,'PEGAR'!$X$13:$X$512,2))</f>
      </c>
      <c r="O41" s="0">
        <f>IF(B41="","",COUNTIFS('PEGAR'!$O$13:$O$512,B41,'PEGAR'!$P$13:$P$512,"SIN LÍNEAS"))</f>
      </c>
      <c r="P41" s="0">
        <f>IF(B41="","",SUMIFS('PEGAR'!$Y$13:$Y$512,'PEGAR'!$O$13:$O$512,B41))</f>
      </c>
      <c r="Q41" s="0">
        <f>IF(B41="","",SUMIFS('PEGAR'!$Z$13:$Z$512,'PEGAR'!$O$13:$O$512,B41))</f>
      </c>
      <c r="R41" s="0" t="n">
        <f>IF(OR(B41="",D41=""),0,SUMPRODUCT(--($B$13:$B$512&lt;&gt;""),--($D$13:$D$512=D41),--($C$13:$C$512=C41))-1)</f>
        <v>0</v>
      </c>
      <c r="S41" s="0" t="n">
        <f>IF(OR(B41="",D41=""),0,SUMPRODUCT(--($B$13:$B$512&lt;&gt;""),--($D$13:$D$512=D41),--($C$13:$C$512&lt;&gt;C41)))</f>
        <v>0</v>
      </c>
      <c r="T41" s="0" t="n">
        <f>IF(OR(B41="",D41=""),0,SUMPRODUCT(--($B$13:$B$512&lt;&gt;""),--($D$13:$D$512=D41),--($E$13:$E$512&lt;&gt;E41)))</f>
        <v>0</v>
      </c>
      <c r="U41" s="0" t="n">
        <f>IF(B41="",0,IF(SUMPRODUCT(--('LÉEME'!$C$65:$C$86=E41))=0,1,0))</f>
        <v>0</v>
      </c>
      <c r="V41" s="0">
        <f>IF(B41="","",SUMIFS('PEGAR'!$AA$13:$AA$512,'PEGAR'!$O$13:$O$512,B41))</f>
      </c>
      <c r="W41" s="0">
        <f>IF(B41="","",IF(OR(L41=0,N41&gt;0,T41&gt;0,IF(ISNUMBER(H41),ROUND(ABS(H41),8)&gt;$F$6,FALSE)),2,IF(OR(M41=0,O41&gt;0,P41&gt;0,Q41&gt;0,R41&gt;0,S41&gt;0,U41&gt;0,V41&gt;0),1,0)))</f>
      </c>
      <c r="X41" s="0">
        <f>IF(B41="","",IF(ISNUMBER(G41),1,0))</f>
      </c>
      <c r="AB41" s="0">
        <f>IF(AND(ISNUMBER(W41),W41&gt;0),"ID "&amp;B41,"")</f>
      </c>
      <c r="AC41" s="0">
        <f>IF(AND(ISNUMBER(W41),W41&gt;0),C41,"")</f>
      </c>
      <c r="AD41" s="0">
        <f>IF(AND(ISNUMBER(W41),W41&gt;0),D41,"")</f>
      </c>
      <c r="AE41" s="0">
        <f>IF(AND(ISNUMBER(W41),W41&gt;0),IF(INDEX('PEGAR'!$D$13:$D$512,IF(L41&gt;0,L41,K41))="","Sin descripción",INDEX('PEGAR'!$D$13:$D$512,IF(L41&gt;0,L41,K41))),"")</f>
      </c>
      <c r="AF41" s="0">
        <f>IF(AND(ISNUMBER(W41),W41&gt;0),J41,"")</f>
      </c>
      <c r="AG41" s="0" t="n">
        <f>IF(AND(ISNUMBER(W41),W41&gt;0),W41,0)</f>
        <v>0</v>
      </c>
      <c r="AH41" s="0">
        <f>IF(AG41&gt;0,COUNTIFS($AG$13:AG41,"&gt;0"),"")</f>
      </c>
    </row>
    <row r="42" ht="22" customHeight="1">
      <c r="B42" s="27">
        <f>IF(K42="","",INDEX('PEGAR'!$O$13:$O$512,K42))</f>
      </c>
      <c r="C42" s="30">
        <f>IF(B42="","",IF(LEN(TRIM(INDEX('PEGAR'!$B$13:$B$512,IF(L42&gt;0,L42,K42))&amp;""))=0,"Sin capítulo",TRIM(INDEX('PEGAR'!$B$13:$B$512,IF(L42&gt;0,L42,K42))&amp;"")))</f>
      </c>
      <c r="D42" s="27">
        <f>IF(B42="","",IF(LEN(TRIM(INDEX('PEGAR'!$C$13:$C$512,IF(L42&gt;0,L42,K42))&amp;""))=0,"",TRIM(INDEX('PEGAR'!$C$13:$C$512,IF(L42&gt;0,L42,K42))&amp;"")))</f>
      </c>
      <c r="E42" s="27">
        <f>IF(B42="","",INDEX('PEGAR'!$S$13:$S$512,IF(L42&gt;0,L42,K42)))</f>
      </c>
      <c r="F42" s="39">
        <f>IF(B42="","",IF(L42&gt;0,INDEX('PEGAR'!$F$13:$F$512,L42),""))</f>
      </c>
      <c r="G42" s="39">
        <f>IF(B42="","",IF(OR(M42=0,N42&gt;0,O42&gt;0),"",SUMIFS('PEGAR'!$M$13:$M$512,'PEGAR'!$O$13:$O$512,B42)))</f>
      </c>
      <c r="H42" s="39">
        <f>IF(AND(ISNUMBER(F42),ISNUMBER(G42)),G42-F42,"")</f>
      </c>
      <c r="I42" s="27">
        <f>IF(B42="","",IF(W42=2,"ROJO",IF(W42=1,"ÁMBAR","VERDE")))</f>
      </c>
      <c r="J42" s="30">
        <f>IF(B42="","",IF(W42=0,"Sin avisos numéricos. Revisamos el alcance aparte.",IF(L42=0,"Faltan datos completos de partida; no elegimos un total por suposición."&amp;CHAR(10),"")&amp;IF(N42&gt;0,"Hay filas incompletas o contradictorias; las revisamos en PEGAR."&amp;CHAR(10),"")&amp;IF(O42&gt;0,"Faltan las medidas de alguna fila; no cerramos la suma."&amp;CHAR(10),"")&amp;IF(M42=0,"No constan líneas de medición."&amp;CHAR(10),"")&amp;IF(IF(ISNUMBER(H42),ROUND(ABS(H42),8)&gt;$F$6,FALSE),"Las líneas difieren del total en más de 0,01; confirmamos cantidad o exclusión."&amp;CHAR(10),"")&amp;IF(P42&gt;0,"Parece m³: encontramos tres dimensiones bajo m²."&amp;CHAR(10),"")&amp;IF(R42&gt;0,"Código repetido dentro del capítulo; mantenemos sus ID separados."&amp;CHAR(10),"")&amp;IF(S42&gt;0,"Código repetido en otro capítulo; no unimos las partidas."&amp;CHAR(10),"")&amp;IF(T42&gt;0,"Mismo código con unidades distintas; pedimos aclaración."&amp;CHAR(10),"")&amp;IF(Q42&gt;0,"Hay más precisión que los decimales indicados; cotejamos el formato original."&amp;CHAR(10),"")&amp;IF(U42&gt;0,"Unidad sin normalizar; cotejamos su significado antes de sumar unidades."&amp;CHAR(10),"")&amp;IF(V42&gt;0,"Revisamos dimensiones, cantidades directas, ceros o deducciones en PEGAR."&amp;CHAR(10),"")))</f>
      </c>
      <c r="K42" s="0">
        <f>IF(30&gt;'RESUMEN'!$E$6,"",MATCH(30,'PEGAR'!$W$13:$W$512,0))</f>
      </c>
      <c r="L42" s="0">
        <f>IF(K42="","",INDEX('PEGAR'!$R$13:$R$512,K42))</f>
      </c>
      <c r="M42" s="0">
        <f>IF(B42="","",COUNTIFS('PEGAR'!$O$13:$O$512,B42,'PEGAR'!$P$13:$P$512,"DIMENSIONES")+COUNTIFS('PEGAR'!$O$13:$O$512,B42,'PEGAR'!$P$13:$P$512,"DIRECTA"))</f>
      </c>
      <c r="N42" s="0">
        <f>IF(B42="","",COUNTIFS('PEGAR'!$O$13:$O$512,B42,'PEGAR'!$X$13:$X$512,2))</f>
      </c>
      <c r="O42" s="0">
        <f>IF(B42="","",COUNTIFS('PEGAR'!$O$13:$O$512,B42,'PEGAR'!$P$13:$P$512,"SIN LÍNEAS"))</f>
      </c>
      <c r="P42" s="0">
        <f>IF(B42="","",SUMIFS('PEGAR'!$Y$13:$Y$512,'PEGAR'!$O$13:$O$512,B42))</f>
      </c>
      <c r="Q42" s="0">
        <f>IF(B42="","",SUMIFS('PEGAR'!$Z$13:$Z$512,'PEGAR'!$O$13:$O$512,B42))</f>
      </c>
      <c r="R42" s="0" t="n">
        <f>IF(OR(B42="",D42=""),0,SUMPRODUCT(--($B$13:$B$512&lt;&gt;""),--($D$13:$D$512=D42),--($C$13:$C$512=C42))-1)</f>
        <v>0</v>
      </c>
      <c r="S42" s="0" t="n">
        <f>IF(OR(B42="",D42=""),0,SUMPRODUCT(--($B$13:$B$512&lt;&gt;""),--($D$13:$D$512=D42),--($C$13:$C$512&lt;&gt;C42)))</f>
        <v>0</v>
      </c>
      <c r="T42" s="0" t="n">
        <f>IF(OR(B42="",D42=""),0,SUMPRODUCT(--($B$13:$B$512&lt;&gt;""),--($D$13:$D$512=D42),--($E$13:$E$512&lt;&gt;E42)))</f>
        <v>0</v>
      </c>
      <c r="U42" s="0" t="n">
        <f>IF(B42="",0,IF(SUMPRODUCT(--('LÉEME'!$C$65:$C$86=E42))=0,1,0))</f>
        <v>0</v>
      </c>
      <c r="V42" s="0">
        <f>IF(B42="","",SUMIFS('PEGAR'!$AA$13:$AA$512,'PEGAR'!$O$13:$O$512,B42))</f>
      </c>
      <c r="W42" s="0">
        <f>IF(B42="","",IF(OR(L42=0,N42&gt;0,T42&gt;0,IF(ISNUMBER(H42),ROUND(ABS(H42),8)&gt;$F$6,FALSE)),2,IF(OR(M42=0,O42&gt;0,P42&gt;0,Q42&gt;0,R42&gt;0,S42&gt;0,U42&gt;0,V42&gt;0),1,0)))</f>
      </c>
      <c r="X42" s="0">
        <f>IF(B42="","",IF(ISNUMBER(G42),1,0))</f>
      </c>
      <c r="AB42" s="0">
        <f>IF(AND(ISNUMBER(W42),W42&gt;0),"ID "&amp;B42,"")</f>
      </c>
      <c r="AC42" s="0">
        <f>IF(AND(ISNUMBER(W42),W42&gt;0),C42,"")</f>
      </c>
      <c r="AD42" s="0">
        <f>IF(AND(ISNUMBER(W42),W42&gt;0),D42,"")</f>
      </c>
      <c r="AE42" s="0">
        <f>IF(AND(ISNUMBER(W42),W42&gt;0),IF(INDEX('PEGAR'!$D$13:$D$512,IF(L42&gt;0,L42,K42))="","Sin descripción",INDEX('PEGAR'!$D$13:$D$512,IF(L42&gt;0,L42,K42))),"")</f>
      </c>
      <c r="AF42" s="0">
        <f>IF(AND(ISNUMBER(W42),W42&gt;0),J42,"")</f>
      </c>
      <c r="AG42" s="0" t="n">
        <f>IF(AND(ISNUMBER(W42),W42&gt;0),W42,0)</f>
        <v>0</v>
      </c>
      <c r="AH42" s="0">
        <f>IF(AG42&gt;0,COUNTIFS($AG$13:AG42,"&gt;0"),"")</f>
      </c>
    </row>
    <row r="43" ht="22" customHeight="1">
      <c r="B43" s="27">
        <f>IF(K43="","",INDEX('PEGAR'!$O$13:$O$512,K43))</f>
      </c>
      <c r="C43" s="30">
        <f>IF(B43="","",IF(LEN(TRIM(INDEX('PEGAR'!$B$13:$B$512,IF(L43&gt;0,L43,K43))&amp;""))=0,"Sin capítulo",TRIM(INDEX('PEGAR'!$B$13:$B$512,IF(L43&gt;0,L43,K43))&amp;"")))</f>
      </c>
      <c r="D43" s="27">
        <f>IF(B43="","",IF(LEN(TRIM(INDEX('PEGAR'!$C$13:$C$512,IF(L43&gt;0,L43,K43))&amp;""))=0,"",TRIM(INDEX('PEGAR'!$C$13:$C$512,IF(L43&gt;0,L43,K43))&amp;"")))</f>
      </c>
      <c r="E43" s="27">
        <f>IF(B43="","",INDEX('PEGAR'!$S$13:$S$512,IF(L43&gt;0,L43,K43)))</f>
      </c>
      <c r="F43" s="39">
        <f>IF(B43="","",IF(L43&gt;0,INDEX('PEGAR'!$F$13:$F$512,L43),""))</f>
      </c>
      <c r="G43" s="39">
        <f>IF(B43="","",IF(OR(M43=0,N43&gt;0,O43&gt;0),"",SUMIFS('PEGAR'!$M$13:$M$512,'PEGAR'!$O$13:$O$512,B43)))</f>
      </c>
      <c r="H43" s="39">
        <f>IF(AND(ISNUMBER(F43),ISNUMBER(G43)),G43-F43,"")</f>
      </c>
      <c r="I43" s="27">
        <f>IF(B43="","",IF(W43=2,"ROJO",IF(W43=1,"ÁMBAR","VERDE")))</f>
      </c>
      <c r="J43" s="30">
        <f>IF(B43="","",IF(W43=0,"Sin avisos numéricos. Revisamos el alcance aparte.",IF(L43=0,"Faltan datos completos de partida; no elegimos un total por suposición."&amp;CHAR(10),"")&amp;IF(N43&gt;0,"Hay filas incompletas o contradictorias; las revisamos en PEGAR."&amp;CHAR(10),"")&amp;IF(O43&gt;0,"Faltan las medidas de alguna fila; no cerramos la suma."&amp;CHAR(10),"")&amp;IF(M43=0,"No constan líneas de medición."&amp;CHAR(10),"")&amp;IF(IF(ISNUMBER(H43),ROUND(ABS(H43),8)&gt;$F$6,FALSE),"Las líneas difieren del total en más de 0,01; confirmamos cantidad o exclusión."&amp;CHAR(10),"")&amp;IF(P43&gt;0,"Parece m³: encontramos tres dimensiones bajo m²."&amp;CHAR(10),"")&amp;IF(R43&gt;0,"Código repetido dentro del capítulo; mantenemos sus ID separados."&amp;CHAR(10),"")&amp;IF(S43&gt;0,"Código repetido en otro capítulo; no unimos las partidas."&amp;CHAR(10),"")&amp;IF(T43&gt;0,"Mismo código con unidades distintas; pedimos aclaración."&amp;CHAR(10),"")&amp;IF(Q43&gt;0,"Hay más precisión que los decimales indicados; cotejamos el formato original."&amp;CHAR(10),"")&amp;IF(U43&gt;0,"Unidad sin normalizar; cotejamos su significado antes de sumar unidades."&amp;CHAR(10),"")&amp;IF(V43&gt;0,"Revisamos dimensiones, cantidades directas, ceros o deducciones en PEGAR."&amp;CHAR(10),"")))</f>
      </c>
      <c r="K43" s="0">
        <f>IF(31&gt;'RESUMEN'!$E$6,"",MATCH(31,'PEGAR'!$W$13:$W$512,0))</f>
      </c>
      <c r="L43" s="0">
        <f>IF(K43="","",INDEX('PEGAR'!$R$13:$R$512,K43))</f>
      </c>
      <c r="M43" s="0">
        <f>IF(B43="","",COUNTIFS('PEGAR'!$O$13:$O$512,B43,'PEGAR'!$P$13:$P$512,"DIMENSIONES")+COUNTIFS('PEGAR'!$O$13:$O$512,B43,'PEGAR'!$P$13:$P$512,"DIRECTA"))</f>
      </c>
      <c r="N43" s="0">
        <f>IF(B43="","",COUNTIFS('PEGAR'!$O$13:$O$512,B43,'PEGAR'!$X$13:$X$512,2))</f>
      </c>
      <c r="O43" s="0">
        <f>IF(B43="","",COUNTIFS('PEGAR'!$O$13:$O$512,B43,'PEGAR'!$P$13:$P$512,"SIN LÍNEAS"))</f>
      </c>
      <c r="P43" s="0">
        <f>IF(B43="","",SUMIFS('PEGAR'!$Y$13:$Y$512,'PEGAR'!$O$13:$O$512,B43))</f>
      </c>
      <c r="Q43" s="0">
        <f>IF(B43="","",SUMIFS('PEGAR'!$Z$13:$Z$512,'PEGAR'!$O$13:$O$512,B43))</f>
      </c>
      <c r="R43" s="0" t="n">
        <f>IF(OR(B43="",D43=""),0,SUMPRODUCT(--($B$13:$B$512&lt;&gt;""),--($D$13:$D$512=D43),--($C$13:$C$512=C43))-1)</f>
        <v>0</v>
      </c>
      <c r="S43" s="0" t="n">
        <f>IF(OR(B43="",D43=""),0,SUMPRODUCT(--($B$13:$B$512&lt;&gt;""),--($D$13:$D$512=D43),--($C$13:$C$512&lt;&gt;C43)))</f>
        <v>0</v>
      </c>
      <c r="T43" s="0" t="n">
        <f>IF(OR(B43="",D43=""),0,SUMPRODUCT(--($B$13:$B$512&lt;&gt;""),--($D$13:$D$512=D43),--($E$13:$E$512&lt;&gt;E43)))</f>
        <v>0</v>
      </c>
      <c r="U43" s="0" t="n">
        <f>IF(B43="",0,IF(SUMPRODUCT(--('LÉEME'!$C$65:$C$86=E43))=0,1,0))</f>
        <v>0</v>
      </c>
      <c r="V43" s="0">
        <f>IF(B43="","",SUMIFS('PEGAR'!$AA$13:$AA$512,'PEGAR'!$O$13:$O$512,B43))</f>
      </c>
      <c r="W43" s="0">
        <f>IF(B43="","",IF(OR(L43=0,N43&gt;0,T43&gt;0,IF(ISNUMBER(H43),ROUND(ABS(H43),8)&gt;$F$6,FALSE)),2,IF(OR(M43=0,O43&gt;0,P43&gt;0,Q43&gt;0,R43&gt;0,S43&gt;0,U43&gt;0,V43&gt;0),1,0)))</f>
      </c>
      <c r="X43" s="0">
        <f>IF(B43="","",IF(ISNUMBER(G43),1,0))</f>
      </c>
      <c r="AB43" s="0">
        <f>IF(AND(ISNUMBER(W43),W43&gt;0),"ID "&amp;B43,"")</f>
      </c>
      <c r="AC43" s="0">
        <f>IF(AND(ISNUMBER(W43),W43&gt;0),C43,"")</f>
      </c>
      <c r="AD43" s="0">
        <f>IF(AND(ISNUMBER(W43),W43&gt;0),D43,"")</f>
      </c>
      <c r="AE43" s="0">
        <f>IF(AND(ISNUMBER(W43),W43&gt;0),IF(INDEX('PEGAR'!$D$13:$D$512,IF(L43&gt;0,L43,K43))="","Sin descripción",INDEX('PEGAR'!$D$13:$D$512,IF(L43&gt;0,L43,K43))),"")</f>
      </c>
      <c r="AF43" s="0">
        <f>IF(AND(ISNUMBER(W43),W43&gt;0),J43,"")</f>
      </c>
      <c r="AG43" s="0" t="n">
        <f>IF(AND(ISNUMBER(W43),W43&gt;0),W43,0)</f>
        <v>0</v>
      </c>
      <c r="AH43" s="0">
        <f>IF(AG43&gt;0,COUNTIFS($AG$13:AG43,"&gt;0"),"")</f>
      </c>
    </row>
    <row r="44" ht="22" customHeight="1">
      <c r="B44" s="27">
        <f>IF(K44="","",INDEX('PEGAR'!$O$13:$O$512,K44))</f>
      </c>
      <c r="C44" s="30">
        <f>IF(B44="","",IF(LEN(TRIM(INDEX('PEGAR'!$B$13:$B$512,IF(L44&gt;0,L44,K44))&amp;""))=0,"Sin capítulo",TRIM(INDEX('PEGAR'!$B$13:$B$512,IF(L44&gt;0,L44,K44))&amp;"")))</f>
      </c>
      <c r="D44" s="27">
        <f>IF(B44="","",IF(LEN(TRIM(INDEX('PEGAR'!$C$13:$C$512,IF(L44&gt;0,L44,K44))&amp;""))=0,"",TRIM(INDEX('PEGAR'!$C$13:$C$512,IF(L44&gt;0,L44,K44))&amp;"")))</f>
      </c>
      <c r="E44" s="27">
        <f>IF(B44="","",INDEX('PEGAR'!$S$13:$S$512,IF(L44&gt;0,L44,K44)))</f>
      </c>
      <c r="F44" s="39">
        <f>IF(B44="","",IF(L44&gt;0,INDEX('PEGAR'!$F$13:$F$512,L44),""))</f>
      </c>
      <c r="G44" s="39">
        <f>IF(B44="","",IF(OR(M44=0,N44&gt;0,O44&gt;0),"",SUMIFS('PEGAR'!$M$13:$M$512,'PEGAR'!$O$13:$O$512,B44)))</f>
      </c>
      <c r="H44" s="39">
        <f>IF(AND(ISNUMBER(F44),ISNUMBER(G44)),G44-F44,"")</f>
      </c>
      <c r="I44" s="27">
        <f>IF(B44="","",IF(W44=2,"ROJO",IF(W44=1,"ÁMBAR","VERDE")))</f>
      </c>
      <c r="J44" s="30">
        <f>IF(B44="","",IF(W44=0,"Sin avisos numéricos. Revisamos el alcance aparte.",IF(L44=0,"Faltan datos completos de partida; no elegimos un total por suposición."&amp;CHAR(10),"")&amp;IF(N44&gt;0,"Hay filas incompletas o contradictorias; las revisamos en PEGAR."&amp;CHAR(10),"")&amp;IF(O44&gt;0,"Faltan las medidas de alguna fila; no cerramos la suma."&amp;CHAR(10),"")&amp;IF(M44=0,"No constan líneas de medición."&amp;CHAR(10),"")&amp;IF(IF(ISNUMBER(H44),ROUND(ABS(H44),8)&gt;$F$6,FALSE),"Las líneas difieren del total en más de 0,01; confirmamos cantidad o exclusión."&amp;CHAR(10),"")&amp;IF(P44&gt;0,"Parece m³: encontramos tres dimensiones bajo m²."&amp;CHAR(10),"")&amp;IF(R44&gt;0,"Código repetido dentro del capítulo; mantenemos sus ID separados."&amp;CHAR(10),"")&amp;IF(S44&gt;0,"Código repetido en otro capítulo; no unimos las partidas."&amp;CHAR(10),"")&amp;IF(T44&gt;0,"Mismo código con unidades distintas; pedimos aclaración."&amp;CHAR(10),"")&amp;IF(Q44&gt;0,"Hay más precisión que los decimales indicados; cotejamos el formato original."&amp;CHAR(10),"")&amp;IF(U44&gt;0,"Unidad sin normalizar; cotejamos su significado antes de sumar unidades."&amp;CHAR(10),"")&amp;IF(V44&gt;0,"Revisamos dimensiones, cantidades directas, ceros o deducciones en PEGAR."&amp;CHAR(10),"")))</f>
      </c>
      <c r="K44" s="0">
        <f>IF(32&gt;'RESUMEN'!$E$6,"",MATCH(32,'PEGAR'!$W$13:$W$512,0))</f>
      </c>
      <c r="L44" s="0">
        <f>IF(K44="","",INDEX('PEGAR'!$R$13:$R$512,K44))</f>
      </c>
      <c r="M44" s="0">
        <f>IF(B44="","",COUNTIFS('PEGAR'!$O$13:$O$512,B44,'PEGAR'!$P$13:$P$512,"DIMENSIONES")+COUNTIFS('PEGAR'!$O$13:$O$512,B44,'PEGAR'!$P$13:$P$512,"DIRECTA"))</f>
      </c>
      <c r="N44" s="0">
        <f>IF(B44="","",COUNTIFS('PEGAR'!$O$13:$O$512,B44,'PEGAR'!$X$13:$X$512,2))</f>
      </c>
      <c r="O44" s="0">
        <f>IF(B44="","",COUNTIFS('PEGAR'!$O$13:$O$512,B44,'PEGAR'!$P$13:$P$512,"SIN LÍNEAS"))</f>
      </c>
      <c r="P44" s="0">
        <f>IF(B44="","",SUMIFS('PEGAR'!$Y$13:$Y$512,'PEGAR'!$O$13:$O$512,B44))</f>
      </c>
      <c r="Q44" s="0">
        <f>IF(B44="","",SUMIFS('PEGAR'!$Z$13:$Z$512,'PEGAR'!$O$13:$O$512,B44))</f>
      </c>
      <c r="R44" s="0" t="n">
        <f>IF(OR(B44="",D44=""),0,SUMPRODUCT(--($B$13:$B$512&lt;&gt;""),--($D$13:$D$512=D44),--($C$13:$C$512=C44))-1)</f>
        <v>0</v>
      </c>
      <c r="S44" s="0" t="n">
        <f>IF(OR(B44="",D44=""),0,SUMPRODUCT(--($B$13:$B$512&lt;&gt;""),--($D$13:$D$512=D44),--($C$13:$C$512&lt;&gt;C44)))</f>
        <v>0</v>
      </c>
      <c r="T44" s="0" t="n">
        <f>IF(OR(B44="",D44=""),0,SUMPRODUCT(--($B$13:$B$512&lt;&gt;""),--($D$13:$D$512=D44),--($E$13:$E$512&lt;&gt;E44)))</f>
        <v>0</v>
      </c>
      <c r="U44" s="0" t="n">
        <f>IF(B44="",0,IF(SUMPRODUCT(--('LÉEME'!$C$65:$C$86=E44))=0,1,0))</f>
        <v>0</v>
      </c>
      <c r="V44" s="0">
        <f>IF(B44="","",SUMIFS('PEGAR'!$AA$13:$AA$512,'PEGAR'!$O$13:$O$512,B44))</f>
      </c>
      <c r="W44" s="0">
        <f>IF(B44="","",IF(OR(L44=0,N44&gt;0,T44&gt;0,IF(ISNUMBER(H44),ROUND(ABS(H44),8)&gt;$F$6,FALSE)),2,IF(OR(M44=0,O44&gt;0,P44&gt;0,Q44&gt;0,R44&gt;0,S44&gt;0,U44&gt;0,V44&gt;0),1,0)))</f>
      </c>
      <c r="X44" s="0">
        <f>IF(B44="","",IF(ISNUMBER(G44),1,0))</f>
      </c>
      <c r="AB44" s="0">
        <f>IF(AND(ISNUMBER(W44),W44&gt;0),"ID "&amp;B44,"")</f>
      </c>
      <c r="AC44" s="0">
        <f>IF(AND(ISNUMBER(W44),W44&gt;0),C44,"")</f>
      </c>
      <c r="AD44" s="0">
        <f>IF(AND(ISNUMBER(W44),W44&gt;0),D44,"")</f>
      </c>
      <c r="AE44" s="0">
        <f>IF(AND(ISNUMBER(W44),W44&gt;0),IF(INDEX('PEGAR'!$D$13:$D$512,IF(L44&gt;0,L44,K44))="","Sin descripción",INDEX('PEGAR'!$D$13:$D$512,IF(L44&gt;0,L44,K44))),"")</f>
      </c>
      <c r="AF44" s="0">
        <f>IF(AND(ISNUMBER(W44),W44&gt;0),J44,"")</f>
      </c>
      <c r="AG44" s="0" t="n">
        <f>IF(AND(ISNUMBER(W44),W44&gt;0),W44,0)</f>
        <v>0</v>
      </c>
      <c r="AH44" s="0">
        <f>IF(AG44&gt;0,COUNTIFS($AG$13:AG44,"&gt;0"),"")</f>
      </c>
    </row>
    <row r="45" ht="22" customHeight="1">
      <c r="B45" s="27">
        <f>IF(K45="","",INDEX('PEGAR'!$O$13:$O$512,K45))</f>
      </c>
      <c r="C45" s="30">
        <f>IF(B45="","",IF(LEN(TRIM(INDEX('PEGAR'!$B$13:$B$512,IF(L45&gt;0,L45,K45))&amp;""))=0,"Sin capítulo",TRIM(INDEX('PEGAR'!$B$13:$B$512,IF(L45&gt;0,L45,K45))&amp;"")))</f>
      </c>
      <c r="D45" s="27">
        <f>IF(B45="","",IF(LEN(TRIM(INDEX('PEGAR'!$C$13:$C$512,IF(L45&gt;0,L45,K45))&amp;""))=0,"",TRIM(INDEX('PEGAR'!$C$13:$C$512,IF(L45&gt;0,L45,K45))&amp;"")))</f>
      </c>
      <c r="E45" s="27">
        <f>IF(B45="","",INDEX('PEGAR'!$S$13:$S$512,IF(L45&gt;0,L45,K45)))</f>
      </c>
      <c r="F45" s="39">
        <f>IF(B45="","",IF(L45&gt;0,INDEX('PEGAR'!$F$13:$F$512,L45),""))</f>
      </c>
      <c r="G45" s="39">
        <f>IF(B45="","",IF(OR(M45=0,N45&gt;0,O45&gt;0),"",SUMIFS('PEGAR'!$M$13:$M$512,'PEGAR'!$O$13:$O$512,B45)))</f>
      </c>
      <c r="H45" s="39">
        <f>IF(AND(ISNUMBER(F45),ISNUMBER(G45)),G45-F45,"")</f>
      </c>
      <c r="I45" s="27">
        <f>IF(B45="","",IF(W45=2,"ROJO",IF(W45=1,"ÁMBAR","VERDE")))</f>
      </c>
      <c r="J45" s="30">
        <f>IF(B45="","",IF(W45=0,"Sin avisos numéricos. Revisamos el alcance aparte.",IF(L45=0,"Faltan datos completos de partida; no elegimos un total por suposición."&amp;CHAR(10),"")&amp;IF(N45&gt;0,"Hay filas incompletas o contradictorias; las revisamos en PEGAR."&amp;CHAR(10),"")&amp;IF(O45&gt;0,"Faltan las medidas de alguna fila; no cerramos la suma."&amp;CHAR(10),"")&amp;IF(M45=0,"No constan líneas de medición."&amp;CHAR(10),"")&amp;IF(IF(ISNUMBER(H45),ROUND(ABS(H45),8)&gt;$F$6,FALSE),"Las líneas difieren del total en más de 0,01; confirmamos cantidad o exclusión."&amp;CHAR(10),"")&amp;IF(P45&gt;0,"Parece m³: encontramos tres dimensiones bajo m²."&amp;CHAR(10),"")&amp;IF(R45&gt;0,"Código repetido dentro del capítulo; mantenemos sus ID separados."&amp;CHAR(10),"")&amp;IF(S45&gt;0,"Código repetido en otro capítulo; no unimos las partidas."&amp;CHAR(10),"")&amp;IF(T45&gt;0,"Mismo código con unidades distintas; pedimos aclaración."&amp;CHAR(10),"")&amp;IF(Q45&gt;0,"Hay más precisión que los decimales indicados; cotejamos el formato original."&amp;CHAR(10),"")&amp;IF(U45&gt;0,"Unidad sin normalizar; cotejamos su significado antes de sumar unidades."&amp;CHAR(10),"")&amp;IF(V45&gt;0,"Revisamos dimensiones, cantidades directas, ceros o deducciones en PEGAR."&amp;CHAR(10),"")))</f>
      </c>
      <c r="K45" s="0">
        <f>IF(33&gt;'RESUMEN'!$E$6,"",MATCH(33,'PEGAR'!$W$13:$W$512,0))</f>
      </c>
      <c r="L45" s="0">
        <f>IF(K45="","",INDEX('PEGAR'!$R$13:$R$512,K45))</f>
      </c>
      <c r="M45" s="0">
        <f>IF(B45="","",COUNTIFS('PEGAR'!$O$13:$O$512,B45,'PEGAR'!$P$13:$P$512,"DIMENSIONES")+COUNTIFS('PEGAR'!$O$13:$O$512,B45,'PEGAR'!$P$13:$P$512,"DIRECTA"))</f>
      </c>
      <c r="N45" s="0">
        <f>IF(B45="","",COUNTIFS('PEGAR'!$O$13:$O$512,B45,'PEGAR'!$X$13:$X$512,2))</f>
      </c>
      <c r="O45" s="0">
        <f>IF(B45="","",COUNTIFS('PEGAR'!$O$13:$O$512,B45,'PEGAR'!$P$13:$P$512,"SIN LÍNEAS"))</f>
      </c>
      <c r="P45" s="0">
        <f>IF(B45="","",SUMIFS('PEGAR'!$Y$13:$Y$512,'PEGAR'!$O$13:$O$512,B45))</f>
      </c>
      <c r="Q45" s="0">
        <f>IF(B45="","",SUMIFS('PEGAR'!$Z$13:$Z$512,'PEGAR'!$O$13:$O$512,B45))</f>
      </c>
      <c r="R45" s="0" t="n">
        <f>IF(OR(B45="",D45=""),0,SUMPRODUCT(--($B$13:$B$512&lt;&gt;""),--($D$13:$D$512=D45),--($C$13:$C$512=C45))-1)</f>
        <v>0</v>
      </c>
      <c r="S45" s="0" t="n">
        <f>IF(OR(B45="",D45=""),0,SUMPRODUCT(--($B$13:$B$512&lt;&gt;""),--($D$13:$D$512=D45),--($C$13:$C$512&lt;&gt;C45)))</f>
        <v>0</v>
      </c>
      <c r="T45" s="0" t="n">
        <f>IF(OR(B45="",D45=""),0,SUMPRODUCT(--($B$13:$B$512&lt;&gt;""),--($D$13:$D$512=D45),--($E$13:$E$512&lt;&gt;E45)))</f>
        <v>0</v>
      </c>
      <c r="U45" s="0" t="n">
        <f>IF(B45="",0,IF(SUMPRODUCT(--('LÉEME'!$C$65:$C$86=E45))=0,1,0))</f>
        <v>0</v>
      </c>
      <c r="V45" s="0">
        <f>IF(B45="","",SUMIFS('PEGAR'!$AA$13:$AA$512,'PEGAR'!$O$13:$O$512,B45))</f>
      </c>
      <c r="W45" s="0">
        <f>IF(B45="","",IF(OR(L45=0,N45&gt;0,T45&gt;0,IF(ISNUMBER(H45),ROUND(ABS(H45),8)&gt;$F$6,FALSE)),2,IF(OR(M45=0,O45&gt;0,P45&gt;0,Q45&gt;0,R45&gt;0,S45&gt;0,U45&gt;0,V45&gt;0),1,0)))</f>
      </c>
      <c r="X45" s="0">
        <f>IF(B45="","",IF(ISNUMBER(G45),1,0))</f>
      </c>
      <c r="AB45" s="0">
        <f>IF(AND(ISNUMBER(W45),W45&gt;0),"ID "&amp;B45,"")</f>
      </c>
      <c r="AC45" s="0">
        <f>IF(AND(ISNUMBER(W45),W45&gt;0),C45,"")</f>
      </c>
      <c r="AD45" s="0">
        <f>IF(AND(ISNUMBER(W45),W45&gt;0),D45,"")</f>
      </c>
      <c r="AE45" s="0">
        <f>IF(AND(ISNUMBER(W45),W45&gt;0),IF(INDEX('PEGAR'!$D$13:$D$512,IF(L45&gt;0,L45,K45))="","Sin descripción",INDEX('PEGAR'!$D$13:$D$512,IF(L45&gt;0,L45,K45))),"")</f>
      </c>
      <c r="AF45" s="0">
        <f>IF(AND(ISNUMBER(W45),W45&gt;0),J45,"")</f>
      </c>
      <c r="AG45" s="0" t="n">
        <f>IF(AND(ISNUMBER(W45),W45&gt;0),W45,0)</f>
        <v>0</v>
      </c>
      <c r="AH45" s="0">
        <f>IF(AG45&gt;0,COUNTIFS($AG$13:AG45,"&gt;0"),"")</f>
      </c>
    </row>
    <row r="46" ht="22" customHeight="1">
      <c r="B46" s="27">
        <f>IF(K46="","",INDEX('PEGAR'!$O$13:$O$512,K46))</f>
      </c>
      <c r="C46" s="30">
        <f>IF(B46="","",IF(LEN(TRIM(INDEX('PEGAR'!$B$13:$B$512,IF(L46&gt;0,L46,K46))&amp;""))=0,"Sin capítulo",TRIM(INDEX('PEGAR'!$B$13:$B$512,IF(L46&gt;0,L46,K46))&amp;"")))</f>
      </c>
      <c r="D46" s="27">
        <f>IF(B46="","",IF(LEN(TRIM(INDEX('PEGAR'!$C$13:$C$512,IF(L46&gt;0,L46,K46))&amp;""))=0,"",TRIM(INDEX('PEGAR'!$C$13:$C$512,IF(L46&gt;0,L46,K46))&amp;"")))</f>
      </c>
      <c r="E46" s="27">
        <f>IF(B46="","",INDEX('PEGAR'!$S$13:$S$512,IF(L46&gt;0,L46,K46)))</f>
      </c>
      <c r="F46" s="39">
        <f>IF(B46="","",IF(L46&gt;0,INDEX('PEGAR'!$F$13:$F$512,L46),""))</f>
      </c>
      <c r="G46" s="39">
        <f>IF(B46="","",IF(OR(M46=0,N46&gt;0,O46&gt;0),"",SUMIFS('PEGAR'!$M$13:$M$512,'PEGAR'!$O$13:$O$512,B46)))</f>
      </c>
      <c r="H46" s="39">
        <f>IF(AND(ISNUMBER(F46),ISNUMBER(G46)),G46-F46,"")</f>
      </c>
      <c r="I46" s="27">
        <f>IF(B46="","",IF(W46=2,"ROJO",IF(W46=1,"ÁMBAR","VERDE")))</f>
      </c>
      <c r="J46" s="30">
        <f>IF(B46="","",IF(W46=0,"Sin avisos numéricos. Revisamos el alcance aparte.",IF(L46=0,"Faltan datos completos de partida; no elegimos un total por suposición."&amp;CHAR(10),"")&amp;IF(N46&gt;0,"Hay filas incompletas o contradictorias; las revisamos en PEGAR."&amp;CHAR(10),"")&amp;IF(O46&gt;0,"Faltan las medidas de alguna fila; no cerramos la suma."&amp;CHAR(10),"")&amp;IF(M46=0,"No constan líneas de medición."&amp;CHAR(10),"")&amp;IF(IF(ISNUMBER(H46),ROUND(ABS(H46),8)&gt;$F$6,FALSE),"Las líneas difieren del total en más de 0,01; confirmamos cantidad o exclusión."&amp;CHAR(10),"")&amp;IF(P46&gt;0,"Parece m³: encontramos tres dimensiones bajo m²."&amp;CHAR(10),"")&amp;IF(R46&gt;0,"Código repetido dentro del capítulo; mantenemos sus ID separados."&amp;CHAR(10),"")&amp;IF(S46&gt;0,"Código repetido en otro capítulo; no unimos las partidas."&amp;CHAR(10),"")&amp;IF(T46&gt;0,"Mismo código con unidades distintas; pedimos aclaración."&amp;CHAR(10),"")&amp;IF(Q46&gt;0,"Hay más precisión que los decimales indicados; cotejamos el formato original."&amp;CHAR(10),"")&amp;IF(U46&gt;0,"Unidad sin normalizar; cotejamos su significado antes de sumar unidades."&amp;CHAR(10),"")&amp;IF(V46&gt;0,"Revisamos dimensiones, cantidades directas, ceros o deducciones en PEGAR."&amp;CHAR(10),"")))</f>
      </c>
      <c r="K46" s="0">
        <f>IF(34&gt;'RESUMEN'!$E$6,"",MATCH(34,'PEGAR'!$W$13:$W$512,0))</f>
      </c>
      <c r="L46" s="0">
        <f>IF(K46="","",INDEX('PEGAR'!$R$13:$R$512,K46))</f>
      </c>
      <c r="M46" s="0">
        <f>IF(B46="","",COUNTIFS('PEGAR'!$O$13:$O$512,B46,'PEGAR'!$P$13:$P$512,"DIMENSIONES")+COUNTIFS('PEGAR'!$O$13:$O$512,B46,'PEGAR'!$P$13:$P$512,"DIRECTA"))</f>
      </c>
      <c r="N46" s="0">
        <f>IF(B46="","",COUNTIFS('PEGAR'!$O$13:$O$512,B46,'PEGAR'!$X$13:$X$512,2))</f>
      </c>
      <c r="O46" s="0">
        <f>IF(B46="","",COUNTIFS('PEGAR'!$O$13:$O$512,B46,'PEGAR'!$P$13:$P$512,"SIN LÍNEAS"))</f>
      </c>
      <c r="P46" s="0">
        <f>IF(B46="","",SUMIFS('PEGAR'!$Y$13:$Y$512,'PEGAR'!$O$13:$O$512,B46))</f>
      </c>
      <c r="Q46" s="0">
        <f>IF(B46="","",SUMIFS('PEGAR'!$Z$13:$Z$512,'PEGAR'!$O$13:$O$512,B46))</f>
      </c>
      <c r="R46" s="0" t="n">
        <f>IF(OR(B46="",D46=""),0,SUMPRODUCT(--($B$13:$B$512&lt;&gt;""),--($D$13:$D$512=D46),--($C$13:$C$512=C46))-1)</f>
        <v>0</v>
      </c>
      <c r="S46" s="0" t="n">
        <f>IF(OR(B46="",D46=""),0,SUMPRODUCT(--($B$13:$B$512&lt;&gt;""),--($D$13:$D$512=D46),--($C$13:$C$512&lt;&gt;C46)))</f>
        <v>0</v>
      </c>
      <c r="T46" s="0" t="n">
        <f>IF(OR(B46="",D46=""),0,SUMPRODUCT(--($B$13:$B$512&lt;&gt;""),--($D$13:$D$512=D46),--($E$13:$E$512&lt;&gt;E46)))</f>
        <v>0</v>
      </c>
      <c r="U46" s="0" t="n">
        <f>IF(B46="",0,IF(SUMPRODUCT(--('LÉEME'!$C$65:$C$86=E46))=0,1,0))</f>
        <v>0</v>
      </c>
      <c r="V46" s="0">
        <f>IF(B46="","",SUMIFS('PEGAR'!$AA$13:$AA$512,'PEGAR'!$O$13:$O$512,B46))</f>
      </c>
      <c r="W46" s="0">
        <f>IF(B46="","",IF(OR(L46=0,N46&gt;0,T46&gt;0,IF(ISNUMBER(H46),ROUND(ABS(H46),8)&gt;$F$6,FALSE)),2,IF(OR(M46=0,O46&gt;0,P46&gt;0,Q46&gt;0,R46&gt;0,S46&gt;0,U46&gt;0,V46&gt;0),1,0)))</f>
      </c>
      <c r="X46" s="0">
        <f>IF(B46="","",IF(ISNUMBER(G46),1,0))</f>
      </c>
      <c r="AB46" s="0">
        <f>IF(AND(ISNUMBER(W46),W46&gt;0),"ID "&amp;B46,"")</f>
      </c>
      <c r="AC46" s="0">
        <f>IF(AND(ISNUMBER(W46),W46&gt;0),C46,"")</f>
      </c>
      <c r="AD46" s="0">
        <f>IF(AND(ISNUMBER(W46),W46&gt;0),D46,"")</f>
      </c>
      <c r="AE46" s="0">
        <f>IF(AND(ISNUMBER(W46),W46&gt;0),IF(INDEX('PEGAR'!$D$13:$D$512,IF(L46&gt;0,L46,K46))="","Sin descripción",INDEX('PEGAR'!$D$13:$D$512,IF(L46&gt;0,L46,K46))),"")</f>
      </c>
      <c r="AF46" s="0">
        <f>IF(AND(ISNUMBER(W46),W46&gt;0),J46,"")</f>
      </c>
      <c r="AG46" s="0" t="n">
        <f>IF(AND(ISNUMBER(W46),W46&gt;0),W46,0)</f>
        <v>0</v>
      </c>
      <c r="AH46" s="0">
        <f>IF(AG46&gt;0,COUNTIFS($AG$13:AG46,"&gt;0"),"")</f>
      </c>
    </row>
    <row r="47" ht="22" customHeight="1">
      <c r="B47" s="27">
        <f>IF(K47="","",INDEX('PEGAR'!$O$13:$O$512,K47))</f>
      </c>
      <c r="C47" s="30">
        <f>IF(B47="","",IF(LEN(TRIM(INDEX('PEGAR'!$B$13:$B$512,IF(L47&gt;0,L47,K47))&amp;""))=0,"Sin capítulo",TRIM(INDEX('PEGAR'!$B$13:$B$512,IF(L47&gt;0,L47,K47))&amp;"")))</f>
      </c>
      <c r="D47" s="27">
        <f>IF(B47="","",IF(LEN(TRIM(INDEX('PEGAR'!$C$13:$C$512,IF(L47&gt;0,L47,K47))&amp;""))=0,"",TRIM(INDEX('PEGAR'!$C$13:$C$512,IF(L47&gt;0,L47,K47))&amp;"")))</f>
      </c>
      <c r="E47" s="27">
        <f>IF(B47="","",INDEX('PEGAR'!$S$13:$S$512,IF(L47&gt;0,L47,K47)))</f>
      </c>
      <c r="F47" s="39">
        <f>IF(B47="","",IF(L47&gt;0,INDEX('PEGAR'!$F$13:$F$512,L47),""))</f>
      </c>
      <c r="G47" s="39">
        <f>IF(B47="","",IF(OR(M47=0,N47&gt;0,O47&gt;0),"",SUMIFS('PEGAR'!$M$13:$M$512,'PEGAR'!$O$13:$O$512,B47)))</f>
      </c>
      <c r="H47" s="39">
        <f>IF(AND(ISNUMBER(F47),ISNUMBER(G47)),G47-F47,"")</f>
      </c>
      <c r="I47" s="27">
        <f>IF(B47="","",IF(W47=2,"ROJO",IF(W47=1,"ÁMBAR","VERDE")))</f>
      </c>
      <c r="J47" s="30">
        <f>IF(B47="","",IF(W47=0,"Sin avisos numéricos. Revisamos el alcance aparte.",IF(L47=0,"Faltan datos completos de partida; no elegimos un total por suposición."&amp;CHAR(10),"")&amp;IF(N47&gt;0,"Hay filas incompletas o contradictorias; las revisamos en PEGAR."&amp;CHAR(10),"")&amp;IF(O47&gt;0,"Faltan las medidas de alguna fila; no cerramos la suma."&amp;CHAR(10),"")&amp;IF(M47=0,"No constan líneas de medición."&amp;CHAR(10),"")&amp;IF(IF(ISNUMBER(H47),ROUND(ABS(H47),8)&gt;$F$6,FALSE),"Las líneas difieren del total en más de 0,01; confirmamos cantidad o exclusión."&amp;CHAR(10),"")&amp;IF(P47&gt;0,"Parece m³: encontramos tres dimensiones bajo m²."&amp;CHAR(10),"")&amp;IF(R47&gt;0,"Código repetido dentro del capítulo; mantenemos sus ID separados."&amp;CHAR(10),"")&amp;IF(S47&gt;0,"Código repetido en otro capítulo; no unimos las partidas."&amp;CHAR(10),"")&amp;IF(T47&gt;0,"Mismo código con unidades distintas; pedimos aclaración."&amp;CHAR(10),"")&amp;IF(Q47&gt;0,"Hay más precisión que los decimales indicados; cotejamos el formato original."&amp;CHAR(10),"")&amp;IF(U47&gt;0,"Unidad sin normalizar; cotejamos su significado antes de sumar unidades."&amp;CHAR(10),"")&amp;IF(V47&gt;0,"Revisamos dimensiones, cantidades directas, ceros o deducciones en PEGAR."&amp;CHAR(10),"")))</f>
      </c>
      <c r="K47" s="0">
        <f>IF(35&gt;'RESUMEN'!$E$6,"",MATCH(35,'PEGAR'!$W$13:$W$512,0))</f>
      </c>
      <c r="L47" s="0">
        <f>IF(K47="","",INDEX('PEGAR'!$R$13:$R$512,K47))</f>
      </c>
      <c r="M47" s="0">
        <f>IF(B47="","",COUNTIFS('PEGAR'!$O$13:$O$512,B47,'PEGAR'!$P$13:$P$512,"DIMENSIONES")+COUNTIFS('PEGAR'!$O$13:$O$512,B47,'PEGAR'!$P$13:$P$512,"DIRECTA"))</f>
      </c>
      <c r="N47" s="0">
        <f>IF(B47="","",COUNTIFS('PEGAR'!$O$13:$O$512,B47,'PEGAR'!$X$13:$X$512,2))</f>
      </c>
      <c r="O47" s="0">
        <f>IF(B47="","",COUNTIFS('PEGAR'!$O$13:$O$512,B47,'PEGAR'!$P$13:$P$512,"SIN LÍNEAS"))</f>
      </c>
      <c r="P47" s="0">
        <f>IF(B47="","",SUMIFS('PEGAR'!$Y$13:$Y$512,'PEGAR'!$O$13:$O$512,B47))</f>
      </c>
      <c r="Q47" s="0">
        <f>IF(B47="","",SUMIFS('PEGAR'!$Z$13:$Z$512,'PEGAR'!$O$13:$O$512,B47))</f>
      </c>
      <c r="R47" s="0" t="n">
        <f>IF(OR(B47="",D47=""),0,SUMPRODUCT(--($B$13:$B$512&lt;&gt;""),--($D$13:$D$512=D47),--($C$13:$C$512=C47))-1)</f>
        <v>0</v>
      </c>
      <c r="S47" s="0" t="n">
        <f>IF(OR(B47="",D47=""),0,SUMPRODUCT(--($B$13:$B$512&lt;&gt;""),--($D$13:$D$512=D47),--($C$13:$C$512&lt;&gt;C47)))</f>
        <v>0</v>
      </c>
      <c r="T47" s="0" t="n">
        <f>IF(OR(B47="",D47=""),0,SUMPRODUCT(--($B$13:$B$512&lt;&gt;""),--($D$13:$D$512=D47),--($E$13:$E$512&lt;&gt;E47)))</f>
        <v>0</v>
      </c>
      <c r="U47" s="0" t="n">
        <f>IF(B47="",0,IF(SUMPRODUCT(--('LÉEME'!$C$65:$C$86=E47))=0,1,0))</f>
        <v>0</v>
      </c>
      <c r="V47" s="0">
        <f>IF(B47="","",SUMIFS('PEGAR'!$AA$13:$AA$512,'PEGAR'!$O$13:$O$512,B47))</f>
      </c>
      <c r="W47" s="0">
        <f>IF(B47="","",IF(OR(L47=0,N47&gt;0,T47&gt;0,IF(ISNUMBER(H47),ROUND(ABS(H47),8)&gt;$F$6,FALSE)),2,IF(OR(M47=0,O47&gt;0,P47&gt;0,Q47&gt;0,R47&gt;0,S47&gt;0,U47&gt;0,V47&gt;0),1,0)))</f>
      </c>
      <c r="X47" s="0">
        <f>IF(B47="","",IF(ISNUMBER(G47),1,0))</f>
      </c>
      <c r="AB47" s="0">
        <f>IF(AND(ISNUMBER(W47),W47&gt;0),"ID "&amp;B47,"")</f>
      </c>
      <c r="AC47" s="0">
        <f>IF(AND(ISNUMBER(W47),W47&gt;0),C47,"")</f>
      </c>
      <c r="AD47" s="0">
        <f>IF(AND(ISNUMBER(W47),W47&gt;0),D47,"")</f>
      </c>
      <c r="AE47" s="0">
        <f>IF(AND(ISNUMBER(W47),W47&gt;0),IF(INDEX('PEGAR'!$D$13:$D$512,IF(L47&gt;0,L47,K47))="","Sin descripción",INDEX('PEGAR'!$D$13:$D$512,IF(L47&gt;0,L47,K47))),"")</f>
      </c>
      <c r="AF47" s="0">
        <f>IF(AND(ISNUMBER(W47),W47&gt;0),J47,"")</f>
      </c>
      <c r="AG47" s="0" t="n">
        <f>IF(AND(ISNUMBER(W47),W47&gt;0),W47,0)</f>
        <v>0</v>
      </c>
      <c r="AH47" s="0">
        <f>IF(AG47&gt;0,COUNTIFS($AG$13:AG47,"&gt;0"),"")</f>
      </c>
    </row>
    <row r="48" ht="22" customHeight="1">
      <c r="B48" s="27">
        <f>IF(K48="","",INDEX('PEGAR'!$O$13:$O$512,K48))</f>
      </c>
      <c r="C48" s="30">
        <f>IF(B48="","",IF(LEN(TRIM(INDEX('PEGAR'!$B$13:$B$512,IF(L48&gt;0,L48,K48))&amp;""))=0,"Sin capítulo",TRIM(INDEX('PEGAR'!$B$13:$B$512,IF(L48&gt;0,L48,K48))&amp;"")))</f>
      </c>
      <c r="D48" s="27">
        <f>IF(B48="","",IF(LEN(TRIM(INDEX('PEGAR'!$C$13:$C$512,IF(L48&gt;0,L48,K48))&amp;""))=0,"",TRIM(INDEX('PEGAR'!$C$13:$C$512,IF(L48&gt;0,L48,K48))&amp;"")))</f>
      </c>
      <c r="E48" s="27">
        <f>IF(B48="","",INDEX('PEGAR'!$S$13:$S$512,IF(L48&gt;0,L48,K48)))</f>
      </c>
      <c r="F48" s="39">
        <f>IF(B48="","",IF(L48&gt;0,INDEX('PEGAR'!$F$13:$F$512,L48),""))</f>
      </c>
      <c r="G48" s="39">
        <f>IF(B48="","",IF(OR(M48=0,N48&gt;0,O48&gt;0),"",SUMIFS('PEGAR'!$M$13:$M$512,'PEGAR'!$O$13:$O$512,B48)))</f>
      </c>
      <c r="H48" s="39">
        <f>IF(AND(ISNUMBER(F48),ISNUMBER(G48)),G48-F48,"")</f>
      </c>
      <c r="I48" s="27">
        <f>IF(B48="","",IF(W48=2,"ROJO",IF(W48=1,"ÁMBAR","VERDE")))</f>
      </c>
      <c r="J48" s="30">
        <f>IF(B48="","",IF(W48=0,"Sin avisos numéricos. Revisamos el alcance aparte.",IF(L48=0,"Faltan datos completos de partida; no elegimos un total por suposición."&amp;CHAR(10),"")&amp;IF(N48&gt;0,"Hay filas incompletas o contradictorias; las revisamos en PEGAR."&amp;CHAR(10),"")&amp;IF(O48&gt;0,"Faltan las medidas de alguna fila; no cerramos la suma."&amp;CHAR(10),"")&amp;IF(M48=0,"No constan líneas de medición."&amp;CHAR(10),"")&amp;IF(IF(ISNUMBER(H48),ROUND(ABS(H48),8)&gt;$F$6,FALSE),"Las líneas difieren del total en más de 0,01; confirmamos cantidad o exclusión."&amp;CHAR(10),"")&amp;IF(P48&gt;0,"Parece m³: encontramos tres dimensiones bajo m²."&amp;CHAR(10),"")&amp;IF(R48&gt;0,"Código repetido dentro del capítulo; mantenemos sus ID separados."&amp;CHAR(10),"")&amp;IF(S48&gt;0,"Código repetido en otro capítulo; no unimos las partidas."&amp;CHAR(10),"")&amp;IF(T48&gt;0,"Mismo código con unidades distintas; pedimos aclaración."&amp;CHAR(10),"")&amp;IF(Q48&gt;0,"Hay más precisión que los decimales indicados; cotejamos el formato original."&amp;CHAR(10),"")&amp;IF(U48&gt;0,"Unidad sin normalizar; cotejamos su significado antes de sumar unidades."&amp;CHAR(10),"")&amp;IF(V48&gt;0,"Revisamos dimensiones, cantidades directas, ceros o deducciones en PEGAR."&amp;CHAR(10),"")))</f>
      </c>
      <c r="K48" s="0">
        <f>IF(36&gt;'RESUMEN'!$E$6,"",MATCH(36,'PEGAR'!$W$13:$W$512,0))</f>
      </c>
      <c r="L48" s="0">
        <f>IF(K48="","",INDEX('PEGAR'!$R$13:$R$512,K48))</f>
      </c>
      <c r="M48" s="0">
        <f>IF(B48="","",COUNTIFS('PEGAR'!$O$13:$O$512,B48,'PEGAR'!$P$13:$P$512,"DIMENSIONES")+COUNTIFS('PEGAR'!$O$13:$O$512,B48,'PEGAR'!$P$13:$P$512,"DIRECTA"))</f>
      </c>
      <c r="N48" s="0">
        <f>IF(B48="","",COUNTIFS('PEGAR'!$O$13:$O$512,B48,'PEGAR'!$X$13:$X$512,2))</f>
      </c>
      <c r="O48" s="0">
        <f>IF(B48="","",COUNTIFS('PEGAR'!$O$13:$O$512,B48,'PEGAR'!$P$13:$P$512,"SIN LÍNEAS"))</f>
      </c>
      <c r="P48" s="0">
        <f>IF(B48="","",SUMIFS('PEGAR'!$Y$13:$Y$512,'PEGAR'!$O$13:$O$512,B48))</f>
      </c>
      <c r="Q48" s="0">
        <f>IF(B48="","",SUMIFS('PEGAR'!$Z$13:$Z$512,'PEGAR'!$O$13:$O$512,B48))</f>
      </c>
      <c r="R48" s="0" t="n">
        <f>IF(OR(B48="",D48=""),0,SUMPRODUCT(--($B$13:$B$512&lt;&gt;""),--($D$13:$D$512=D48),--($C$13:$C$512=C48))-1)</f>
        <v>0</v>
      </c>
      <c r="S48" s="0" t="n">
        <f>IF(OR(B48="",D48=""),0,SUMPRODUCT(--($B$13:$B$512&lt;&gt;""),--($D$13:$D$512=D48),--($C$13:$C$512&lt;&gt;C48)))</f>
        <v>0</v>
      </c>
      <c r="T48" s="0" t="n">
        <f>IF(OR(B48="",D48=""),0,SUMPRODUCT(--($B$13:$B$512&lt;&gt;""),--($D$13:$D$512=D48),--($E$13:$E$512&lt;&gt;E48)))</f>
        <v>0</v>
      </c>
      <c r="U48" s="0" t="n">
        <f>IF(B48="",0,IF(SUMPRODUCT(--('LÉEME'!$C$65:$C$86=E48))=0,1,0))</f>
        <v>0</v>
      </c>
      <c r="V48" s="0">
        <f>IF(B48="","",SUMIFS('PEGAR'!$AA$13:$AA$512,'PEGAR'!$O$13:$O$512,B48))</f>
      </c>
      <c r="W48" s="0">
        <f>IF(B48="","",IF(OR(L48=0,N48&gt;0,T48&gt;0,IF(ISNUMBER(H48),ROUND(ABS(H48),8)&gt;$F$6,FALSE)),2,IF(OR(M48=0,O48&gt;0,P48&gt;0,Q48&gt;0,R48&gt;0,S48&gt;0,U48&gt;0,V48&gt;0),1,0)))</f>
      </c>
      <c r="X48" s="0">
        <f>IF(B48="","",IF(ISNUMBER(G48),1,0))</f>
      </c>
      <c r="AB48" s="0">
        <f>IF(AND(ISNUMBER(W48),W48&gt;0),"ID "&amp;B48,"")</f>
      </c>
      <c r="AC48" s="0">
        <f>IF(AND(ISNUMBER(W48),W48&gt;0),C48,"")</f>
      </c>
      <c r="AD48" s="0">
        <f>IF(AND(ISNUMBER(W48),W48&gt;0),D48,"")</f>
      </c>
      <c r="AE48" s="0">
        <f>IF(AND(ISNUMBER(W48),W48&gt;0),IF(INDEX('PEGAR'!$D$13:$D$512,IF(L48&gt;0,L48,K48))="","Sin descripción",INDEX('PEGAR'!$D$13:$D$512,IF(L48&gt;0,L48,K48))),"")</f>
      </c>
      <c r="AF48" s="0">
        <f>IF(AND(ISNUMBER(W48),W48&gt;0),J48,"")</f>
      </c>
      <c r="AG48" s="0" t="n">
        <f>IF(AND(ISNUMBER(W48),W48&gt;0),W48,0)</f>
        <v>0</v>
      </c>
      <c r="AH48" s="0">
        <f>IF(AG48&gt;0,COUNTIFS($AG$13:AG48,"&gt;0"),"")</f>
      </c>
    </row>
    <row r="49" ht="22" customHeight="1">
      <c r="B49" s="27">
        <f>IF(K49="","",INDEX('PEGAR'!$O$13:$O$512,K49))</f>
      </c>
      <c r="C49" s="30">
        <f>IF(B49="","",IF(LEN(TRIM(INDEX('PEGAR'!$B$13:$B$512,IF(L49&gt;0,L49,K49))&amp;""))=0,"Sin capítulo",TRIM(INDEX('PEGAR'!$B$13:$B$512,IF(L49&gt;0,L49,K49))&amp;"")))</f>
      </c>
      <c r="D49" s="27">
        <f>IF(B49="","",IF(LEN(TRIM(INDEX('PEGAR'!$C$13:$C$512,IF(L49&gt;0,L49,K49))&amp;""))=0,"",TRIM(INDEX('PEGAR'!$C$13:$C$512,IF(L49&gt;0,L49,K49))&amp;"")))</f>
      </c>
      <c r="E49" s="27">
        <f>IF(B49="","",INDEX('PEGAR'!$S$13:$S$512,IF(L49&gt;0,L49,K49)))</f>
      </c>
      <c r="F49" s="39">
        <f>IF(B49="","",IF(L49&gt;0,INDEX('PEGAR'!$F$13:$F$512,L49),""))</f>
      </c>
      <c r="G49" s="39">
        <f>IF(B49="","",IF(OR(M49=0,N49&gt;0,O49&gt;0),"",SUMIFS('PEGAR'!$M$13:$M$512,'PEGAR'!$O$13:$O$512,B49)))</f>
      </c>
      <c r="H49" s="39">
        <f>IF(AND(ISNUMBER(F49),ISNUMBER(G49)),G49-F49,"")</f>
      </c>
      <c r="I49" s="27">
        <f>IF(B49="","",IF(W49=2,"ROJO",IF(W49=1,"ÁMBAR","VERDE")))</f>
      </c>
      <c r="J49" s="30">
        <f>IF(B49="","",IF(W49=0,"Sin avisos numéricos. Revisamos el alcance aparte.",IF(L49=0,"Faltan datos completos de partida; no elegimos un total por suposición."&amp;CHAR(10),"")&amp;IF(N49&gt;0,"Hay filas incompletas o contradictorias; las revisamos en PEGAR."&amp;CHAR(10),"")&amp;IF(O49&gt;0,"Faltan las medidas de alguna fila; no cerramos la suma."&amp;CHAR(10),"")&amp;IF(M49=0,"No constan líneas de medición."&amp;CHAR(10),"")&amp;IF(IF(ISNUMBER(H49),ROUND(ABS(H49),8)&gt;$F$6,FALSE),"Las líneas difieren del total en más de 0,01; confirmamos cantidad o exclusión."&amp;CHAR(10),"")&amp;IF(P49&gt;0,"Parece m³: encontramos tres dimensiones bajo m²."&amp;CHAR(10),"")&amp;IF(R49&gt;0,"Código repetido dentro del capítulo; mantenemos sus ID separados."&amp;CHAR(10),"")&amp;IF(S49&gt;0,"Código repetido en otro capítulo; no unimos las partidas."&amp;CHAR(10),"")&amp;IF(T49&gt;0,"Mismo código con unidades distintas; pedimos aclaración."&amp;CHAR(10),"")&amp;IF(Q49&gt;0,"Hay más precisión que los decimales indicados; cotejamos el formato original."&amp;CHAR(10),"")&amp;IF(U49&gt;0,"Unidad sin normalizar; cotejamos su significado antes de sumar unidades."&amp;CHAR(10),"")&amp;IF(V49&gt;0,"Revisamos dimensiones, cantidades directas, ceros o deducciones en PEGAR."&amp;CHAR(10),"")))</f>
      </c>
      <c r="K49" s="0">
        <f>IF(37&gt;'RESUMEN'!$E$6,"",MATCH(37,'PEGAR'!$W$13:$W$512,0))</f>
      </c>
      <c r="L49" s="0">
        <f>IF(K49="","",INDEX('PEGAR'!$R$13:$R$512,K49))</f>
      </c>
      <c r="M49" s="0">
        <f>IF(B49="","",COUNTIFS('PEGAR'!$O$13:$O$512,B49,'PEGAR'!$P$13:$P$512,"DIMENSIONES")+COUNTIFS('PEGAR'!$O$13:$O$512,B49,'PEGAR'!$P$13:$P$512,"DIRECTA"))</f>
      </c>
      <c r="N49" s="0">
        <f>IF(B49="","",COUNTIFS('PEGAR'!$O$13:$O$512,B49,'PEGAR'!$X$13:$X$512,2))</f>
      </c>
      <c r="O49" s="0">
        <f>IF(B49="","",COUNTIFS('PEGAR'!$O$13:$O$512,B49,'PEGAR'!$P$13:$P$512,"SIN LÍNEAS"))</f>
      </c>
      <c r="P49" s="0">
        <f>IF(B49="","",SUMIFS('PEGAR'!$Y$13:$Y$512,'PEGAR'!$O$13:$O$512,B49))</f>
      </c>
      <c r="Q49" s="0">
        <f>IF(B49="","",SUMIFS('PEGAR'!$Z$13:$Z$512,'PEGAR'!$O$13:$O$512,B49))</f>
      </c>
      <c r="R49" s="0" t="n">
        <f>IF(OR(B49="",D49=""),0,SUMPRODUCT(--($B$13:$B$512&lt;&gt;""),--($D$13:$D$512=D49),--($C$13:$C$512=C49))-1)</f>
        <v>0</v>
      </c>
      <c r="S49" s="0" t="n">
        <f>IF(OR(B49="",D49=""),0,SUMPRODUCT(--($B$13:$B$512&lt;&gt;""),--($D$13:$D$512=D49),--($C$13:$C$512&lt;&gt;C49)))</f>
        <v>0</v>
      </c>
      <c r="T49" s="0" t="n">
        <f>IF(OR(B49="",D49=""),0,SUMPRODUCT(--($B$13:$B$512&lt;&gt;""),--($D$13:$D$512=D49),--($E$13:$E$512&lt;&gt;E49)))</f>
        <v>0</v>
      </c>
      <c r="U49" s="0" t="n">
        <f>IF(B49="",0,IF(SUMPRODUCT(--('LÉEME'!$C$65:$C$86=E49))=0,1,0))</f>
        <v>0</v>
      </c>
      <c r="V49" s="0">
        <f>IF(B49="","",SUMIFS('PEGAR'!$AA$13:$AA$512,'PEGAR'!$O$13:$O$512,B49))</f>
      </c>
      <c r="W49" s="0">
        <f>IF(B49="","",IF(OR(L49=0,N49&gt;0,T49&gt;0,IF(ISNUMBER(H49),ROUND(ABS(H49),8)&gt;$F$6,FALSE)),2,IF(OR(M49=0,O49&gt;0,P49&gt;0,Q49&gt;0,R49&gt;0,S49&gt;0,U49&gt;0,V49&gt;0),1,0)))</f>
      </c>
      <c r="X49" s="0">
        <f>IF(B49="","",IF(ISNUMBER(G49),1,0))</f>
      </c>
      <c r="AB49" s="0">
        <f>IF(AND(ISNUMBER(W49),W49&gt;0),"ID "&amp;B49,"")</f>
      </c>
      <c r="AC49" s="0">
        <f>IF(AND(ISNUMBER(W49),W49&gt;0),C49,"")</f>
      </c>
      <c r="AD49" s="0">
        <f>IF(AND(ISNUMBER(W49),W49&gt;0),D49,"")</f>
      </c>
      <c r="AE49" s="0">
        <f>IF(AND(ISNUMBER(W49),W49&gt;0),IF(INDEX('PEGAR'!$D$13:$D$512,IF(L49&gt;0,L49,K49))="","Sin descripción",INDEX('PEGAR'!$D$13:$D$512,IF(L49&gt;0,L49,K49))),"")</f>
      </c>
      <c r="AF49" s="0">
        <f>IF(AND(ISNUMBER(W49),W49&gt;0),J49,"")</f>
      </c>
      <c r="AG49" s="0" t="n">
        <f>IF(AND(ISNUMBER(W49),W49&gt;0),W49,0)</f>
        <v>0</v>
      </c>
      <c r="AH49" s="0">
        <f>IF(AG49&gt;0,COUNTIFS($AG$13:AG49,"&gt;0"),"")</f>
      </c>
    </row>
    <row r="50" ht="22" customHeight="1">
      <c r="B50" s="27">
        <f>IF(K50="","",INDEX('PEGAR'!$O$13:$O$512,K50))</f>
      </c>
      <c r="C50" s="30">
        <f>IF(B50="","",IF(LEN(TRIM(INDEX('PEGAR'!$B$13:$B$512,IF(L50&gt;0,L50,K50))&amp;""))=0,"Sin capítulo",TRIM(INDEX('PEGAR'!$B$13:$B$512,IF(L50&gt;0,L50,K50))&amp;"")))</f>
      </c>
      <c r="D50" s="27">
        <f>IF(B50="","",IF(LEN(TRIM(INDEX('PEGAR'!$C$13:$C$512,IF(L50&gt;0,L50,K50))&amp;""))=0,"",TRIM(INDEX('PEGAR'!$C$13:$C$512,IF(L50&gt;0,L50,K50))&amp;"")))</f>
      </c>
      <c r="E50" s="27">
        <f>IF(B50="","",INDEX('PEGAR'!$S$13:$S$512,IF(L50&gt;0,L50,K50)))</f>
      </c>
      <c r="F50" s="39">
        <f>IF(B50="","",IF(L50&gt;0,INDEX('PEGAR'!$F$13:$F$512,L50),""))</f>
      </c>
      <c r="G50" s="39">
        <f>IF(B50="","",IF(OR(M50=0,N50&gt;0,O50&gt;0),"",SUMIFS('PEGAR'!$M$13:$M$512,'PEGAR'!$O$13:$O$512,B50)))</f>
      </c>
      <c r="H50" s="39">
        <f>IF(AND(ISNUMBER(F50),ISNUMBER(G50)),G50-F50,"")</f>
      </c>
      <c r="I50" s="27">
        <f>IF(B50="","",IF(W50=2,"ROJO",IF(W50=1,"ÁMBAR","VERDE")))</f>
      </c>
      <c r="J50" s="30">
        <f>IF(B50="","",IF(W50=0,"Sin avisos numéricos. Revisamos el alcance aparte.",IF(L50=0,"Faltan datos completos de partida; no elegimos un total por suposición."&amp;CHAR(10),"")&amp;IF(N50&gt;0,"Hay filas incompletas o contradictorias; las revisamos en PEGAR."&amp;CHAR(10),"")&amp;IF(O50&gt;0,"Faltan las medidas de alguna fila; no cerramos la suma."&amp;CHAR(10),"")&amp;IF(M50=0,"No constan líneas de medición."&amp;CHAR(10),"")&amp;IF(IF(ISNUMBER(H50),ROUND(ABS(H50),8)&gt;$F$6,FALSE),"Las líneas difieren del total en más de 0,01; confirmamos cantidad o exclusión."&amp;CHAR(10),"")&amp;IF(P50&gt;0,"Parece m³: encontramos tres dimensiones bajo m²."&amp;CHAR(10),"")&amp;IF(R50&gt;0,"Código repetido dentro del capítulo; mantenemos sus ID separados."&amp;CHAR(10),"")&amp;IF(S50&gt;0,"Código repetido en otro capítulo; no unimos las partidas."&amp;CHAR(10),"")&amp;IF(T50&gt;0,"Mismo código con unidades distintas; pedimos aclaración."&amp;CHAR(10),"")&amp;IF(Q50&gt;0,"Hay más precisión que los decimales indicados; cotejamos el formato original."&amp;CHAR(10),"")&amp;IF(U50&gt;0,"Unidad sin normalizar; cotejamos su significado antes de sumar unidades."&amp;CHAR(10),"")&amp;IF(V50&gt;0,"Revisamos dimensiones, cantidades directas, ceros o deducciones en PEGAR."&amp;CHAR(10),"")))</f>
      </c>
      <c r="K50" s="0">
        <f>IF(38&gt;'RESUMEN'!$E$6,"",MATCH(38,'PEGAR'!$W$13:$W$512,0))</f>
      </c>
      <c r="L50" s="0">
        <f>IF(K50="","",INDEX('PEGAR'!$R$13:$R$512,K50))</f>
      </c>
      <c r="M50" s="0">
        <f>IF(B50="","",COUNTIFS('PEGAR'!$O$13:$O$512,B50,'PEGAR'!$P$13:$P$512,"DIMENSIONES")+COUNTIFS('PEGAR'!$O$13:$O$512,B50,'PEGAR'!$P$13:$P$512,"DIRECTA"))</f>
      </c>
      <c r="N50" s="0">
        <f>IF(B50="","",COUNTIFS('PEGAR'!$O$13:$O$512,B50,'PEGAR'!$X$13:$X$512,2))</f>
      </c>
      <c r="O50" s="0">
        <f>IF(B50="","",COUNTIFS('PEGAR'!$O$13:$O$512,B50,'PEGAR'!$P$13:$P$512,"SIN LÍNEAS"))</f>
      </c>
      <c r="P50" s="0">
        <f>IF(B50="","",SUMIFS('PEGAR'!$Y$13:$Y$512,'PEGAR'!$O$13:$O$512,B50))</f>
      </c>
      <c r="Q50" s="0">
        <f>IF(B50="","",SUMIFS('PEGAR'!$Z$13:$Z$512,'PEGAR'!$O$13:$O$512,B50))</f>
      </c>
      <c r="R50" s="0" t="n">
        <f>IF(OR(B50="",D50=""),0,SUMPRODUCT(--($B$13:$B$512&lt;&gt;""),--($D$13:$D$512=D50),--($C$13:$C$512=C50))-1)</f>
        <v>0</v>
      </c>
      <c r="S50" s="0" t="n">
        <f>IF(OR(B50="",D50=""),0,SUMPRODUCT(--($B$13:$B$512&lt;&gt;""),--($D$13:$D$512=D50),--($C$13:$C$512&lt;&gt;C50)))</f>
        <v>0</v>
      </c>
      <c r="T50" s="0" t="n">
        <f>IF(OR(B50="",D50=""),0,SUMPRODUCT(--($B$13:$B$512&lt;&gt;""),--($D$13:$D$512=D50),--($E$13:$E$512&lt;&gt;E50)))</f>
        <v>0</v>
      </c>
      <c r="U50" s="0" t="n">
        <f>IF(B50="",0,IF(SUMPRODUCT(--('LÉEME'!$C$65:$C$86=E50))=0,1,0))</f>
        <v>0</v>
      </c>
      <c r="V50" s="0">
        <f>IF(B50="","",SUMIFS('PEGAR'!$AA$13:$AA$512,'PEGAR'!$O$13:$O$512,B50))</f>
      </c>
      <c r="W50" s="0">
        <f>IF(B50="","",IF(OR(L50=0,N50&gt;0,T50&gt;0,IF(ISNUMBER(H50),ROUND(ABS(H50),8)&gt;$F$6,FALSE)),2,IF(OR(M50=0,O50&gt;0,P50&gt;0,Q50&gt;0,R50&gt;0,S50&gt;0,U50&gt;0,V50&gt;0),1,0)))</f>
      </c>
      <c r="X50" s="0">
        <f>IF(B50="","",IF(ISNUMBER(G50),1,0))</f>
      </c>
      <c r="AB50" s="0">
        <f>IF(AND(ISNUMBER(W50),W50&gt;0),"ID "&amp;B50,"")</f>
      </c>
      <c r="AC50" s="0">
        <f>IF(AND(ISNUMBER(W50),W50&gt;0),C50,"")</f>
      </c>
      <c r="AD50" s="0">
        <f>IF(AND(ISNUMBER(W50),W50&gt;0),D50,"")</f>
      </c>
      <c r="AE50" s="0">
        <f>IF(AND(ISNUMBER(W50),W50&gt;0),IF(INDEX('PEGAR'!$D$13:$D$512,IF(L50&gt;0,L50,K50))="","Sin descripción",INDEX('PEGAR'!$D$13:$D$512,IF(L50&gt;0,L50,K50))),"")</f>
      </c>
      <c r="AF50" s="0">
        <f>IF(AND(ISNUMBER(W50),W50&gt;0),J50,"")</f>
      </c>
      <c r="AG50" s="0" t="n">
        <f>IF(AND(ISNUMBER(W50),W50&gt;0),W50,0)</f>
        <v>0</v>
      </c>
      <c r="AH50" s="0">
        <f>IF(AG50&gt;0,COUNTIFS($AG$13:AG50,"&gt;0"),"")</f>
      </c>
    </row>
    <row r="51" ht="22" customHeight="1">
      <c r="B51" s="27">
        <f>IF(K51="","",INDEX('PEGAR'!$O$13:$O$512,K51))</f>
      </c>
      <c r="C51" s="30">
        <f>IF(B51="","",IF(LEN(TRIM(INDEX('PEGAR'!$B$13:$B$512,IF(L51&gt;0,L51,K51))&amp;""))=0,"Sin capítulo",TRIM(INDEX('PEGAR'!$B$13:$B$512,IF(L51&gt;0,L51,K51))&amp;"")))</f>
      </c>
      <c r="D51" s="27">
        <f>IF(B51="","",IF(LEN(TRIM(INDEX('PEGAR'!$C$13:$C$512,IF(L51&gt;0,L51,K51))&amp;""))=0,"",TRIM(INDEX('PEGAR'!$C$13:$C$512,IF(L51&gt;0,L51,K51))&amp;"")))</f>
      </c>
      <c r="E51" s="27">
        <f>IF(B51="","",INDEX('PEGAR'!$S$13:$S$512,IF(L51&gt;0,L51,K51)))</f>
      </c>
      <c r="F51" s="39">
        <f>IF(B51="","",IF(L51&gt;0,INDEX('PEGAR'!$F$13:$F$512,L51),""))</f>
      </c>
      <c r="G51" s="39">
        <f>IF(B51="","",IF(OR(M51=0,N51&gt;0,O51&gt;0),"",SUMIFS('PEGAR'!$M$13:$M$512,'PEGAR'!$O$13:$O$512,B51)))</f>
      </c>
      <c r="H51" s="39">
        <f>IF(AND(ISNUMBER(F51),ISNUMBER(G51)),G51-F51,"")</f>
      </c>
      <c r="I51" s="27">
        <f>IF(B51="","",IF(W51=2,"ROJO",IF(W51=1,"ÁMBAR","VERDE")))</f>
      </c>
      <c r="J51" s="30">
        <f>IF(B51="","",IF(W51=0,"Sin avisos numéricos. Revisamos el alcance aparte.",IF(L51=0,"Faltan datos completos de partida; no elegimos un total por suposición."&amp;CHAR(10),"")&amp;IF(N51&gt;0,"Hay filas incompletas o contradictorias; las revisamos en PEGAR."&amp;CHAR(10),"")&amp;IF(O51&gt;0,"Faltan las medidas de alguna fila; no cerramos la suma."&amp;CHAR(10),"")&amp;IF(M51=0,"No constan líneas de medición."&amp;CHAR(10),"")&amp;IF(IF(ISNUMBER(H51),ROUND(ABS(H51),8)&gt;$F$6,FALSE),"Las líneas difieren del total en más de 0,01; confirmamos cantidad o exclusión."&amp;CHAR(10),"")&amp;IF(P51&gt;0,"Parece m³: encontramos tres dimensiones bajo m²."&amp;CHAR(10),"")&amp;IF(R51&gt;0,"Código repetido dentro del capítulo; mantenemos sus ID separados."&amp;CHAR(10),"")&amp;IF(S51&gt;0,"Código repetido en otro capítulo; no unimos las partidas."&amp;CHAR(10),"")&amp;IF(T51&gt;0,"Mismo código con unidades distintas; pedimos aclaración."&amp;CHAR(10),"")&amp;IF(Q51&gt;0,"Hay más precisión que los decimales indicados; cotejamos el formato original."&amp;CHAR(10),"")&amp;IF(U51&gt;0,"Unidad sin normalizar; cotejamos su significado antes de sumar unidades."&amp;CHAR(10),"")&amp;IF(V51&gt;0,"Revisamos dimensiones, cantidades directas, ceros o deducciones en PEGAR."&amp;CHAR(10),"")))</f>
      </c>
      <c r="K51" s="0">
        <f>IF(39&gt;'RESUMEN'!$E$6,"",MATCH(39,'PEGAR'!$W$13:$W$512,0))</f>
      </c>
      <c r="L51" s="0">
        <f>IF(K51="","",INDEX('PEGAR'!$R$13:$R$512,K51))</f>
      </c>
      <c r="M51" s="0">
        <f>IF(B51="","",COUNTIFS('PEGAR'!$O$13:$O$512,B51,'PEGAR'!$P$13:$P$512,"DIMENSIONES")+COUNTIFS('PEGAR'!$O$13:$O$512,B51,'PEGAR'!$P$13:$P$512,"DIRECTA"))</f>
      </c>
      <c r="N51" s="0">
        <f>IF(B51="","",COUNTIFS('PEGAR'!$O$13:$O$512,B51,'PEGAR'!$X$13:$X$512,2))</f>
      </c>
      <c r="O51" s="0">
        <f>IF(B51="","",COUNTIFS('PEGAR'!$O$13:$O$512,B51,'PEGAR'!$P$13:$P$512,"SIN LÍNEAS"))</f>
      </c>
      <c r="P51" s="0">
        <f>IF(B51="","",SUMIFS('PEGAR'!$Y$13:$Y$512,'PEGAR'!$O$13:$O$512,B51))</f>
      </c>
      <c r="Q51" s="0">
        <f>IF(B51="","",SUMIFS('PEGAR'!$Z$13:$Z$512,'PEGAR'!$O$13:$O$512,B51))</f>
      </c>
      <c r="R51" s="0" t="n">
        <f>IF(OR(B51="",D51=""),0,SUMPRODUCT(--($B$13:$B$512&lt;&gt;""),--($D$13:$D$512=D51),--($C$13:$C$512=C51))-1)</f>
        <v>0</v>
      </c>
      <c r="S51" s="0" t="n">
        <f>IF(OR(B51="",D51=""),0,SUMPRODUCT(--($B$13:$B$512&lt;&gt;""),--($D$13:$D$512=D51),--($C$13:$C$512&lt;&gt;C51)))</f>
        <v>0</v>
      </c>
      <c r="T51" s="0" t="n">
        <f>IF(OR(B51="",D51=""),0,SUMPRODUCT(--($B$13:$B$512&lt;&gt;""),--($D$13:$D$512=D51),--($E$13:$E$512&lt;&gt;E51)))</f>
        <v>0</v>
      </c>
      <c r="U51" s="0" t="n">
        <f>IF(B51="",0,IF(SUMPRODUCT(--('LÉEME'!$C$65:$C$86=E51))=0,1,0))</f>
        <v>0</v>
      </c>
      <c r="V51" s="0">
        <f>IF(B51="","",SUMIFS('PEGAR'!$AA$13:$AA$512,'PEGAR'!$O$13:$O$512,B51))</f>
      </c>
      <c r="W51" s="0">
        <f>IF(B51="","",IF(OR(L51=0,N51&gt;0,T51&gt;0,IF(ISNUMBER(H51),ROUND(ABS(H51),8)&gt;$F$6,FALSE)),2,IF(OR(M51=0,O51&gt;0,P51&gt;0,Q51&gt;0,R51&gt;0,S51&gt;0,U51&gt;0,V51&gt;0),1,0)))</f>
      </c>
      <c r="X51" s="0">
        <f>IF(B51="","",IF(ISNUMBER(G51),1,0))</f>
      </c>
      <c r="AB51" s="0">
        <f>IF(AND(ISNUMBER(W51),W51&gt;0),"ID "&amp;B51,"")</f>
      </c>
      <c r="AC51" s="0">
        <f>IF(AND(ISNUMBER(W51),W51&gt;0),C51,"")</f>
      </c>
      <c r="AD51" s="0">
        <f>IF(AND(ISNUMBER(W51),W51&gt;0),D51,"")</f>
      </c>
      <c r="AE51" s="0">
        <f>IF(AND(ISNUMBER(W51),W51&gt;0),IF(INDEX('PEGAR'!$D$13:$D$512,IF(L51&gt;0,L51,K51))="","Sin descripción",INDEX('PEGAR'!$D$13:$D$512,IF(L51&gt;0,L51,K51))),"")</f>
      </c>
      <c r="AF51" s="0">
        <f>IF(AND(ISNUMBER(W51),W51&gt;0),J51,"")</f>
      </c>
      <c r="AG51" s="0" t="n">
        <f>IF(AND(ISNUMBER(W51),W51&gt;0),W51,0)</f>
        <v>0</v>
      </c>
      <c r="AH51" s="0">
        <f>IF(AG51&gt;0,COUNTIFS($AG$13:AG51,"&gt;0"),"")</f>
      </c>
    </row>
    <row r="52" ht="22" customHeight="1">
      <c r="B52" s="27">
        <f>IF(K52="","",INDEX('PEGAR'!$O$13:$O$512,K52))</f>
      </c>
      <c r="C52" s="30">
        <f>IF(B52="","",IF(LEN(TRIM(INDEX('PEGAR'!$B$13:$B$512,IF(L52&gt;0,L52,K52))&amp;""))=0,"Sin capítulo",TRIM(INDEX('PEGAR'!$B$13:$B$512,IF(L52&gt;0,L52,K52))&amp;"")))</f>
      </c>
      <c r="D52" s="27">
        <f>IF(B52="","",IF(LEN(TRIM(INDEX('PEGAR'!$C$13:$C$512,IF(L52&gt;0,L52,K52))&amp;""))=0,"",TRIM(INDEX('PEGAR'!$C$13:$C$512,IF(L52&gt;0,L52,K52))&amp;"")))</f>
      </c>
      <c r="E52" s="27">
        <f>IF(B52="","",INDEX('PEGAR'!$S$13:$S$512,IF(L52&gt;0,L52,K52)))</f>
      </c>
      <c r="F52" s="39">
        <f>IF(B52="","",IF(L52&gt;0,INDEX('PEGAR'!$F$13:$F$512,L52),""))</f>
      </c>
      <c r="G52" s="39">
        <f>IF(B52="","",IF(OR(M52=0,N52&gt;0,O52&gt;0),"",SUMIFS('PEGAR'!$M$13:$M$512,'PEGAR'!$O$13:$O$512,B52)))</f>
      </c>
      <c r="H52" s="39">
        <f>IF(AND(ISNUMBER(F52),ISNUMBER(G52)),G52-F52,"")</f>
      </c>
      <c r="I52" s="27">
        <f>IF(B52="","",IF(W52=2,"ROJO",IF(W52=1,"ÁMBAR","VERDE")))</f>
      </c>
      <c r="J52" s="30">
        <f>IF(B52="","",IF(W52=0,"Sin avisos numéricos. Revisamos el alcance aparte.",IF(L52=0,"Faltan datos completos de partida; no elegimos un total por suposición."&amp;CHAR(10),"")&amp;IF(N52&gt;0,"Hay filas incompletas o contradictorias; las revisamos en PEGAR."&amp;CHAR(10),"")&amp;IF(O52&gt;0,"Faltan las medidas de alguna fila; no cerramos la suma."&amp;CHAR(10),"")&amp;IF(M52=0,"No constan líneas de medición."&amp;CHAR(10),"")&amp;IF(IF(ISNUMBER(H52),ROUND(ABS(H52),8)&gt;$F$6,FALSE),"Las líneas difieren del total en más de 0,01; confirmamos cantidad o exclusión."&amp;CHAR(10),"")&amp;IF(P52&gt;0,"Parece m³: encontramos tres dimensiones bajo m²."&amp;CHAR(10),"")&amp;IF(R52&gt;0,"Código repetido dentro del capítulo; mantenemos sus ID separados."&amp;CHAR(10),"")&amp;IF(S52&gt;0,"Código repetido en otro capítulo; no unimos las partidas."&amp;CHAR(10),"")&amp;IF(T52&gt;0,"Mismo código con unidades distintas; pedimos aclaración."&amp;CHAR(10),"")&amp;IF(Q52&gt;0,"Hay más precisión que los decimales indicados; cotejamos el formato original."&amp;CHAR(10),"")&amp;IF(U52&gt;0,"Unidad sin normalizar; cotejamos su significado antes de sumar unidades."&amp;CHAR(10),"")&amp;IF(V52&gt;0,"Revisamos dimensiones, cantidades directas, ceros o deducciones en PEGAR."&amp;CHAR(10),"")))</f>
      </c>
      <c r="K52" s="0">
        <f>IF(40&gt;'RESUMEN'!$E$6,"",MATCH(40,'PEGAR'!$W$13:$W$512,0))</f>
      </c>
      <c r="L52" s="0">
        <f>IF(K52="","",INDEX('PEGAR'!$R$13:$R$512,K52))</f>
      </c>
      <c r="M52" s="0">
        <f>IF(B52="","",COUNTIFS('PEGAR'!$O$13:$O$512,B52,'PEGAR'!$P$13:$P$512,"DIMENSIONES")+COUNTIFS('PEGAR'!$O$13:$O$512,B52,'PEGAR'!$P$13:$P$512,"DIRECTA"))</f>
      </c>
      <c r="N52" s="0">
        <f>IF(B52="","",COUNTIFS('PEGAR'!$O$13:$O$512,B52,'PEGAR'!$X$13:$X$512,2))</f>
      </c>
      <c r="O52" s="0">
        <f>IF(B52="","",COUNTIFS('PEGAR'!$O$13:$O$512,B52,'PEGAR'!$P$13:$P$512,"SIN LÍNEAS"))</f>
      </c>
      <c r="P52" s="0">
        <f>IF(B52="","",SUMIFS('PEGAR'!$Y$13:$Y$512,'PEGAR'!$O$13:$O$512,B52))</f>
      </c>
      <c r="Q52" s="0">
        <f>IF(B52="","",SUMIFS('PEGAR'!$Z$13:$Z$512,'PEGAR'!$O$13:$O$512,B52))</f>
      </c>
      <c r="R52" s="0" t="n">
        <f>IF(OR(B52="",D52=""),0,SUMPRODUCT(--($B$13:$B$512&lt;&gt;""),--($D$13:$D$512=D52),--($C$13:$C$512=C52))-1)</f>
        <v>0</v>
      </c>
      <c r="S52" s="0" t="n">
        <f>IF(OR(B52="",D52=""),0,SUMPRODUCT(--($B$13:$B$512&lt;&gt;""),--($D$13:$D$512=D52),--($C$13:$C$512&lt;&gt;C52)))</f>
        <v>0</v>
      </c>
      <c r="T52" s="0" t="n">
        <f>IF(OR(B52="",D52=""),0,SUMPRODUCT(--($B$13:$B$512&lt;&gt;""),--($D$13:$D$512=D52),--($E$13:$E$512&lt;&gt;E52)))</f>
        <v>0</v>
      </c>
      <c r="U52" s="0" t="n">
        <f>IF(B52="",0,IF(SUMPRODUCT(--('LÉEME'!$C$65:$C$86=E52))=0,1,0))</f>
        <v>0</v>
      </c>
      <c r="V52" s="0">
        <f>IF(B52="","",SUMIFS('PEGAR'!$AA$13:$AA$512,'PEGAR'!$O$13:$O$512,B52))</f>
      </c>
      <c r="W52" s="0">
        <f>IF(B52="","",IF(OR(L52=0,N52&gt;0,T52&gt;0,IF(ISNUMBER(H52),ROUND(ABS(H52),8)&gt;$F$6,FALSE)),2,IF(OR(M52=0,O52&gt;0,P52&gt;0,Q52&gt;0,R52&gt;0,S52&gt;0,U52&gt;0,V52&gt;0),1,0)))</f>
      </c>
      <c r="X52" s="0">
        <f>IF(B52="","",IF(ISNUMBER(G52),1,0))</f>
      </c>
      <c r="AB52" s="0">
        <f>IF(AND(ISNUMBER(W52),W52&gt;0),"ID "&amp;B52,"")</f>
      </c>
      <c r="AC52" s="0">
        <f>IF(AND(ISNUMBER(W52),W52&gt;0),C52,"")</f>
      </c>
      <c r="AD52" s="0">
        <f>IF(AND(ISNUMBER(W52),W52&gt;0),D52,"")</f>
      </c>
      <c r="AE52" s="0">
        <f>IF(AND(ISNUMBER(W52),W52&gt;0),IF(INDEX('PEGAR'!$D$13:$D$512,IF(L52&gt;0,L52,K52))="","Sin descripción",INDEX('PEGAR'!$D$13:$D$512,IF(L52&gt;0,L52,K52))),"")</f>
      </c>
      <c r="AF52" s="0">
        <f>IF(AND(ISNUMBER(W52),W52&gt;0),J52,"")</f>
      </c>
      <c r="AG52" s="0" t="n">
        <f>IF(AND(ISNUMBER(W52),W52&gt;0),W52,0)</f>
        <v>0</v>
      </c>
      <c r="AH52" s="0">
        <f>IF(AG52&gt;0,COUNTIFS($AG$13:AG52,"&gt;0"),"")</f>
      </c>
    </row>
    <row r="53" ht="22" customHeight="1">
      <c r="B53" s="27">
        <f>IF(K53="","",INDEX('PEGAR'!$O$13:$O$512,K53))</f>
      </c>
      <c r="C53" s="30">
        <f>IF(B53="","",IF(LEN(TRIM(INDEX('PEGAR'!$B$13:$B$512,IF(L53&gt;0,L53,K53))&amp;""))=0,"Sin capítulo",TRIM(INDEX('PEGAR'!$B$13:$B$512,IF(L53&gt;0,L53,K53))&amp;"")))</f>
      </c>
      <c r="D53" s="27">
        <f>IF(B53="","",IF(LEN(TRIM(INDEX('PEGAR'!$C$13:$C$512,IF(L53&gt;0,L53,K53))&amp;""))=0,"",TRIM(INDEX('PEGAR'!$C$13:$C$512,IF(L53&gt;0,L53,K53))&amp;"")))</f>
      </c>
      <c r="E53" s="27">
        <f>IF(B53="","",INDEX('PEGAR'!$S$13:$S$512,IF(L53&gt;0,L53,K53)))</f>
      </c>
      <c r="F53" s="39">
        <f>IF(B53="","",IF(L53&gt;0,INDEX('PEGAR'!$F$13:$F$512,L53),""))</f>
      </c>
      <c r="G53" s="39">
        <f>IF(B53="","",IF(OR(M53=0,N53&gt;0,O53&gt;0),"",SUMIFS('PEGAR'!$M$13:$M$512,'PEGAR'!$O$13:$O$512,B53)))</f>
      </c>
      <c r="H53" s="39">
        <f>IF(AND(ISNUMBER(F53),ISNUMBER(G53)),G53-F53,"")</f>
      </c>
      <c r="I53" s="27">
        <f>IF(B53="","",IF(W53=2,"ROJO",IF(W53=1,"ÁMBAR","VERDE")))</f>
      </c>
      <c r="J53" s="30">
        <f>IF(B53="","",IF(W53=0,"Sin avisos numéricos. Revisamos el alcance aparte.",IF(L53=0,"Faltan datos completos de partida; no elegimos un total por suposición."&amp;CHAR(10),"")&amp;IF(N53&gt;0,"Hay filas incompletas o contradictorias; las revisamos en PEGAR."&amp;CHAR(10),"")&amp;IF(O53&gt;0,"Faltan las medidas de alguna fila; no cerramos la suma."&amp;CHAR(10),"")&amp;IF(M53=0,"No constan líneas de medición."&amp;CHAR(10),"")&amp;IF(IF(ISNUMBER(H53),ROUND(ABS(H53),8)&gt;$F$6,FALSE),"Las líneas difieren del total en más de 0,01; confirmamos cantidad o exclusión."&amp;CHAR(10),"")&amp;IF(P53&gt;0,"Parece m³: encontramos tres dimensiones bajo m²."&amp;CHAR(10),"")&amp;IF(R53&gt;0,"Código repetido dentro del capítulo; mantenemos sus ID separados."&amp;CHAR(10),"")&amp;IF(S53&gt;0,"Código repetido en otro capítulo; no unimos las partidas."&amp;CHAR(10),"")&amp;IF(T53&gt;0,"Mismo código con unidades distintas; pedimos aclaración."&amp;CHAR(10),"")&amp;IF(Q53&gt;0,"Hay más precisión que los decimales indicados; cotejamos el formato original."&amp;CHAR(10),"")&amp;IF(U53&gt;0,"Unidad sin normalizar; cotejamos su significado antes de sumar unidades."&amp;CHAR(10),"")&amp;IF(V53&gt;0,"Revisamos dimensiones, cantidades directas, ceros o deducciones en PEGAR."&amp;CHAR(10),"")))</f>
      </c>
      <c r="K53" s="0">
        <f>IF(41&gt;'RESUMEN'!$E$6,"",MATCH(41,'PEGAR'!$W$13:$W$512,0))</f>
      </c>
      <c r="L53" s="0">
        <f>IF(K53="","",INDEX('PEGAR'!$R$13:$R$512,K53))</f>
      </c>
      <c r="M53" s="0">
        <f>IF(B53="","",COUNTIFS('PEGAR'!$O$13:$O$512,B53,'PEGAR'!$P$13:$P$512,"DIMENSIONES")+COUNTIFS('PEGAR'!$O$13:$O$512,B53,'PEGAR'!$P$13:$P$512,"DIRECTA"))</f>
      </c>
      <c r="N53" s="0">
        <f>IF(B53="","",COUNTIFS('PEGAR'!$O$13:$O$512,B53,'PEGAR'!$X$13:$X$512,2))</f>
      </c>
      <c r="O53" s="0">
        <f>IF(B53="","",COUNTIFS('PEGAR'!$O$13:$O$512,B53,'PEGAR'!$P$13:$P$512,"SIN LÍNEAS"))</f>
      </c>
      <c r="P53" s="0">
        <f>IF(B53="","",SUMIFS('PEGAR'!$Y$13:$Y$512,'PEGAR'!$O$13:$O$512,B53))</f>
      </c>
      <c r="Q53" s="0">
        <f>IF(B53="","",SUMIFS('PEGAR'!$Z$13:$Z$512,'PEGAR'!$O$13:$O$512,B53))</f>
      </c>
      <c r="R53" s="0" t="n">
        <f>IF(OR(B53="",D53=""),0,SUMPRODUCT(--($B$13:$B$512&lt;&gt;""),--($D$13:$D$512=D53),--($C$13:$C$512=C53))-1)</f>
        <v>0</v>
      </c>
      <c r="S53" s="0" t="n">
        <f>IF(OR(B53="",D53=""),0,SUMPRODUCT(--($B$13:$B$512&lt;&gt;""),--($D$13:$D$512=D53),--($C$13:$C$512&lt;&gt;C53)))</f>
        <v>0</v>
      </c>
      <c r="T53" s="0" t="n">
        <f>IF(OR(B53="",D53=""),0,SUMPRODUCT(--($B$13:$B$512&lt;&gt;""),--($D$13:$D$512=D53),--($E$13:$E$512&lt;&gt;E53)))</f>
        <v>0</v>
      </c>
      <c r="U53" s="0" t="n">
        <f>IF(B53="",0,IF(SUMPRODUCT(--('LÉEME'!$C$65:$C$86=E53))=0,1,0))</f>
        <v>0</v>
      </c>
      <c r="V53" s="0">
        <f>IF(B53="","",SUMIFS('PEGAR'!$AA$13:$AA$512,'PEGAR'!$O$13:$O$512,B53))</f>
      </c>
      <c r="W53" s="0">
        <f>IF(B53="","",IF(OR(L53=0,N53&gt;0,T53&gt;0,IF(ISNUMBER(H53),ROUND(ABS(H53),8)&gt;$F$6,FALSE)),2,IF(OR(M53=0,O53&gt;0,P53&gt;0,Q53&gt;0,R53&gt;0,S53&gt;0,U53&gt;0,V53&gt;0),1,0)))</f>
      </c>
      <c r="X53" s="0">
        <f>IF(B53="","",IF(ISNUMBER(G53),1,0))</f>
      </c>
      <c r="AB53" s="0">
        <f>IF(AND(ISNUMBER(W53),W53&gt;0),"ID "&amp;B53,"")</f>
      </c>
      <c r="AC53" s="0">
        <f>IF(AND(ISNUMBER(W53),W53&gt;0),C53,"")</f>
      </c>
      <c r="AD53" s="0">
        <f>IF(AND(ISNUMBER(W53),W53&gt;0),D53,"")</f>
      </c>
      <c r="AE53" s="0">
        <f>IF(AND(ISNUMBER(W53),W53&gt;0),IF(INDEX('PEGAR'!$D$13:$D$512,IF(L53&gt;0,L53,K53))="","Sin descripción",INDEX('PEGAR'!$D$13:$D$512,IF(L53&gt;0,L53,K53))),"")</f>
      </c>
      <c r="AF53" s="0">
        <f>IF(AND(ISNUMBER(W53),W53&gt;0),J53,"")</f>
      </c>
      <c r="AG53" s="0" t="n">
        <f>IF(AND(ISNUMBER(W53),W53&gt;0),W53,0)</f>
        <v>0</v>
      </c>
      <c r="AH53" s="0">
        <f>IF(AG53&gt;0,COUNTIFS($AG$13:AG53,"&gt;0"),"")</f>
      </c>
    </row>
    <row r="54" ht="22" customHeight="1">
      <c r="B54" s="27">
        <f>IF(K54="","",INDEX('PEGAR'!$O$13:$O$512,K54))</f>
      </c>
      <c r="C54" s="30">
        <f>IF(B54="","",IF(LEN(TRIM(INDEX('PEGAR'!$B$13:$B$512,IF(L54&gt;0,L54,K54))&amp;""))=0,"Sin capítulo",TRIM(INDEX('PEGAR'!$B$13:$B$512,IF(L54&gt;0,L54,K54))&amp;"")))</f>
      </c>
      <c r="D54" s="27">
        <f>IF(B54="","",IF(LEN(TRIM(INDEX('PEGAR'!$C$13:$C$512,IF(L54&gt;0,L54,K54))&amp;""))=0,"",TRIM(INDEX('PEGAR'!$C$13:$C$512,IF(L54&gt;0,L54,K54))&amp;"")))</f>
      </c>
      <c r="E54" s="27">
        <f>IF(B54="","",INDEX('PEGAR'!$S$13:$S$512,IF(L54&gt;0,L54,K54)))</f>
      </c>
      <c r="F54" s="39">
        <f>IF(B54="","",IF(L54&gt;0,INDEX('PEGAR'!$F$13:$F$512,L54),""))</f>
      </c>
      <c r="G54" s="39">
        <f>IF(B54="","",IF(OR(M54=0,N54&gt;0,O54&gt;0),"",SUMIFS('PEGAR'!$M$13:$M$512,'PEGAR'!$O$13:$O$512,B54)))</f>
      </c>
      <c r="H54" s="39">
        <f>IF(AND(ISNUMBER(F54),ISNUMBER(G54)),G54-F54,"")</f>
      </c>
      <c r="I54" s="27">
        <f>IF(B54="","",IF(W54=2,"ROJO",IF(W54=1,"ÁMBAR","VERDE")))</f>
      </c>
      <c r="J54" s="30">
        <f>IF(B54="","",IF(W54=0,"Sin avisos numéricos. Revisamos el alcance aparte.",IF(L54=0,"Faltan datos completos de partida; no elegimos un total por suposición."&amp;CHAR(10),"")&amp;IF(N54&gt;0,"Hay filas incompletas o contradictorias; las revisamos en PEGAR."&amp;CHAR(10),"")&amp;IF(O54&gt;0,"Faltan las medidas de alguna fila; no cerramos la suma."&amp;CHAR(10),"")&amp;IF(M54=0,"No constan líneas de medición."&amp;CHAR(10),"")&amp;IF(IF(ISNUMBER(H54),ROUND(ABS(H54),8)&gt;$F$6,FALSE),"Las líneas difieren del total en más de 0,01; confirmamos cantidad o exclusión."&amp;CHAR(10),"")&amp;IF(P54&gt;0,"Parece m³: encontramos tres dimensiones bajo m²."&amp;CHAR(10),"")&amp;IF(R54&gt;0,"Código repetido dentro del capítulo; mantenemos sus ID separados."&amp;CHAR(10),"")&amp;IF(S54&gt;0,"Código repetido en otro capítulo; no unimos las partidas."&amp;CHAR(10),"")&amp;IF(T54&gt;0,"Mismo código con unidades distintas; pedimos aclaración."&amp;CHAR(10),"")&amp;IF(Q54&gt;0,"Hay más precisión que los decimales indicados; cotejamos el formato original."&amp;CHAR(10),"")&amp;IF(U54&gt;0,"Unidad sin normalizar; cotejamos su significado antes de sumar unidades."&amp;CHAR(10),"")&amp;IF(V54&gt;0,"Revisamos dimensiones, cantidades directas, ceros o deducciones en PEGAR."&amp;CHAR(10),"")))</f>
      </c>
      <c r="K54" s="0">
        <f>IF(42&gt;'RESUMEN'!$E$6,"",MATCH(42,'PEGAR'!$W$13:$W$512,0))</f>
      </c>
      <c r="L54" s="0">
        <f>IF(K54="","",INDEX('PEGAR'!$R$13:$R$512,K54))</f>
      </c>
      <c r="M54" s="0">
        <f>IF(B54="","",COUNTIFS('PEGAR'!$O$13:$O$512,B54,'PEGAR'!$P$13:$P$512,"DIMENSIONES")+COUNTIFS('PEGAR'!$O$13:$O$512,B54,'PEGAR'!$P$13:$P$512,"DIRECTA"))</f>
      </c>
      <c r="N54" s="0">
        <f>IF(B54="","",COUNTIFS('PEGAR'!$O$13:$O$512,B54,'PEGAR'!$X$13:$X$512,2))</f>
      </c>
      <c r="O54" s="0">
        <f>IF(B54="","",COUNTIFS('PEGAR'!$O$13:$O$512,B54,'PEGAR'!$P$13:$P$512,"SIN LÍNEAS"))</f>
      </c>
      <c r="P54" s="0">
        <f>IF(B54="","",SUMIFS('PEGAR'!$Y$13:$Y$512,'PEGAR'!$O$13:$O$512,B54))</f>
      </c>
      <c r="Q54" s="0">
        <f>IF(B54="","",SUMIFS('PEGAR'!$Z$13:$Z$512,'PEGAR'!$O$13:$O$512,B54))</f>
      </c>
      <c r="R54" s="0" t="n">
        <f>IF(OR(B54="",D54=""),0,SUMPRODUCT(--($B$13:$B$512&lt;&gt;""),--($D$13:$D$512=D54),--($C$13:$C$512=C54))-1)</f>
        <v>0</v>
      </c>
      <c r="S54" s="0" t="n">
        <f>IF(OR(B54="",D54=""),0,SUMPRODUCT(--($B$13:$B$512&lt;&gt;""),--($D$13:$D$512=D54),--($C$13:$C$512&lt;&gt;C54)))</f>
        <v>0</v>
      </c>
      <c r="T54" s="0" t="n">
        <f>IF(OR(B54="",D54=""),0,SUMPRODUCT(--($B$13:$B$512&lt;&gt;""),--($D$13:$D$512=D54),--($E$13:$E$512&lt;&gt;E54)))</f>
        <v>0</v>
      </c>
      <c r="U54" s="0" t="n">
        <f>IF(B54="",0,IF(SUMPRODUCT(--('LÉEME'!$C$65:$C$86=E54))=0,1,0))</f>
        <v>0</v>
      </c>
      <c r="V54" s="0">
        <f>IF(B54="","",SUMIFS('PEGAR'!$AA$13:$AA$512,'PEGAR'!$O$13:$O$512,B54))</f>
      </c>
      <c r="W54" s="0">
        <f>IF(B54="","",IF(OR(L54=0,N54&gt;0,T54&gt;0,IF(ISNUMBER(H54),ROUND(ABS(H54),8)&gt;$F$6,FALSE)),2,IF(OR(M54=0,O54&gt;0,P54&gt;0,Q54&gt;0,R54&gt;0,S54&gt;0,U54&gt;0,V54&gt;0),1,0)))</f>
      </c>
      <c r="X54" s="0">
        <f>IF(B54="","",IF(ISNUMBER(G54),1,0))</f>
      </c>
      <c r="AB54" s="0">
        <f>IF(AND(ISNUMBER(W54),W54&gt;0),"ID "&amp;B54,"")</f>
      </c>
      <c r="AC54" s="0">
        <f>IF(AND(ISNUMBER(W54),W54&gt;0),C54,"")</f>
      </c>
      <c r="AD54" s="0">
        <f>IF(AND(ISNUMBER(W54),W54&gt;0),D54,"")</f>
      </c>
      <c r="AE54" s="0">
        <f>IF(AND(ISNUMBER(W54),W54&gt;0),IF(INDEX('PEGAR'!$D$13:$D$512,IF(L54&gt;0,L54,K54))="","Sin descripción",INDEX('PEGAR'!$D$13:$D$512,IF(L54&gt;0,L54,K54))),"")</f>
      </c>
      <c r="AF54" s="0">
        <f>IF(AND(ISNUMBER(W54),W54&gt;0),J54,"")</f>
      </c>
      <c r="AG54" s="0" t="n">
        <f>IF(AND(ISNUMBER(W54),W54&gt;0),W54,0)</f>
        <v>0</v>
      </c>
      <c r="AH54" s="0">
        <f>IF(AG54&gt;0,COUNTIFS($AG$13:AG54,"&gt;0"),"")</f>
      </c>
    </row>
    <row r="55" ht="22" customHeight="1">
      <c r="B55" s="27">
        <f>IF(K55="","",INDEX('PEGAR'!$O$13:$O$512,K55))</f>
      </c>
      <c r="C55" s="30">
        <f>IF(B55="","",IF(LEN(TRIM(INDEX('PEGAR'!$B$13:$B$512,IF(L55&gt;0,L55,K55))&amp;""))=0,"Sin capítulo",TRIM(INDEX('PEGAR'!$B$13:$B$512,IF(L55&gt;0,L55,K55))&amp;"")))</f>
      </c>
      <c r="D55" s="27">
        <f>IF(B55="","",IF(LEN(TRIM(INDEX('PEGAR'!$C$13:$C$512,IF(L55&gt;0,L55,K55))&amp;""))=0,"",TRIM(INDEX('PEGAR'!$C$13:$C$512,IF(L55&gt;0,L55,K55))&amp;"")))</f>
      </c>
      <c r="E55" s="27">
        <f>IF(B55="","",INDEX('PEGAR'!$S$13:$S$512,IF(L55&gt;0,L55,K55)))</f>
      </c>
      <c r="F55" s="39">
        <f>IF(B55="","",IF(L55&gt;0,INDEX('PEGAR'!$F$13:$F$512,L55),""))</f>
      </c>
      <c r="G55" s="39">
        <f>IF(B55="","",IF(OR(M55=0,N55&gt;0,O55&gt;0),"",SUMIFS('PEGAR'!$M$13:$M$512,'PEGAR'!$O$13:$O$512,B55)))</f>
      </c>
      <c r="H55" s="39">
        <f>IF(AND(ISNUMBER(F55),ISNUMBER(G55)),G55-F55,"")</f>
      </c>
      <c r="I55" s="27">
        <f>IF(B55="","",IF(W55=2,"ROJO",IF(W55=1,"ÁMBAR","VERDE")))</f>
      </c>
      <c r="J55" s="30">
        <f>IF(B55="","",IF(W55=0,"Sin avisos numéricos. Revisamos el alcance aparte.",IF(L55=0,"Faltan datos completos de partida; no elegimos un total por suposición."&amp;CHAR(10),"")&amp;IF(N55&gt;0,"Hay filas incompletas o contradictorias; las revisamos en PEGAR."&amp;CHAR(10),"")&amp;IF(O55&gt;0,"Faltan las medidas de alguna fila; no cerramos la suma."&amp;CHAR(10),"")&amp;IF(M55=0,"No constan líneas de medición."&amp;CHAR(10),"")&amp;IF(IF(ISNUMBER(H55),ROUND(ABS(H55),8)&gt;$F$6,FALSE),"Las líneas difieren del total en más de 0,01; confirmamos cantidad o exclusión."&amp;CHAR(10),"")&amp;IF(P55&gt;0,"Parece m³: encontramos tres dimensiones bajo m²."&amp;CHAR(10),"")&amp;IF(R55&gt;0,"Código repetido dentro del capítulo; mantenemos sus ID separados."&amp;CHAR(10),"")&amp;IF(S55&gt;0,"Código repetido en otro capítulo; no unimos las partidas."&amp;CHAR(10),"")&amp;IF(T55&gt;0,"Mismo código con unidades distintas; pedimos aclaración."&amp;CHAR(10),"")&amp;IF(Q55&gt;0,"Hay más precisión que los decimales indicados; cotejamos el formato original."&amp;CHAR(10),"")&amp;IF(U55&gt;0,"Unidad sin normalizar; cotejamos su significado antes de sumar unidades."&amp;CHAR(10),"")&amp;IF(V55&gt;0,"Revisamos dimensiones, cantidades directas, ceros o deducciones en PEGAR."&amp;CHAR(10),"")))</f>
      </c>
      <c r="K55" s="0">
        <f>IF(43&gt;'RESUMEN'!$E$6,"",MATCH(43,'PEGAR'!$W$13:$W$512,0))</f>
      </c>
      <c r="L55" s="0">
        <f>IF(K55="","",INDEX('PEGAR'!$R$13:$R$512,K55))</f>
      </c>
      <c r="M55" s="0">
        <f>IF(B55="","",COUNTIFS('PEGAR'!$O$13:$O$512,B55,'PEGAR'!$P$13:$P$512,"DIMENSIONES")+COUNTIFS('PEGAR'!$O$13:$O$512,B55,'PEGAR'!$P$13:$P$512,"DIRECTA"))</f>
      </c>
      <c r="N55" s="0">
        <f>IF(B55="","",COUNTIFS('PEGAR'!$O$13:$O$512,B55,'PEGAR'!$X$13:$X$512,2))</f>
      </c>
      <c r="O55" s="0">
        <f>IF(B55="","",COUNTIFS('PEGAR'!$O$13:$O$512,B55,'PEGAR'!$P$13:$P$512,"SIN LÍNEAS"))</f>
      </c>
      <c r="P55" s="0">
        <f>IF(B55="","",SUMIFS('PEGAR'!$Y$13:$Y$512,'PEGAR'!$O$13:$O$512,B55))</f>
      </c>
      <c r="Q55" s="0">
        <f>IF(B55="","",SUMIFS('PEGAR'!$Z$13:$Z$512,'PEGAR'!$O$13:$O$512,B55))</f>
      </c>
      <c r="R55" s="0" t="n">
        <f>IF(OR(B55="",D55=""),0,SUMPRODUCT(--($B$13:$B$512&lt;&gt;""),--($D$13:$D$512=D55),--($C$13:$C$512=C55))-1)</f>
        <v>0</v>
      </c>
      <c r="S55" s="0" t="n">
        <f>IF(OR(B55="",D55=""),0,SUMPRODUCT(--($B$13:$B$512&lt;&gt;""),--($D$13:$D$512=D55),--($C$13:$C$512&lt;&gt;C55)))</f>
        <v>0</v>
      </c>
      <c r="T55" s="0" t="n">
        <f>IF(OR(B55="",D55=""),0,SUMPRODUCT(--($B$13:$B$512&lt;&gt;""),--($D$13:$D$512=D55),--($E$13:$E$512&lt;&gt;E55)))</f>
        <v>0</v>
      </c>
      <c r="U55" s="0" t="n">
        <f>IF(B55="",0,IF(SUMPRODUCT(--('LÉEME'!$C$65:$C$86=E55))=0,1,0))</f>
        <v>0</v>
      </c>
      <c r="V55" s="0">
        <f>IF(B55="","",SUMIFS('PEGAR'!$AA$13:$AA$512,'PEGAR'!$O$13:$O$512,B55))</f>
      </c>
      <c r="W55" s="0">
        <f>IF(B55="","",IF(OR(L55=0,N55&gt;0,T55&gt;0,IF(ISNUMBER(H55),ROUND(ABS(H55),8)&gt;$F$6,FALSE)),2,IF(OR(M55=0,O55&gt;0,P55&gt;0,Q55&gt;0,R55&gt;0,S55&gt;0,U55&gt;0,V55&gt;0),1,0)))</f>
      </c>
      <c r="X55" s="0">
        <f>IF(B55="","",IF(ISNUMBER(G55),1,0))</f>
      </c>
      <c r="AB55" s="0">
        <f>IF(AND(ISNUMBER(W55),W55&gt;0),"ID "&amp;B55,"")</f>
      </c>
      <c r="AC55" s="0">
        <f>IF(AND(ISNUMBER(W55),W55&gt;0),C55,"")</f>
      </c>
      <c r="AD55" s="0">
        <f>IF(AND(ISNUMBER(W55),W55&gt;0),D55,"")</f>
      </c>
      <c r="AE55" s="0">
        <f>IF(AND(ISNUMBER(W55),W55&gt;0),IF(INDEX('PEGAR'!$D$13:$D$512,IF(L55&gt;0,L55,K55))="","Sin descripción",INDEX('PEGAR'!$D$13:$D$512,IF(L55&gt;0,L55,K55))),"")</f>
      </c>
      <c r="AF55" s="0">
        <f>IF(AND(ISNUMBER(W55),W55&gt;0),J55,"")</f>
      </c>
      <c r="AG55" s="0" t="n">
        <f>IF(AND(ISNUMBER(W55),W55&gt;0),W55,0)</f>
        <v>0</v>
      </c>
      <c r="AH55" s="0">
        <f>IF(AG55&gt;0,COUNTIFS($AG$13:AG55,"&gt;0"),"")</f>
      </c>
    </row>
    <row r="56" ht="22" customHeight="1">
      <c r="B56" s="27">
        <f>IF(K56="","",INDEX('PEGAR'!$O$13:$O$512,K56))</f>
      </c>
      <c r="C56" s="30">
        <f>IF(B56="","",IF(LEN(TRIM(INDEX('PEGAR'!$B$13:$B$512,IF(L56&gt;0,L56,K56))&amp;""))=0,"Sin capítulo",TRIM(INDEX('PEGAR'!$B$13:$B$512,IF(L56&gt;0,L56,K56))&amp;"")))</f>
      </c>
      <c r="D56" s="27">
        <f>IF(B56="","",IF(LEN(TRIM(INDEX('PEGAR'!$C$13:$C$512,IF(L56&gt;0,L56,K56))&amp;""))=0,"",TRIM(INDEX('PEGAR'!$C$13:$C$512,IF(L56&gt;0,L56,K56))&amp;"")))</f>
      </c>
      <c r="E56" s="27">
        <f>IF(B56="","",INDEX('PEGAR'!$S$13:$S$512,IF(L56&gt;0,L56,K56)))</f>
      </c>
      <c r="F56" s="39">
        <f>IF(B56="","",IF(L56&gt;0,INDEX('PEGAR'!$F$13:$F$512,L56),""))</f>
      </c>
      <c r="G56" s="39">
        <f>IF(B56="","",IF(OR(M56=0,N56&gt;0,O56&gt;0),"",SUMIFS('PEGAR'!$M$13:$M$512,'PEGAR'!$O$13:$O$512,B56)))</f>
      </c>
      <c r="H56" s="39">
        <f>IF(AND(ISNUMBER(F56),ISNUMBER(G56)),G56-F56,"")</f>
      </c>
      <c r="I56" s="27">
        <f>IF(B56="","",IF(W56=2,"ROJO",IF(W56=1,"ÁMBAR","VERDE")))</f>
      </c>
      <c r="J56" s="30">
        <f>IF(B56="","",IF(W56=0,"Sin avisos numéricos. Revisamos el alcance aparte.",IF(L56=0,"Faltan datos completos de partida; no elegimos un total por suposición."&amp;CHAR(10),"")&amp;IF(N56&gt;0,"Hay filas incompletas o contradictorias; las revisamos en PEGAR."&amp;CHAR(10),"")&amp;IF(O56&gt;0,"Faltan las medidas de alguna fila; no cerramos la suma."&amp;CHAR(10),"")&amp;IF(M56=0,"No constan líneas de medición."&amp;CHAR(10),"")&amp;IF(IF(ISNUMBER(H56),ROUND(ABS(H56),8)&gt;$F$6,FALSE),"Las líneas difieren del total en más de 0,01; confirmamos cantidad o exclusión."&amp;CHAR(10),"")&amp;IF(P56&gt;0,"Parece m³: encontramos tres dimensiones bajo m²."&amp;CHAR(10),"")&amp;IF(R56&gt;0,"Código repetido dentro del capítulo; mantenemos sus ID separados."&amp;CHAR(10),"")&amp;IF(S56&gt;0,"Código repetido en otro capítulo; no unimos las partidas."&amp;CHAR(10),"")&amp;IF(T56&gt;0,"Mismo código con unidades distintas; pedimos aclaración."&amp;CHAR(10),"")&amp;IF(Q56&gt;0,"Hay más precisión que los decimales indicados; cotejamos el formato original."&amp;CHAR(10),"")&amp;IF(U56&gt;0,"Unidad sin normalizar; cotejamos su significado antes de sumar unidades."&amp;CHAR(10),"")&amp;IF(V56&gt;0,"Revisamos dimensiones, cantidades directas, ceros o deducciones en PEGAR."&amp;CHAR(10),"")))</f>
      </c>
      <c r="K56" s="0">
        <f>IF(44&gt;'RESUMEN'!$E$6,"",MATCH(44,'PEGAR'!$W$13:$W$512,0))</f>
      </c>
      <c r="L56" s="0">
        <f>IF(K56="","",INDEX('PEGAR'!$R$13:$R$512,K56))</f>
      </c>
      <c r="M56" s="0">
        <f>IF(B56="","",COUNTIFS('PEGAR'!$O$13:$O$512,B56,'PEGAR'!$P$13:$P$512,"DIMENSIONES")+COUNTIFS('PEGAR'!$O$13:$O$512,B56,'PEGAR'!$P$13:$P$512,"DIRECTA"))</f>
      </c>
      <c r="N56" s="0">
        <f>IF(B56="","",COUNTIFS('PEGAR'!$O$13:$O$512,B56,'PEGAR'!$X$13:$X$512,2))</f>
      </c>
      <c r="O56" s="0">
        <f>IF(B56="","",COUNTIFS('PEGAR'!$O$13:$O$512,B56,'PEGAR'!$P$13:$P$512,"SIN LÍNEAS"))</f>
      </c>
      <c r="P56" s="0">
        <f>IF(B56="","",SUMIFS('PEGAR'!$Y$13:$Y$512,'PEGAR'!$O$13:$O$512,B56))</f>
      </c>
      <c r="Q56" s="0">
        <f>IF(B56="","",SUMIFS('PEGAR'!$Z$13:$Z$512,'PEGAR'!$O$13:$O$512,B56))</f>
      </c>
      <c r="R56" s="0" t="n">
        <f>IF(OR(B56="",D56=""),0,SUMPRODUCT(--($B$13:$B$512&lt;&gt;""),--($D$13:$D$512=D56),--($C$13:$C$512=C56))-1)</f>
        <v>0</v>
      </c>
      <c r="S56" s="0" t="n">
        <f>IF(OR(B56="",D56=""),0,SUMPRODUCT(--($B$13:$B$512&lt;&gt;""),--($D$13:$D$512=D56),--($C$13:$C$512&lt;&gt;C56)))</f>
        <v>0</v>
      </c>
      <c r="T56" s="0" t="n">
        <f>IF(OR(B56="",D56=""),0,SUMPRODUCT(--($B$13:$B$512&lt;&gt;""),--($D$13:$D$512=D56),--($E$13:$E$512&lt;&gt;E56)))</f>
        <v>0</v>
      </c>
      <c r="U56" s="0" t="n">
        <f>IF(B56="",0,IF(SUMPRODUCT(--('LÉEME'!$C$65:$C$86=E56))=0,1,0))</f>
        <v>0</v>
      </c>
      <c r="V56" s="0">
        <f>IF(B56="","",SUMIFS('PEGAR'!$AA$13:$AA$512,'PEGAR'!$O$13:$O$512,B56))</f>
      </c>
      <c r="W56" s="0">
        <f>IF(B56="","",IF(OR(L56=0,N56&gt;0,T56&gt;0,IF(ISNUMBER(H56),ROUND(ABS(H56),8)&gt;$F$6,FALSE)),2,IF(OR(M56=0,O56&gt;0,P56&gt;0,Q56&gt;0,R56&gt;0,S56&gt;0,U56&gt;0,V56&gt;0),1,0)))</f>
      </c>
      <c r="X56" s="0">
        <f>IF(B56="","",IF(ISNUMBER(G56),1,0))</f>
      </c>
      <c r="AB56" s="0">
        <f>IF(AND(ISNUMBER(W56),W56&gt;0),"ID "&amp;B56,"")</f>
      </c>
      <c r="AC56" s="0">
        <f>IF(AND(ISNUMBER(W56),W56&gt;0),C56,"")</f>
      </c>
      <c r="AD56" s="0">
        <f>IF(AND(ISNUMBER(W56),W56&gt;0),D56,"")</f>
      </c>
      <c r="AE56" s="0">
        <f>IF(AND(ISNUMBER(W56),W56&gt;0),IF(INDEX('PEGAR'!$D$13:$D$512,IF(L56&gt;0,L56,K56))="","Sin descripción",INDEX('PEGAR'!$D$13:$D$512,IF(L56&gt;0,L56,K56))),"")</f>
      </c>
      <c r="AF56" s="0">
        <f>IF(AND(ISNUMBER(W56),W56&gt;0),J56,"")</f>
      </c>
      <c r="AG56" s="0" t="n">
        <f>IF(AND(ISNUMBER(W56),W56&gt;0),W56,0)</f>
        <v>0</v>
      </c>
      <c r="AH56" s="0">
        <f>IF(AG56&gt;0,COUNTIFS($AG$13:AG56,"&gt;0"),"")</f>
      </c>
    </row>
    <row r="57" ht="22" customHeight="1">
      <c r="B57" s="27">
        <f>IF(K57="","",INDEX('PEGAR'!$O$13:$O$512,K57))</f>
      </c>
      <c r="C57" s="30">
        <f>IF(B57="","",IF(LEN(TRIM(INDEX('PEGAR'!$B$13:$B$512,IF(L57&gt;0,L57,K57))&amp;""))=0,"Sin capítulo",TRIM(INDEX('PEGAR'!$B$13:$B$512,IF(L57&gt;0,L57,K57))&amp;"")))</f>
      </c>
      <c r="D57" s="27">
        <f>IF(B57="","",IF(LEN(TRIM(INDEX('PEGAR'!$C$13:$C$512,IF(L57&gt;0,L57,K57))&amp;""))=0,"",TRIM(INDEX('PEGAR'!$C$13:$C$512,IF(L57&gt;0,L57,K57))&amp;"")))</f>
      </c>
      <c r="E57" s="27">
        <f>IF(B57="","",INDEX('PEGAR'!$S$13:$S$512,IF(L57&gt;0,L57,K57)))</f>
      </c>
      <c r="F57" s="39">
        <f>IF(B57="","",IF(L57&gt;0,INDEX('PEGAR'!$F$13:$F$512,L57),""))</f>
      </c>
      <c r="G57" s="39">
        <f>IF(B57="","",IF(OR(M57=0,N57&gt;0,O57&gt;0),"",SUMIFS('PEGAR'!$M$13:$M$512,'PEGAR'!$O$13:$O$512,B57)))</f>
      </c>
      <c r="H57" s="39">
        <f>IF(AND(ISNUMBER(F57),ISNUMBER(G57)),G57-F57,"")</f>
      </c>
      <c r="I57" s="27">
        <f>IF(B57="","",IF(W57=2,"ROJO",IF(W57=1,"ÁMBAR","VERDE")))</f>
      </c>
      <c r="J57" s="30">
        <f>IF(B57="","",IF(W57=0,"Sin avisos numéricos. Revisamos el alcance aparte.",IF(L57=0,"Faltan datos completos de partida; no elegimos un total por suposición."&amp;CHAR(10),"")&amp;IF(N57&gt;0,"Hay filas incompletas o contradictorias; las revisamos en PEGAR."&amp;CHAR(10),"")&amp;IF(O57&gt;0,"Faltan las medidas de alguna fila; no cerramos la suma."&amp;CHAR(10),"")&amp;IF(M57=0,"No constan líneas de medición."&amp;CHAR(10),"")&amp;IF(IF(ISNUMBER(H57),ROUND(ABS(H57),8)&gt;$F$6,FALSE),"Las líneas difieren del total en más de 0,01; confirmamos cantidad o exclusión."&amp;CHAR(10),"")&amp;IF(P57&gt;0,"Parece m³: encontramos tres dimensiones bajo m²."&amp;CHAR(10),"")&amp;IF(R57&gt;0,"Código repetido dentro del capítulo; mantenemos sus ID separados."&amp;CHAR(10),"")&amp;IF(S57&gt;0,"Código repetido en otro capítulo; no unimos las partidas."&amp;CHAR(10),"")&amp;IF(T57&gt;0,"Mismo código con unidades distintas; pedimos aclaración."&amp;CHAR(10),"")&amp;IF(Q57&gt;0,"Hay más precisión que los decimales indicados; cotejamos el formato original."&amp;CHAR(10),"")&amp;IF(U57&gt;0,"Unidad sin normalizar; cotejamos su significado antes de sumar unidades."&amp;CHAR(10),"")&amp;IF(V57&gt;0,"Revisamos dimensiones, cantidades directas, ceros o deducciones en PEGAR."&amp;CHAR(10),"")))</f>
      </c>
      <c r="K57" s="0">
        <f>IF(45&gt;'RESUMEN'!$E$6,"",MATCH(45,'PEGAR'!$W$13:$W$512,0))</f>
      </c>
      <c r="L57" s="0">
        <f>IF(K57="","",INDEX('PEGAR'!$R$13:$R$512,K57))</f>
      </c>
      <c r="M57" s="0">
        <f>IF(B57="","",COUNTIFS('PEGAR'!$O$13:$O$512,B57,'PEGAR'!$P$13:$P$512,"DIMENSIONES")+COUNTIFS('PEGAR'!$O$13:$O$512,B57,'PEGAR'!$P$13:$P$512,"DIRECTA"))</f>
      </c>
      <c r="N57" s="0">
        <f>IF(B57="","",COUNTIFS('PEGAR'!$O$13:$O$512,B57,'PEGAR'!$X$13:$X$512,2))</f>
      </c>
      <c r="O57" s="0">
        <f>IF(B57="","",COUNTIFS('PEGAR'!$O$13:$O$512,B57,'PEGAR'!$P$13:$P$512,"SIN LÍNEAS"))</f>
      </c>
      <c r="P57" s="0">
        <f>IF(B57="","",SUMIFS('PEGAR'!$Y$13:$Y$512,'PEGAR'!$O$13:$O$512,B57))</f>
      </c>
      <c r="Q57" s="0">
        <f>IF(B57="","",SUMIFS('PEGAR'!$Z$13:$Z$512,'PEGAR'!$O$13:$O$512,B57))</f>
      </c>
      <c r="R57" s="0" t="n">
        <f>IF(OR(B57="",D57=""),0,SUMPRODUCT(--($B$13:$B$512&lt;&gt;""),--($D$13:$D$512=D57),--($C$13:$C$512=C57))-1)</f>
        <v>0</v>
      </c>
      <c r="S57" s="0" t="n">
        <f>IF(OR(B57="",D57=""),0,SUMPRODUCT(--($B$13:$B$512&lt;&gt;""),--($D$13:$D$512=D57),--($C$13:$C$512&lt;&gt;C57)))</f>
        <v>0</v>
      </c>
      <c r="T57" s="0" t="n">
        <f>IF(OR(B57="",D57=""),0,SUMPRODUCT(--($B$13:$B$512&lt;&gt;""),--($D$13:$D$512=D57),--($E$13:$E$512&lt;&gt;E57)))</f>
        <v>0</v>
      </c>
      <c r="U57" s="0" t="n">
        <f>IF(B57="",0,IF(SUMPRODUCT(--('LÉEME'!$C$65:$C$86=E57))=0,1,0))</f>
        <v>0</v>
      </c>
      <c r="V57" s="0">
        <f>IF(B57="","",SUMIFS('PEGAR'!$AA$13:$AA$512,'PEGAR'!$O$13:$O$512,B57))</f>
      </c>
      <c r="W57" s="0">
        <f>IF(B57="","",IF(OR(L57=0,N57&gt;0,T57&gt;0,IF(ISNUMBER(H57),ROUND(ABS(H57),8)&gt;$F$6,FALSE)),2,IF(OR(M57=0,O57&gt;0,P57&gt;0,Q57&gt;0,R57&gt;0,S57&gt;0,U57&gt;0,V57&gt;0),1,0)))</f>
      </c>
      <c r="X57" s="0">
        <f>IF(B57="","",IF(ISNUMBER(G57),1,0))</f>
      </c>
      <c r="AB57" s="0">
        <f>IF(AND(ISNUMBER(W57),W57&gt;0),"ID "&amp;B57,"")</f>
      </c>
      <c r="AC57" s="0">
        <f>IF(AND(ISNUMBER(W57),W57&gt;0),C57,"")</f>
      </c>
      <c r="AD57" s="0">
        <f>IF(AND(ISNUMBER(W57),W57&gt;0),D57,"")</f>
      </c>
      <c r="AE57" s="0">
        <f>IF(AND(ISNUMBER(W57),W57&gt;0),IF(INDEX('PEGAR'!$D$13:$D$512,IF(L57&gt;0,L57,K57))="","Sin descripción",INDEX('PEGAR'!$D$13:$D$512,IF(L57&gt;0,L57,K57))),"")</f>
      </c>
      <c r="AF57" s="0">
        <f>IF(AND(ISNUMBER(W57),W57&gt;0),J57,"")</f>
      </c>
      <c r="AG57" s="0" t="n">
        <f>IF(AND(ISNUMBER(W57),W57&gt;0),W57,0)</f>
        <v>0</v>
      </c>
      <c r="AH57" s="0">
        <f>IF(AG57&gt;0,COUNTIFS($AG$13:AG57,"&gt;0"),"")</f>
      </c>
    </row>
    <row r="58" ht="22" customHeight="1">
      <c r="B58" s="27">
        <f>IF(K58="","",INDEX('PEGAR'!$O$13:$O$512,K58))</f>
      </c>
      <c r="C58" s="30">
        <f>IF(B58="","",IF(LEN(TRIM(INDEX('PEGAR'!$B$13:$B$512,IF(L58&gt;0,L58,K58))&amp;""))=0,"Sin capítulo",TRIM(INDEX('PEGAR'!$B$13:$B$512,IF(L58&gt;0,L58,K58))&amp;"")))</f>
      </c>
      <c r="D58" s="27">
        <f>IF(B58="","",IF(LEN(TRIM(INDEX('PEGAR'!$C$13:$C$512,IF(L58&gt;0,L58,K58))&amp;""))=0,"",TRIM(INDEX('PEGAR'!$C$13:$C$512,IF(L58&gt;0,L58,K58))&amp;"")))</f>
      </c>
      <c r="E58" s="27">
        <f>IF(B58="","",INDEX('PEGAR'!$S$13:$S$512,IF(L58&gt;0,L58,K58)))</f>
      </c>
      <c r="F58" s="39">
        <f>IF(B58="","",IF(L58&gt;0,INDEX('PEGAR'!$F$13:$F$512,L58),""))</f>
      </c>
      <c r="G58" s="39">
        <f>IF(B58="","",IF(OR(M58=0,N58&gt;0,O58&gt;0),"",SUMIFS('PEGAR'!$M$13:$M$512,'PEGAR'!$O$13:$O$512,B58)))</f>
      </c>
      <c r="H58" s="39">
        <f>IF(AND(ISNUMBER(F58),ISNUMBER(G58)),G58-F58,"")</f>
      </c>
      <c r="I58" s="27">
        <f>IF(B58="","",IF(W58=2,"ROJO",IF(W58=1,"ÁMBAR","VERDE")))</f>
      </c>
      <c r="J58" s="30">
        <f>IF(B58="","",IF(W58=0,"Sin avisos numéricos. Revisamos el alcance aparte.",IF(L58=0,"Faltan datos completos de partida; no elegimos un total por suposición."&amp;CHAR(10),"")&amp;IF(N58&gt;0,"Hay filas incompletas o contradictorias; las revisamos en PEGAR."&amp;CHAR(10),"")&amp;IF(O58&gt;0,"Faltan las medidas de alguna fila; no cerramos la suma."&amp;CHAR(10),"")&amp;IF(M58=0,"No constan líneas de medición."&amp;CHAR(10),"")&amp;IF(IF(ISNUMBER(H58),ROUND(ABS(H58),8)&gt;$F$6,FALSE),"Las líneas difieren del total en más de 0,01; confirmamos cantidad o exclusión."&amp;CHAR(10),"")&amp;IF(P58&gt;0,"Parece m³: encontramos tres dimensiones bajo m²."&amp;CHAR(10),"")&amp;IF(R58&gt;0,"Código repetido dentro del capítulo; mantenemos sus ID separados."&amp;CHAR(10),"")&amp;IF(S58&gt;0,"Código repetido en otro capítulo; no unimos las partidas."&amp;CHAR(10),"")&amp;IF(T58&gt;0,"Mismo código con unidades distintas; pedimos aclaración."&amp;CHAR(10),"")&amp;IF(Q58&gt;0,"Hay más precisión que los decimales indicados; cotejamos el formato original."&amp;CHAR(10),"")&amp;IF(U58&gt;0,"Unidad sin normalizar; cotejamos su significado antes de sumar unidades."&amp;CHAR(10),"")&amp;IF(V58&gt;0,"Revisamos dimensiones, cantidades directas, ceros o deducciones en PEGAR."&amp;CHAR(10),"")))</f>
      </c>
      <c r="K58" s="0">
        <f>IF(46&gt;'RESUMEN'!$E$6,"",MATCH(46,'PEGAR'!$W$13:$W$512,0))</f>
      </c>
      <c r="L58" s="0">
        <f>IF(K58="","",INDEX('PEGAR'!$R$13:$R$512,K58))</f>
      </c>
      <c r="M58" s="0">
        <f>IF(B58="","",COUNTIFS('PEGAR'!$O$13:$O$512,B58,'PEGAR'!$P$13:$P$512,"DIMENSIONES")+COUNTIFS('PEGAR'!$O$13:$O$512,B58,'PEGAR'!$P$13:$P$512,"DIRECTA"))</f>
      </c>
      <c r="N58" s="0">
        <f>IF(B58="","",COUNTIFS('PEGAR'!$O$13:$O$512,B58,'PEGAR'!$X$13:$X$512,2))</f>
      </c>
      <c r="O58" s="0">
        <f>IF(B58="","",COUNTIFS('PEGAR'!$O$13:$O$512,B58,'PEGAR'!$P$13:$P$512,"SIN LÍNEAS"))</f>
      </c>
      <c r="P58" s="0">
        <f>IF(B58="","",SUMIFS('PEGAR'!$Y$13:$Y$512,'PEGAR'!$O$13:$O$512,B58))</f>
      </c>
      <c r="Q58" s="0">
        <f>IF(B58="","",SUMIFS('PEGAR'!$Z$13:$Z$512,'PEGAR'!$O$13:$O$512,B58))</f>
      </c>
      <c r="R58" s="0" t="n">
        <f>IF(OR(B58="",D58=""),0,SUMPRODUCT(--($B$13:$B$512&lt;&gt;""),--($D$13:$D$512=D58),--($C$13:$C$512=C58))-1)</f>
        <v>0</v>
      </c>
      <c r="S58" s="0" t="n">
        <f>IF(OR(B58="",D58=""),0,SUMPRODUCT(--($B$13:$B$512&lt;&gt;""),--($D$13:$D$512=D58),--($C$13:$C$512&lt;&gt;C58)))</f>
        <v>0</v>
      </c>
      <c r="T58" s="0" t="n">
        <f>IF(OR(B58="",D58=""),0,SUMPRODUCT(--($B$13:$B$512&lt;&gt;""),--($D$13:$D$512=D58),--($E$13:$E$512&lt;&gt;E58)))</f>
        <v>0</v>
      </c>
      <c r="U58" s="0" t="n">
        <f>IF(B58="",0,IF(SUMPRODUCT(--('LÉEME'!$C$65:$C$86=E58))=0,1,0))</f>
        <v>0</v>
      </c>
      <c r="V58" s="0">
        <f>IF(B58="","",SUMIFS('PEGAR'!$AA$13:$AA$512,'PEGAR'!$O$13:$O$512,B58))</f>
      </c>
      <c r="W58" s="0">
        <f>IF(B58="","",IF(OR(L58=0,N58&gt;0,T58&gt;0,IF(ISNUMBER(H58),ROUND(ABS(H58),8)&gt;$F$6,FALSE)),2,IF(OR(M58=0,O58&gt;0,P58&gt;0,Q58&gt;0,R58&gt;0,S58&gt;0,U58&gt;0,V58&gt;0),1,0)))</f>
      </c>
      <c r="X58" s="0">
        <f>IF(B58="","",IF(ISNUMBER(G58),1,0))</f>
      </c>
      <c r="AB58" s="0">
        <f>IF(AND(ISNUMBER(W58),W58&gt;0),"ID "&amp;B58,"")</f>
      </c>
      <c r="AC58" s="0">
        <f>IF(AND(ISNUMBER(W58),W58&gt;0),C58,"")</f>
      </c>
      <c r="AD58" s="0">
        <f>IF(AND(ISNUMBER(W58),W58&gt;0),D58,"")</f>
      </c>
      <c r="AE58" s="0">
        <f>IF(AND(ISNUMBER(W58),W58&gt;0),IF(INDEX('PEGAR'!$D$13:$D$512,IF(L58&gt;0,L58,K58))="","Sin descripción",INDEX('PEGAR'!$D$13:$D$512,IF(L58&gt;0,L58,K58))),"")</f>
      </c>
      <c r="AF58" s="0">
        <f>IF(AND(ISNUMBER(W58),W58&gt;0),J58,"")</f>
      </c>
      <c r="AG58" s="0" t="n">
        <f>IF(AND(ISNUMBER(W58),W58&gt;0),W58,0)</f>
        <v>0</v>
      </c>
      <c r="AH58" s="0">
        <f>IF(AG58&gt;0,COUNTIFS($AG$13:AG58,"&gt;0"),"")</f>
      </c>
    </row>
    <row r="59" ht="22" customHeight="1">
      <c r="B59" s="27">
        <f>IF(K59="","",INDEX('PEGAR'!$O$13:$O$512,K59))</f>
      </c>
      <c r="C59" s="30">
        <f>IF(B59="","",IF(LEN(TRIM(INDEX('PEGAR'!$B$13:$B$512,IF(L59&gt;0,L59,K59))&amp;""))=0,"Sin capítulo",TRIM(INDEX('PEGAR'!$B$13:$B$512,IF(L59&gt;0,L59,K59))&amp;"")))</f>
      </c>
      <c r="D59" s="27">
        <f>IF(B59="","",IF(LEN(TRIM(INDEX('PEGAR'!$C$13:$C$512,IF(L59&gt;0,L59,K59))&amp;""))=0,"",TRIM(INDEX('PEGAR'!$C$13:$C$512,IF(L59&gt;0,L59,K59))&amp;"")))</f>
      </c>
      <c r="E59" s="27">
        <f>IF(B59="","",INDEX('PEGAR'!$S$13:$S$512,IF(L59&gt;0,L59,K59)))</f>
      </c>
      <c r="F59" s="39">
        <f>IF(B59="","",IF(L59&gt;0,INDEX('PEGAR'!$F$13:$F$512,L59),""))</f>
      </c>
      <c r="G59" s="39">
        <f>IF(B59="","",IF(OR(M59=0,N59&gt;0,O59&gt;0),"",SUMIFS('PEGAR'!$M$13:$M$512,'PEGAR'!$O$13:$O$512,B59)))</f>
      </c>
      <c r="H59" s="39">
        <f>IF(AND(ISNUMBER(F59),ISNUMBER(G59)),G59-F59,"")</f>
      </c>
      <c r="I59" s="27">
        <f>IF(B59="","",IF(W59=2,"ROJO",IF(W59=1,"ÁMBAR","VERDE")))</f>
      </c>
      <c r="J59" s="30">
        <f>IF(B59="","",IF(W59=0,"Sin avisos numéricos. Revisamos el alcance aparte.",IF(L59=0,"Faltan datos completos de partida; no elegimos un total por suposición."&amp;CHAR(10),"")&amp;IF(N59&gt;0,"Hay filas incompletas o contradictorias; las revisamos en PEGAR."&amp;CHAR(10),"")&amp;IF(O59&gt;0,"Faltan las medidas de alguna fila; no cerramos la suma."&amp;CHAR(10),"")&amp;IF(M59=0,"No constan líneas de medición."&amp;CHAR(10),"")&amp;IF(IF(ISNUMBER(H59),ROUND(ABS(H59),8)&gt;$F$6,FALSE),"Las líneas difieren del total en más de 0,01; confirmamos cantidad o exclusión."&amp;CHAR(10),"")&amp;IF(P59&gt;0,"Parece m³: encontramos tres dimensiones bajo m²."&amp;CHAR(10),"")&amp;IF(R59&gt;0,"Código repetido dentro del capítulo; mantenemos sus ID separados."&amp;CHAR(10),"")&amp;IF(S59&gt;0,"Código repetido en otro capítulo; no unimos las partidas."&amp;CHAR(10),"")&amp;IF(T59&gt;0,"Mismo código con unidades distintas; pedimos aclaración."&amp;CHAR(10),"")&amp;IF(Q59&gt;0,"Hay más precisión que los decimales indicados; cotejamos el formato original."&amp;CHAR(10),"")&amp;IF(U59&gt;0,"Unidad sin normalizar; cotejamos su significado antes de sumar unidades."&amp;CHAR(10),"")&amp;IF(V59&gt;0,"Revisamos dimensiones, cantidades directas, ceros o deducciones en PEGAR."&amp;CHAR(10),"")))</f>
      </c>
      <c r="K59" s="0">
        <f>IF(47&gt;'RESUMEN'!$E$6,"",MATCH(47,'PEGAR'!$W$13:$W$512,0))</f>
      </c>
      <c r="L59" s="0">
        <f>IF(K59="","",INDEX('PEGAR'!$R$13:$R$512,K59))</f>
      </c>
      <c r="M59" s="0">
        <f>IF(B59="","",COUNTIFS('PEGAR'!$O$13:$O$512,B59,'PEGAR'!$P$13:$P$512,"DIMENSIONES")+COUNTIFS('PEGAR'!$O$13:$O$512,B59,'PEGAR'!$P$13:$P$512,"DIRECTA"))</f>
      </c>
      <c r="N59" s="0">
        <f>IF(B59="","",COUNTIFS('PEGAR'!$O$13:$O$512,B59,'PEGAR'!$X$13:$X$512,2))</f>
      </c>
      <c r="O59" s="0">
        <f>IF(B59="","",COUNTIFS('PEGAR'!$O$13:$O$512,B59,'PEGAR'!$P$13:$P$512,"SIN LÍNEAS"))</f>
      </c>
      <c r="P59" s="0">
        <f>IF(B59="","",SUMIFS('PEGAR'!$Y$13:$Y$512,'PEGAR'!$O$13:$O$512,B59))</f>
      </c>
      <c r="Q59" s="0">
        <f>IF(B59="","",SUMIFS('PEGAR'!$Z$13:$Z$512,'PEGAR'!$O$13:$O$512,B59))</f>
      </c>
      <c r="R59" s="0" t="n">
        <f>IF(OR(B59="",D59=""),0,SUMPRODUCT(--($B$13:$B$512&lt;&gt;""),--($D$13:$D$512=D59),--($C$13:$C$512=C59))-1)</f>
        <v>0</v>
      </c>
      <c r="S59" s="0" t="n">
        <f>IF(OR(B59="",D59=""),0,SUMPRODUCT(--($B$13:$B$512&lt;&gt;""),--($D$13:$D$512=D59),--($C$13:$C$512&lt;&gt;C59)))</f>
        <v>0</v>
      </c>
      <c r="T59" s="0" t="n">
        <f>IF(OR(B59="",D59=""),0,SUMPRODUCT(--($B$13:$B$512&lt;&gt;""),--($D$13:$D$512=D59),--($E$13:$E$512&lt;&gt;E59)))</f>
        <v>0</v>
      </c>
      <c r="U59" s="0" t="n">
        <f>IF(B59="",0,IF(SUMPRODUCT(--('LÉEME'!$C$65:$C$86=E59))=0,1,0))</f>
        <v>0</v>
      </c>
      <c r="V59" s="0">
        <f>IF(B59="","",SUMIFS('PEGAR'!$AA$13:$AA$512,'PEGAR'!$O$13:$O$512,B59))</f>
      </c>
      <c r="W59" s="0">
        <f>IF(B59="","",IF(OR(L59=0,N59&gt;0,T59&gt;0,IF(ISNUMBER(H59),ROUND(ABS(H59),8)&gt;$F$6,FALSE)),2,IF(OR(M59=0,O59&gt;0,P59&gt;0,Q59&gt;0,R59&gt;0,S59&gt;0,U59&gt;0,V59&gt;0),1,0)))</f>
      </c>
      <c r="X59" s="0">
        <f>IF(B59="","",IF(ISNUMBER(G59),1,0))</f>
      </c>
      <c r="AB59" s="0">
        <f>IF(AND(ISNUMBER(W59),W59&gt;0),"ID "&amp;B59,"")</f>
      </c>
      <c r="AC59" s="0">
        <f>IF(AND(ISNUMBER(W59),W59&gt;0),C59,"")</f>
      </c>
      <c r="AD59" s="0">
        <f>IF(AND(ISNUMBER(W59),W59&gt;0),D59,"")</f>
      </c>
      <c r="AE59" s="0">
        <f>IF(AND(ISNUMBER(W59),W59&gt;0),IF(INDEX('PEGAR'!$D$13:$D$512,IF(L59&gt;0,L59,K59))="","Sin descripción",INDEX('PEGAR'!$D$13:$D$512,IF(L59&gt;0,L59,K59))),"")</f>
      </c>
      <c r="AF59" s="0">
        <f>IF(AND(ISNUMBER(W59),W59&gt;0),J59,"")</f>
      </c>
      <c r="AG59" s="0" t="n">
        <f>IF(AND(ISNUMBER(W59),W59&gt;0),W59,0)</f>
        <v>0</v>
      </c>
      <c r="AH59" s="0">
        <f>IF(AG59&gt;0,COUNTIFS($AG$13:AG59,"&gt;0"),"")</f>
      </c>
    </row>
    <row r="60" ht="22" customHeight="1">
      <c r="B60" s="27">
        <f>IF(K60="","",INDEX('PEGAR'!$O$13:$O$512,K60))</f>
      </c>
      <c r="C60" s="30">
        <f>IF(B60="","",IF(LEN(TRIM(INDEX('PEGAR'!$B$13:$B$512,IF(L60&gt;0,L60,K60))&amp;""))=0,"Sin capítulo",TRIM(INDEX('PEGAR'!$B$13:$B$512,IF(L60&gt;0,L60,K60))&amp;"")))</f>
      </c>
      <c r="D60" s="27">
        <f>IF(B60="","",IF(LEN(TRIM(INDEX('PEGAR'!$C$13:$C$512,IF(L60&gt;0,L60,K60))&amp;""))=0,"",TRIM(INDEX('PEGAR'!$C$13:$C$512,IF(L60&gt;0,L60,K60))&amp;"")))</f>
      </c>
      <c r="E60" s="27">
        <f>IF(B60="","",INDEX('PEGAR'!$S$13:$S$512,IF(L60&gt;0,L60,K60)))</f>
      </c>
      <c r="F60" s="39">
        <f>IF(B60="","",IF(L60&gt;0,INDEX('PEGAR'!$F$13:$F$512,L60),""))</f>
      </c>
      <c r="G60" s="39">
        <f>IF(B60="","",IF(OR(M60=0,N60&gt;0,O60&gt;0),"",SUMIFS('PEGAR'!$M$13:$M$512,'PEGAR'!$O$13:$O$512,B60)))</f>
      </c>
      <c r="H60" s="39">
        <f>IF(AND(ISNUMBER(F60),ISNUMBER(G60)),G60-F60,"")</f>
      </c>
      <c r="I60" s="27">
        <f>IF(B60="","",IF(W60=2,"ROJO",IF(W60=1,"ÁMBAR","VERDE")))</f>
      </c>
      <c r="J60" s="30">
        <f>IF(B60="","",IF(W60=0,"Sin avisos numéricos. Revisamos el alcance aparte.",IF(L60=0,"Faltan datos completos de partida; no elegimos un total por suposición."&amp;CHAR(10),"")&amp;IF(N60&gt;0,"Hay filas incompletas o contradictorias; las revisamos en PEGAR."&amp;CHAR(10),"")&amp;IF(O60&gt;0,"Faltan las medidas de alguna fila; no cerramos la suma."&amp;CHAR(10),"")&amp;IF(M60=0,"No constan líneas de medición."&amp;CHAR(10),"")&amp;IF(IF(ISNUMBER(H60),ROUND(ABS(H60),8)&gt;$F$6,FALSE),"Las líneas difieren del total en más de 0,01; confirmamos cantidad o exclusión."&amp;CHAR(10),"")&amp;IF(P60&gt;0,"Parece m³: encontramos tres dimensiones bajo m²."&amp;CHAR(10),"")&amp;IF(R60&gt;0,"Código repetido dentro del capítulo; mantenemos sus ID separados."&amp;CHAR(10),"")&amp;IF(S60&gt;0,"Código repetido en otro capítulo; no unimos las partidas."&amp;CHAR(10),"")&amp;IF(T60&gt;0,"Mismo código con unidades distintas; pedimos aclaración."&amp;CHAR(10),"")&amp;IF(Q60&gt;0,"Hay más precisión que los decimales indicados; cotejamos el formato original."&amp;CHAR(10),"")&amp;IF(U60&gt;0,"Unidad sin normalizar; cotejamos su significado antes de sumar unidades."&amp;CHAR(10),"")&amp;IF(V60&gt;0,"Revisamos dimensiones, cantidades directas, ceros o deducciones en PEGAR."&amp;CHAR(10),"")))</f>
      </c>
      <c r="K60" s="0">
        <f>IF(48&gt;'RESUMEN'!$E$6,"",MATCH(48,'PEGAR'!$W$13:$W$512,0))</f>
      </c>
      <c r="L60" s="0">
        <f>IF(K60="","",INDEX('PEGAR'!$R$13:$R$512,K60))</f>
      </c>
      <c r="M60" s="0">
        <f>IF(B60="","",COUNTIFS('PEGAR'!$O$13:$O$512,B60,'PEGAR'!$P$13:$P$512,"DIMENSIONES")+COUNTIFS('PEGAR'!$O$13:$O$512,B60,'PEGAR'!$P$13:$P$512,"DIRECTA"))</f>
      </c>
      <c r="N60" s="0">
        <f>IF(B60="","",COUNTIFS('PEGAR'!$O$13:$O$512,B60,'PEGAR'!$X$13:$X$512,2))</f>
      </c>
      <c r="O60" s="0">
        <f>IF(B60="","",COUNTIFS('PEGAR'!$O$13:$O$512,B60,'PEGAR'!$P$13:$P$512,"SIN LÍNEAS"))</f>
      </c>
      <c r="P60" s="0">
        <f>IF(B60="","",SUMIFS('PEGAR'!$Y$13:$Y$512,'PEGAR'!$O$13:$O$512,B60))</f>
      </c>
      <c r="Q60" s="0">
        <f>IF(B60="","",SUMIFS('PEGAR'!$Z$13:$Z$512,'PEGAR'!$O$13:$O$512,B60))</f>
      </c>
      <c r="R60" s="0" t="n">
        <f>IF(OR(B60="",D60=""),0,SUMPRODUCT(--($B$13:$B$512&lt;&gt;""),--($D$13:$D$512=D60),--($C$13:$C$512=C60))-1)</f>
        <v>0</v>
      </c>
      <c r="S60" s="0" t="n">
        <f>IF(OR(B60="",D60=""),0,SUMPRODUCT(--($B$13:$B$512&lt;&gt;""),--($D$13:$D$512=D60),--($C$13:$C$512&lt;&gt;C60)))</f>
        <v>0</v>
      </c>
      <c r="T60" s="0" t="n">
        <f>IF(OR(B60="",D60=""),0,SUMPRODUCT(--($B$13:$B$512&lt;&gt;""),--($D$13:$D$512=D60),--($E$13:$E$512&lt;&gt;E60)))</f>
        <v>0</v>
      </c>
      <c r="U60" s="0" t="n">
        <f>IF(B60="",0,IF(SUMPRODUCT(--('LÉEME'!$C$65:$C$86=E60))=0,1,0))</f>
        <v>0</v>
      </c>
      <c r="V60" s="0">
        <f>IF(B60="","",SUMIFS('PEGAR'!$AA$13:$AA$512,'PEGAR'!$O$13:$O$512,B60))</f>
      </c>
      <c r="W60" s="0">
        <f>IF(B60="","",IF(OR(L60=0,N60&gt;0,T60&gt;0,IF(ISNUMBER(H60),ROUND(ABS(H60),8)&gt;$F$6,FALSE)),2,IF(OR(M60=0,O60&gt;0,P60&gt;0,Q60&gt;0,R60&gt;0,S60&gt;0,U60&gt;0,V60&gt;0),1,0)))</f>
      </c>
      <c r="X60" s="0">
        <f>IF(B60="","",IF(ISNUMBER(G60),1,0))</f>
      </c>
      <c r="AB60" s="0">
        <f>IF(AND(ISNUMBER(W60),W60&gt;0),"ID "&amp;B60,"")</f>
      </c>
      <c r="AC60" s="0">
        <f>IF(AND(ISNUMBER(W60),W60&gt;0),C60,"")</f>
      </c>
      <c r="AD60" s="0">
        <f>IF(AND(ISNUMBER(W60),W60&gt;0),D60,"")</f>
      </c>
      <c r="AE60" s="0">
        <f>IF(AND(ISNUMBER(W60),W60&gt;0),IF(INDEX('PEGAR'!$D$13:$D$512,IF(L60&gt;0,L60,K60))="","Sin descripción",INDEX('PEGAR'!$D$13:$D$512,IF(L60&gt;0,L60,K60))),"")</f>
      </c>
      <c r="AF60" s="0">
        <f>IF(AND(ISNUMBER(W60),W60&gt;0),J60,"")</f>
      </c>
      <c r="AG60" s="0" t="n">
        <f>IF(AND(ISNUMBER(W60),W60&gt;0),W60,0)</f>
        <v>0</v>
      </c>
      <c r="AH60" s="0">
        <f>IF(AG60&gt;0,COUNTIFS($AG$13:AG60,"&gt;0"),"")</f>
      </c>
    </row>
    <row r="61" ht="22" customHeight="1">
      <c r="B61" s="27">
        <f>IF(K61="","",INDEX('PEGAR'!$O$13:$O$512,K61))</f>
      </c>
      <c r="C61" s="30">
        <f>IF(B61="","",IF(LEN(TRIM(INDEX('PEGAR'!$B$13:$B$512,IF(L61&gt;0,L61,K61))&amp;""))=0,"Sin capítulo",TRIM(INDEX('PEGAR'!$B$13:$B$512,IF(L61&gt;0,L61,K61))&amp;"")))</f>
      </c>
      <c r="D61" s="27">
        <f>IF(B61="","",IF(LEN(TRIM(INDEX('PEGAR'!$C$13:$C$512,IF(L61&gt;0,L61,K61))&amp;""))=0,"",TRIM(INDEX('PEGAR'!$C$13:$C$512,IF(L61&gt;0,L61,K61))&amp;"")))</f>
      </c>
      <c r="E61" s="27">
        <f>IF(B61="","",INDEX('PEGAR'!$S$13:$S$512,IF(L61&gt;0,L61,K61)))</f>
      </c>
      <c r="F61" s="39">
        <f>IF(B61="","",IF(L61&gt;0,INDEX('PEGAR'!$F$13:$F$512,L61),""))</f>
      </c>
      <c r="G61" s="39">
        <f>IF(B61="","",IF(OR(M61=0,N61&gt;0,O61&gt;0),"",SUMIFS('PEGAR'!$M$13:$M$512,'PEGAR'!$O$13:$O$512,B61)))</f>
      </c>
      <c r="H61" s="39">
        <f>IF(AND(ISNUMBER(F61),ISNUMBER(G61)),G61-F61,"")</f>
      </c>
      <c r="I61" s="27">
        <f>IF(B61="","",IF(W61=2,"ROJO",IF(W61=1,"ÁMBAR","VERDE")))</f>
      </c>
      <c r="J61" s="30">
        <f>IF(B61="","",IF(W61=0,"Sin avisos numéricos. Revisamos el alcance aparte.",IF(L61=0,"Faltan datos completos de partida; no elegimos un total por suposición."&amp;CHAR(10),"")&amp;IF(N61&gt;0,"Hay filas incompletas o contradictorias; las revisamos en PEGAR."&amp;CHAR(10),"")&amp;IF(O61&gt;0,"Faltan las medidas de alguna fila; no cerramos la suma."&amp;CHAR(10),"")&amp;IF(M61=0,"No constan líneas de medición."&amp;CHAR(10),"")&amp;IF(IF(ISNUMBER(H61),ROUND(ABS(H61),8)&gt;$F$6,FALSE),"Las líneas difieren del total en más de 0,01; confirmamos cantidad o exclusión."&amp;CHAR(10),"")&amp;IF(P61&gt;0,"Parece m³: encontramos tres dimensiones bajo m²."&amp;CHAR(10),"")&amp;IF(R61&gt;0,"Código repetido dentro del capítulo; mantenemos sus ID separados."&amp;CHAR(10),"")&amp;IF(S61&gt;0,"Código repetido en otro capítulo; no unimos las partidas."&amp;CHAR(10),"")&amp;IF(T61&gt;0,"Mismo código con unidades distintas; pedimos aclaración."&amp;CHAR(10),"")&amp;IF(Q61&gt;0,"Hay más precisión que los decimales indicados; cotejamos el formato original."&amp;CHAR(10),"")&amp;IF(U61&gt;0,"Unidad sin normalizar; cotejamos su significado antes de sumar unidades."&amp;CHAR(10),"")&amp;IF(V61&gt;0,"Revisamos dimensiones, cantidades directas, ceros o deducciones en PEGAR."&amp;CHAR(10),"")))</f>
      </c>
      <c r="K61" s="0">
        <f>IF(49&gt;'RESUMEN'!$E$6,"",MATCH(49,'PEGAR'!$W$13:$W$512,0))</f>
      </c>
      <c r="L61" s="0">
        <f>IF(K61="","",INDEX('PEGAR'!$R$13:$R$512,K61))</f>
      </c>
      <c r="M61" s="0">
        <f>IF(B61="","",COUNTIFS('PEGAR'!$O$13:$O$512,B61,'PEGAR'!$P$13:$P$512,"DIMENSIONES")+COUNTIFS('PEGAR'!$O$13:$O$512,B61,'PEGAR'!$P$13:$P$512,"DIRECTA"))</f>
      </c>
      <c r="N61" s="0">
        <f>IF(B61="","",COUNTIFS('PEGAR'!$O$13:$O$512,B61,'PEGAR'!$X$13:$X$512,2))</f>
      </c>
      <c r="O61" s="0">
        <f>IF(B61="","",COUNTIFS('PEGAR'!$O$13:$O$512,B61,'PEGAR'!$P$13:$P$512,"SIN LÍNEAS"))</f>
      </c>
      <c r="P61" s="0">
        <f>IF(B61="","",SUMIFS('PEGAR'!$Y$13:$Y$512,'PEGAR'!$O$13:$O$512,B61))</f>
      </c>
      <c r="Q61" s="0">
        <f>IF(B61="","",SUMIFS('PEGAR'!$Z$13:$Z$512,'PEGAR'!$O$13:$O$512,B61))</f>
      </c>
      <c r="R61" s="0" t="n">
        <f>IF(OR(B61="",D61=""),0,SUMPRODUCT(--($B$13:$B$512&lt;&gt;""),--($D$13:$D$512=D61),--($C$13:$C$512=C61))-1)</f>
        <v>0</v>
      </c>
      <c r="S61" s="0" t="n">
        <f>IF(OR(B61="",D61=""),0,SUMPRODUCT(--($B$13:$B$512&lt;&gt;""),--($D$13:$D$512=D61),--($C$13:$C$512&lt;&gt;C61)))</f>
        <v>0</v>
      </c>
      <c r="T61" s="0" t="n">
        <f>IF(OR(B61="",D61=""),0,SUMPRODUCT(--($B$13:$B$512&lt;&gt;""),--($D$13:$D$512=D61),--($E$13:$E$512&lt;&gt;E61)))</f>
        <v>0</v>
      </c>
      <c r="U61" s="0" t="n">
        <f>IF(B61="",0,IF(SUMPRODUCT(--('LÉEME'!$C$65:$C$86=E61))=0,1,0))</f>
        <v>0</v>
      </c>
      <c r="V61" s="0">
        <f>IF(B61="","",SUMIFS('PEGAR'!$AA$13:$AA$512,'PEGAR'!$O$13:$O$512,B61))</f>
      </c>
      <c r="W61" s="0">
        <f>IF(B61="","",IF(OR(L61=0,N61&gt;0,T61&gt;0,IF(ISNUMBER(H61),ROUND(ABS(H61),8)&gt;$F$6,FALSE)),2,IF(OR(M61=0,O61&gt;0,P61&gt;0,Q61&gt;0,R61&gt;0,S61&gt;0,U61&gt;0,V61&gt;0),1,0)))</f>
      </c>
      <c r="X61" s="0">
        <f>IF(B61="","",IF(ISNUMBER(G61),1,0))</f>
      </c>
      <c r="AB61" s="0">
        <f>IF(AND(ISNUMBER(W61),W61&gt;0),"ID "&amp;B61,"")</f>
      </c>
      <c r="AC61" s="0">
        <f>IF(AND(ISNUMBER(W61),W61&gt;0),C61,"")</f>
      </c>
      <c r="AD61" s="0">
        <f>IF(AND(ISNUMBER(W61),W61&gt;0),D61,"")</f>
      </c>
      <c r="AE61" s="0">
        <f>IF(AND(ISNUMBER(W61),W61&gt;0),IF(INDEX('PEGAR'!$D$13:$D$512,IF(L61&gt;0,L61,K61))="","Sin descripción",INDEX('PEGAR'!$D$13:$D$512,IF(L61&gt;0,L61,K61))),"")</f>
      </c>
      <c r="AF61" s="0">
        <f>IF(AND(ISNUMBER(W61),W61&gt;0),J61,"")</f>
      </c>
      <c r="AG61" s="0" t="n">
        <f>IF(AND(ISNUMBER(W61),W61&gt;0),W61,0)</f>
        <v>0</v>
      </c>
      <c r="AH61" s="0">
        <f>IF(AG61&gt;0,COUNTIFS($AG$13:AG61,"&gt;0"),"")</f>
      </c>
    </row>
    <row r="62" ht="22" customHeight="1">
      <c r="B62" s="27">
        <f>IF(K62="","",INDEX('PEGAR'!$O$13:$O$512,K62))</f>
      </c>
      <c r="C62" s="30">
        <f>IF(B62="","",IF(LEN(TRIM(INDEX('PEGAR'!$B$13:$B$512,IF(L62&gt;0,L62,K62))&amp;""))=0,"Sin capítulo",TRIM(INDEX('PEGAR'!$B$13:$B$512,IF(L62&gt;0,L62,K62))&amp;"")))</f>
      </c>
      <c r="D62" s="27">
        <f>IF(B62="","",IF(LEN(TRIM(INDEX('PEGAR'!$C$13:$C$512,IF(L62&gt;0,L62,K62))&amp;""))=0,"",TRIM(INDEX('PEGAR'!$C$13:$C$512,IF(L62&gt;0,L62,K62))&amp;"")))</f>
      </c>
      <c r="E62" s="27">
        <f>IF(B62="","",INDEX('PEGAR'!$S$13:$S$512,IF(L62&gt;0,L62,K62)))</f>
      </c>
      <c r="F62" s="39">
        <f>IF(B62="","",IF(L62&gt;0,INDEX('PEGAR'!$F$13:$F$512,L62),""))</f>
      </c>
      <c r="G62" s="39">
        <f>IF(B62="","",IF(OR(M62=0,N62&gt;0,O62&gt;0),"",SUMIFS('PEGAR'!$M$13:$M$512,'PEGAR'!$O$13:$O$512,B62)))</f>
      </c>
      <c r="H62" s="39">
        <f>IF(AND(ISNUMBER(F62),ISNUMBER(G62)),G62-F62,"")</f>
      </c>
      <c r="I62" s="27">
        <f>IF(B62="","",IF(W62=2,"ROJO",IF(W62=1,"ÁMBAR","VERDE")))</f>
      </c>
      <c r="J62" s="30">
        <f>IF(B62="","",IF(W62=0,"Sin avisos numéricos. Revisamos el alcance aparte.",IF(L62=0,"Faltan datos completos de partida; no elegimos un total por suposición."&amp;CHAR(10),"")&amp;IF(N62&gt;0,"Hay filas incompletas o contradictorias; las revisamos en PEGAR."&amp;CHAR(10),"")&amp;IF(O62&gt;0,"Faltan las medidas de alguna fila; no cerramos la suma."&amp;CHAR(10),"")&amp;IF(M62=0,"No constan líneas de medición."&amp;CHAR(10),"")&amp;IF(IF(ISNUMBER(H62),ROUND(ABS(H62),8)&gt;$F$6,FALSE),"Las líneas difieren del total en más de 0,01; confirmamos cantidad o exclusión."&amp;CHAR(10),"")&amp;IF(P62&gt;0,"Parece m³: encontramos tres dimensiones bajo m²."&amp;CHAR(10),"")&amp;IF(R62&gt;0,"Código repetido dentro del capítulo; mantenemos sus ID separados."&amp;CHAR(10),"")&amp;IF(S62&gt;0,"Código repetido en otro capítulo; no unimos las partidas."&amp;CHAR(10),"")&amp;IF(T62&gt;0,"Mismo código con unidades distintas; pedimos aclaración."&amp;CHAR(10),"")&amp;IF(Q62&gt;0,"Hay más precisión que los decimales indicados; cotejamos el formato original."&amp;CHAR(10),"")&amp;IF(U62&gt;0,"Unidad sin normalizar; cotejamos su significado antes de sumar unidades."&amp;CHAR(10),"")&amp;IF(V62&gt;0,"Revisamos dimensiones, cantidades directas, ceros o deducciones en PEGAR."&amp;CHAR(10),"")))</f>
      </c>
      <c r="K62" s="0">
        <f>IF(50&gt;'RESUMEN'!$E$6,"",MATCH(50,'PEGAR'!$W$13:$W$512,0))</f>
      </c>
      <c r="L62" s="0">
        <f>IF(K62="","",INDEX('PEGAR'!$R$13:$R$512,K62))</f>
      </c>
      <c r="M62" s="0">
        <f>IF(B62="","",COUNTIFS('PEGAR'!$O$13:$O$512,B62,'PEGAR'!$P$13:$P$512,"DIMENSIONES")+COUNTIFS('PEGAR'!$O$13:$O$512,B62,'PEGAR'!$P$13:$P$512,"DIRECTA"))</f>
      </c>
      <c r="N62" s="0">
        <f>IF(B62="","",COUNTIFS('PEGAR'!$O$13:$O$512,B62,'PEGAR'!$X$13:$X$512,2))</f>
      </c>
      <c r="O62" s="0">
        <f>IF(B62="","",COUNTIFS('PEGAR'!$O$13:$O$512,B62,'PEGAR'!$P$13:$P$512,"SIN LÍNEAS"))</f>
      </c>
      <c r="P62" s="0">
        <f>IF(B62="","",SUMIFS('PEGAR'!$Y$13:$Y$512,'PEGAR'!$O$13:$O$512,B62))</f>
      </c>
      <c r="Q62" s="0">
        <f>IF(B62="","",SUMIFS('PEGAR'!$Z$13:$Z$512,'PEGAR'!$O$13:$O$512,B62))</f>
      </c>
      <c r="R62" s="0" t="n">
        <f>IF(OR(B62="",D62=""),0,SUMPRODUCT(--($B$13:$B$512&lt;&gt;""),--($D$13:$D$512=D62),--($C$13:$C$512=C62))-1)</f>
        <v>0</v>
      </c>
      <c r="S62" s="0" t="n">
        <f>IF(OR(B62="",D62=""),0,SUMPRODUCT(--($B$13:$B$512&lt;&gt;""),--($D$13:$D$512=D62),--($C$13:$C$512&lt;&gt;C62)))</f>
        <v>0</v>
      </c>
      <c r="T62" s="0" t="n">
        <f>IF(OR(B62="",D62=""),0,SUMPRODUCT(--($B$13:$B$512&lt;&gt;""),--($D$13:$D$512=D62),--($E$13:$E$512&lt;&gt;E62)))</f>
        <v>0</v>
      </c>
      <c r="U62" s="0" t="n">
        <f>IF(B62="",0,IF(SUMPRODUCT(--('LÉEME'!$C$65:$C$86=E62))=0,1,0))</f>
        <v>0</v>
      </c>
      <c r="V62" s="0">
        <f>IF(B62="","",SUMIFS('PEGAR'!$AA$13:$AA$512,'PEGAR'!$O$13:$O$512,B62))</f>
      </c>
      <c r="W62" s="0">
        <f>IF(B62="","",IF(OR(L62=0,N62&gt;0,T62&gt;0,IF(ISNUMBER(H62),ROUND(ABS(H62),8)&gt;$F$6,FALSE)),2,IF(OR(M62=0,O62&gt;0,P62&gt;0,Q62&gt;0,R62&gt;0,S62&gt;0,U62&gt;0,V62&gt;0),1,0)))</f>
      </c>
      <c r="X62" s="0">
        <f>IF(B62="","",IF(ISNUMBER(G62),1,0))</f>
      </c>
      <c r="AB62" s="0">
        <f>IF(AND(ISNUMBER(W62),W62&gt;0),"ID "&amp;B62,"")</f>
      </c>
      <c r="AC62" s="0">
        <f>IF(AND(ISNUMBER(W62),W62&gt;0),C62,"")</f>
      </c>
      <c r="AD62" s="0">
        <f>IF(AND(ISNUMBER(W62),W62&gt;0),D62,"")</f>
      </c>
      <c r="AE62" s="0">
        <f>IF(AND(ISNUMBER(W62),W62&gt;0),IF(INDEX('PEGAR'!$D$13:$D$512,IF(L62&gt;0,L62,K62))="","Sin descripción",INDEX('PEGAR'!$D$13:$D$512,IF(L62&gt;0,L62,K62))),"")</f>
      </c>
      <c r="AF62" s="0">
        <f>IF(AND(ISNUMBER(W62),W62&gt;0),J62,"")</f>
      </c>
      <c r="AG62" s="0" t="n">
        <f>IF(AND(ISNUMBER(W62),W62&gt;0),W62,0)</f>
        <v>0</v>
      </c>
      <c r="AH62" s="0">
        <f>IF(AG62&gt;0,COUNTIFS($AG$13:AG62,"&gt;0"),"")</f>
      </c>
    </row>
    <row r="63" ht="22" customHeight="1">
      <c r="B63" s="27">
        <f>IF(K63="","",INDEX('PEGAR'!$O$13:$O$512,K63))</f>
      </c>
      <c r="C63" s="30">
        <f>IF(B63="","",IF(LEN(TRIM(INDEX('PEGAR'!$B$13:$B$512,IF(L63&gt;0,L63,K63))&amp;""))=0,"Sin capítulo",TRIM(INDEX('PEGAR'!$B$13:$B$512,IF(L63&gt;0,L63,K63))&amp;"")))</f>
      </c>
      <c r="D63" s="27">
        <f>IF(B63="","",IF(LEN(TRIM(INDEX('PEGAR'!$C$13:$C$512,IF(L63&gt;0,L63,K63))&amp;""))=0,"",TRIM(INDEX('PEGAR'!$C$13:$C$512,IF(L63&gt;0,L63,K63))&amp;"")))</f>
      </c>
      <c r="E63" s="27">
        <f>IF(B63="","",INDEX('PEGAR'!$S$13:$S$512,IF(L63&gt;0,L63,K63)))</f>
      </c>
      <c r="F63" s="39">
        <f>IF(B63="","",IF(L63&gt;0,INDEX('PEGAR'!$F$13:$F$512,L63),""))</f>
      </c>
      <c r="G63" s="39">
        <f>IF(B63="","",IF(OR(M63=0,N63&gt;0,O63&gt;0),"",SUMIFS('PEGAR'!$M$13:$M$512,'PEGAR'!$O$13:$O$512,B63)))</f>
      </c>
      <c r="H63" s="39">
        <f>IF(AND(ISNUMBER(F63),ISNUMBER(G63)),G63-F63,"")</f>
      </c>
      <c r="I63" s="27">
        <f>IF(B63="","",IF(W63=2,"ROJO",IF(W63=1,"ÁMBAR","VERDE")))</f>
      </c>
      <c r="J63" s="30">
        <f>IF(B63="","",IF(W63=0,"Sin avisos numéricos. Revisamos el alcance aparte.",IF(L63=0,"Faltan datos completos de partida; no elegimos un total por suposición."&amp;CHAR(10),"")&amp;IF(N63&gt;0,"Hay filas incompletas o contradictorias; las revisamos en PEGAR."&amp;CHAR(10),"")&amp;IF(O63&gt;0,"Faltan las medidas de alguna fila; no cerramos la suma."&amp;CHAR(10),"")&amp;IF(M63=0,"No constan líneas de medición."&amp;CHAR(10),"")&amp;IF(IF(ISNUMBER(H63),ROUND(ABS(H63),8)&gt;$F$6,FALSE),"Las líneas difieren del total en más de 0,01; confirmamos cantidad o exclusión."&amp;CHAR(10),"")&amp;IF(P63&gt;0,"Parece m³: encontramos tres dimensiones bajo m²."&amp;CHAR(10),"")&amp;IF(R63&gt;0,"Código repetido dentro del capítulo; mantenemos sus ID separados."&amp;CHAR(10),"")&amp;IF(S63&gt;0,"Código repetido en otro capítulo; no unimos las partidas."&amp;CHAR(10),"")&amp;IF(T63&gt;0,"Mismo código con unidades distintas; pedimos aclaración."&amp;CHAR(10),"")&amp;IF(Q63&gt;0,"Hay más precisión que los decimales indicados; cotejamos el formato original."&amp;CHAR(10),"")&amp;IF(U63&gt;0,"Unidad sin normalizar; cotejamos su significado antes de sumar unidades."&amp;CHAR(10),"")&amp;IF(V63&gt;0,"Revisamos dimensiones, cantidades directas, ceros o deducciones en PEGAR."&amp;CHAR(10),"")))</f>
      </c>
      <c r="K63" s="0">
        <f>IF(51&gt;'RESUMEN'!$E$6,"",MATCH(51,'PEGAR'!$W$13:$W$512,0))</f>
      </c>
      <c r="L63" s="0">
        <f>IF(K63="","",INDEX('PEGAR'!$R$13:$R$512,K63))</f>
      </c>
      <c r="M63" s="0">
        <f>IF(B63="","",COUNTIFS('PEGAR'!$O$13:$O$512,B63,'PEGAR'!$P$13:$P$512,"DIMENSIONES")+COUNTIFS('PEGAR'!$O$13:$O$512,B63,'PEGAR'!$P$13:$P$512,"DIRECTA"))</f>
      </c>
      <c r="N63" s="0">
        <f>IF(B63="","",COUNTIFS('PEGAR'!$O$13:$O$512,B63,'PEGAR'!$X$13:$X$512,2))</f>
      </c>
      <c r="O63" s="0">
        <f>IF(B63="","",COUNTIFS('PEGAR'!$O$13:$O$512,B63,'PEGAR'!$P$13:$P$512,"SIN LÍNEAS"))</f>
      </c>
      <c r="P63" s="0">
        <f>IF(B63="","",SUMIFS('PEGAR'!$Y$13:$Y$512,'PEGAR'!$O$13:$O$512,B63))</f>
      </c>
      <c r="Q63" s="0">
        <f>IF(B63="","",SUMIFS('PEGAR'!$Z$13:$Z$512,'PEGAR'!$O$13:$O$512,B63))</f>
      </c>
      <c r="R63" s="0" t="n">
        <f>IF(OR(B63="",D63=""),0,SUMPRODUCT(--($B$13:$B$512&lt;&gt;""),--($D$13:$D$512=D63),--($C$13:$C$512=C63))-1)</f>
        <v>0</v>
      </c>
      <c r="S63" s="0" t="n">
        <f>IF(OR(B63="",D63=""),0,SUMPRODUCT(--($B$13:$B$512&lt;&gt;""),--($D$13:$D$512=D63),--($C$13:$C$512&lt;&gt;C63)))</f>
        <v>0</v>
      </c>
      <c r="T63" s="0" t="n">
        <f>IF(OR(B63="",D63=""),0,SUMPRODUCT(--($B$13:$B$512&lt;&gt;""),--($D$13:$D$512=D63),--($E$13:$E$512&lt;&gt;E63)))</f>
        <v>0</v>
      </c>
      <c r="U63" s="0" t="n">
        <f>IF(B63="",0,IF(SUMPRODUCT(--('LÉEME'!$C$65:$C$86=E63))=0,1,0))</f>
        <v>0</v>
      </c>
      <c r="V63" s="0">
        <f>IF(B63="","",SUMIFS('PEGAR'!$AA$13:$AA$512,'PEGAR'!$O$13:$O$512,B63))</f>
      </c>
      <c r="W63" s="0">
        <f>IF(B63="","",IF(OR(L63=0,N63&gt;0,T63&gt;0,IF(ISNUMBER(H63),ROUND(ABS(H63),8)&gt;$F$6,FALSE)),2,IF(OR(M63=0,O63&gt;0,P63&gt;0,Q63&gt;0,R63&gt;0,S63&gt;0,U63&gt;0,V63&gt;0),1,0)))</f>
      </c>
      <c r="X63" s="0">
        <f>IF(B63="","",IF(ISNUMBER(G63),1,0))</f>
      </c>
      <c r="AB63" s="0">
        <f>IF(AND(ISNUMBER(W63),W63&gt;0),"ID "&amp;B63,"")</f>
      </c>
      <c r="AC63" s="0">
        <f>IF(AND(ISNUMBER(W63),W63&gt;0),C63,"")</f>
      </c>
      <c r="AD63" s="0">
        <f>IF(AND(ISNUMBER(W63),W63&gt;0),D63,"")</f>
      </c>
      <c r="AE63" s="0">
        <f>IF(AND(ISNUMBER(W63),W63&gt;0),IF(INDEX('PEGAR'!$D$13:$D$512,IF(L63&gt;0,L63,K63))="","Sin descripción",INDEX('PEGAR'!$D$13:$D$512,IF(L63&gt;0,L63,K63))),"")</f>
      </c>
      <c r="AF63" s="0">
        <f>IF(AND(ISNUMBER(W63),W63&gt;0),J63,"")</f>
      </c>
      <c r="AG63" s="0" t="n">
        <f>IF(AND(ISNUMBER(W63),W63&gt;0),W63,0)</f>
        <v>0</v>
      </c>
      <c r="AH63" s="0">
        <f>IF(AG63&gt;0,COUNTIFS($AG$13:AG63,"&gt;0"),"")</f>
      </c>
    </row>
    <row r="64" ht="22" customHeight="1">
      <c r="B64" s="27">
        <f>IF(K64="","",INDEX('PEGAR'!$O$13:$O$512,K64))</f>
      </c>
      <c r="C64" s="30">
        <f>IF(B64="","",IF(LEN(TRIM(INDEX('PEGAR'!$B$13:$B$512,IF(L64&gt;0,L64,K64))&amp;""))=0,"Sin capítulo",TRIM(INDEX('PEGAR'!$B$13:$B$512,IF(L64&gt;0,L64,K64))&amp;"")))</f>
      </c>
      <c r="D64" s="27">
        <f>IF(B64="","",IF(LEN(TRIM(INDEX('PEGAR'!$C$13:$C$512,IF(L64&gt;0,L64,K64))&amp;""))=0,"",TRIM(INDEX('PEGAR'!$C$13:$C$512,IF(L64&gt;0,L64,K64))&amp;"")))</f>
      </c>
      <c r="E64" s="27">
        <f>IF(B64="","",INDEX('PEGAR'!$S$13:$S$512,IF(L64&gt;0,L64,K64)))</f>
      </c>
      <c r="F64" s="39">
        <f>IF(B64="","",IF(L64&gt;0,INDEX('PEGAR'!$F$13:$F$512,L64),""))</f>
      </c>
      <c r="G64" s="39">
        <f>IF(B64="","",IF(OR(M64=0,N64&gt;0,O64&gt;0),"",SUMIFS('PEGAR'!$M$13:$M$512,'PEGAR'!$O$13:$O$512,B64)))</f>
      </c>
      <c r="H64" s="39">
        <f>IF(AND(ISNUMBER(F64),ISNUMBER(G64)),G64-F64,"")</f>
      </c>
      <c r="I64" s="27">
        <f>IF(B64="","",IF(W64=2,"ROJO",IF(W64=1,"ÁMBAR","VERDE")))</f>
      </c>
      <c r="J64" s="30">
        <f>IF(B64="","",IF(W64=0,"Sin avisos numéricos. Revisamos el alcance aparte.",IF(L64=0,"Faltan datos completos de partida; no elegimos un total por suposición."&amp;CHAR(10),"")&amp;IF(N64&gt;0,"Hay filas incompletas o contradictorias; las revisamos en PEGAR."&amp;CHAR(10),"")&amp;IF(O64&gt;0,"Faltan las medidas de alguna fila; no cerramos la suma."&amp;CHAR(10),"")&amp;IF(M64=0,"No constan líneas de medición."&amp;CHAR(10),"")&amp;IF(IF(ISNUMBER(H64),ROUND(ABS(H64),8)&gt;$F$6,FALSE),"Las líneas difieren del total en más de 0,01; confirmamos cantidad o exclusión."&amp;CHAR(10),"")&amp;IF(P64&gt;0,"Parece m³: encontramos tres dimensiones bajo m²."&amp;CHAR(10),"")&amp;IF(R64&gt;0,"Código repetido dentro del capítulo; mantenemos sus ID separados."&amp;CHAR(10),"")&amp;IF(S64&gt;0,"Código repetido en otro capítulo; no unimos las partidas."&amp;CHAR(10),"")&amp;IF(T64&gt;0,"Mismo código con unidades distintas; pedimos aclaración."&amp;CHAR(10),"")&amp;IF(Q64&gt;0,"Hay más precisión que los decimales indicados; cotejamos el formato original."&amp;CHAR(10),"")&amp;IF(U64&gt;0,"Unidad sin normalizar; cotejamos su significado antes de sumar unidades."&amp;CHAR(10),"")&amp;IF(V64&gt;0,"Revisamos dimensiones, cantidades directas, ceros o deducciones en PEGAR."&amp;CHAR(10),"")))</f>
      </c>
      <c r="K64" s="0">
        <f>IF(52&gt;'RESUMEN'!$E$6,"",MATCH(52,'PEGAR'!$W$13:$W$512,0))</f>
      </c>
      <c r="L64" s="0">
        <f>IF(K64="","",INDEX('PEGAR'!$R$13:$R$512,K64))</f>
      </c>
      <c r="M64" s="0">
        <f>IF(B64="","",COUNTIFS('PEGAR'!$O$13:$O$512,B64,'PEGAR'!$P$13:$P$512,"DIMENSIONES")+COUNTIFS('PEGAR'!$O$13:$O$512,B64,'PEGAR'!$P$13:$P$512,"DIRECTA"))</f>
      </c>
      <c r="N64" s="0">
        <f>IF(B64="","",COUNTIFS('PEGAR'!$O$13:$O$512,B64,'PEGAR'!$X$13:$X$512,2))</f>
      </c>
      <c r="O64" s="0">
        <f>IF(B64="","",COUNTIFS('PEGAR'!$O$13:$O$512,B64,'PEGAR'!$P$13:$P$512,"SIN LÍNEAS"))</f>
      </c>
      <c r="P64" s="0">
        <f>IF(B64="","",SUMIFS('PEGAR'!$Y$13:$Y$512,'PEGAR'!$O$13:$O$512,B64))</f>
      </c>
      <c r="Q64" s="0">
        <f>IF(B64="","",SUMIFS('PEGAR'!$Z$13:$Z$512,'PEGAR'!$O$13:$O$512,B64))</f>
      </c>
      <c r="R64" s="0" t="n">
        <f>IF(OR(B64="",D64=""),0,SUMPRODUCT(--($B$13:$B$512&lt;&gt;""),--($D$13:$D$512=D64),--($C$13:$C$512=C64))-1)</f>
        <v>0</v>
      </c>
      <c r="S64" s="0" t="n">
        <f>IF(OR(B64="",D64=""),0,SUMPRODUCT(--($B$13:$B$512&lt;&gt;""),--($D$13:$D$512=D64),--($C$13:$C$512&lt;&gt;C64)))</f>
        <v>0</v>
      </c>
      <c r="T64" s="0" t="n">
        <f>IF(OR(B64="",D64=""),0,SUMPRODUCT(--($B$13:$B$512&lt;&gt;""),--($D$13:$D$512=D64),--($E$13:$E$512&lt;&gt;E64)))</f>
        <v>0</v>
      </c>
      <c r="U64" s="0" t="n">
        <f>IF(B64="",0,IF(SUMPRODUCT(--('LÉEME'!$C$65:$C$86=E64))=0,1,0))</f>
        <v>0</v>
      </c>
      <c r="V64" s="0">
        <f>IF(B64="","",SUMIFS('PEGAR'!$AA$13:$AA$512,'PEGAR'!$O$13:$O$512,B64))</f>
      </c>
      <c r="W64" s="0">
        <f>IF(B64="","",IF(OR(L64=0,N64&gt;0,T64&gt;0,IF(ISNUMBER(H64),ROUND(ABS(H64),8)&gt;$F$6,FALSE)),2,IF(OR(M64=0,O64&gt;0,P64&gt;0,Q64&gt;0,R64&gt;0,S64&gt;0,U64&gt;0,V64&gt;0),1,0)))</f>
      </c>
      <c r="X64" s="0">
        <f>IF(B64="","",IF(ISNUMBER(G64),1,0))</f>
      </c>
      <c r="AB64" s="0">
        <f>IF(AND(ISNUMBER(W64),W64&gt;0),"ID "&amp;B64,"")</f>
      </c>
      <c r="AC64" s="0">
        <f>IF(AND(ISNUMBER(W64),W64&gt;0),C64,"")</f>
      </c>
      <c r="AD64" s="0">
        <f>IF(AND(ISNUMBER(W64),W64&gt;0),D64,"")</f>
      </c>
      <c r="AE64" s="0">
        <f>IF(AND(ISNUMBER(W64),W64&gt;0),IF(INDEX('PEGAR'!$D$13:$D$512,IF(L64&gt;0,L64,K64))="","Sin descripción",INDEX('PEGAR'!$D$13:$D$512,IF(L64&gt;0,L64,K64))),"")</f>
      </c>
      <c r="AF64" s="0">
        <f>IF(AND(ISNUMBER(W64),W64&gt;0),J64,"")</f>
      </c>
      <c r="AG64" s="0" t="n">
        <f>IF(AND(ISNUMBER(W64),W64&gt;0),W64,0)</f>
        <v>0</v>
      </c>
      <c r="AH64" s="0">
        <f>IF(AG64&gt;0,COUNTIFS($AG$13:AG64,"&gt;0"),"")</f>
      </c>
    </row>
    <row r="65" ht="22" customHeight="1">
      <c r="B65" s="27">
        <f>IF(K65="","",INDEX('PEGAR'!$O$13:$O$512,K65))</f>
      </c>
      <c r="C65" s="30">
        <f>IF(B65="","",IF(LEN(TRIM(INDEX('PEGAR'!$B$13:$B$512,IF(L65&gt;0,L65,K65))&amp;""))=0,"Sin capítulo",TRIM(INDEX('PEGAR'!$B$13:$B$512,IF(L65&gt;0,L65,K65))&amp;"")))</f>
      </c>
      <c r="D65" s="27">
        <f>IF(B65="","",IF(LEN(TRIM(INDEX('PEGAR'!$C$13:$C$512,IF(L65&gt;0,L65,K65))&amp;""))=0,"",TRIM(INDEX('PEGAR'!$C$13:$C$512,IF(L65&gt;0,L65,K65))&amp;"")))</f>
      </c>
      <c r="E65" s="27">
        <f>IF(B65="","",INDEX('PEGAR'!$S$13:$S$512,IF(L65&gt;0,L65,K65)))</f>
      </c>
      <c r="F65" s="39">
        <f>IF(B65="","",IF(L65&gt;0,INDEX('PEGAR'!$F$13:$F$512,L65),""))</f>
      </c>
      <c r="G65" s="39">
        <f>IF(B65="","",IF(OR(M65=0,N65&gt;0,O65&gt;0),"",SUMIFS('PEGAR'!$M$13:$M$512,'PEGAR'!$O$13:$O$512,B65)))</f>
      </c>
      <c r="H65" s="39">
        <f>IF(AND(ISNUMBER(F65),ISNUMBER(G65)),G65-F65,"")</f>
      </c>
      <c r="I65" s="27">
        <f>IF(B65="","",IF(W65=2,"ROJO",IF(W65=1,"ÁMBAR","VERDE")))</f>
      </c>
      <c r="J65" s="30">
        <f>IF(B65="","",IF(W65=0,"Sin avisos numéricos. Revisamos el alcance aparte.",IF(L65=0,"Faltan datos completos de partida; no elegimos un total por suposición."&amp;CHAR(10),"")&amp;IF(N65&gt;0,"Hay filas incompletas o contradictorias; las revisamos en PEGAR."&amp;CHAR(10),"")&amp;IF(O65&gt;0,"Faltan las medidas de alguna fila; no cerramos la suma."&amp;CHAR(10),"")&amp;IF(M65=0,"No constan líneas de medición."&amp;CHAR(10),"")&amp;IF(IF(ISNUMBER(H65),ROUND(ABS(H65),8)&gt;$F$6,FALSE),"Las líneas difieren del total en más de 0,01; confirmamos cantidad o exclusión."&amp;CHAR(10),"")&amp;IF(P65&gt;0,"Parece m³: encontramos tres dimensiones bajo m²."&amp;CHAR(10),"")&amp;IF(R65&gt;0,"Código repetido dentro del capítulo; mantenemos sus ID separados."&amp;CHAR(10),"")&amp;IF(S65&gt;0,"Código repetido en otro capítulo; no unimos las partidas."&amp;CHAR(10),"")&amp;IF(T65&gt;0,"Mismo código con unidades distintas; pedimos aclaración."&amp;CHAR(10),"")&amp;IF(Q65&gt;0,"Hay más precisión que los decimales indicados; cotejamos el formato original."&amp;CHAR(10),"")&amp;IF(U65&gt;0,"Unidad sin normalizar; cotejamos su significado antes de sumar unidades."&amp;CHAR(10),"")&amp;IF(V65&gt;0,"Revisamos dimensiones, cantidades directas, ceros o deducciones en PEGAR."&amp;CHAR(10),"")))</f>
      </c>
      <c r="K65" s="0">
        <f>IF(53&gt;'RESUMEN'!$E$6,"",MATCH(53,'PEGAR'!$W$13:$W$512,0))</f>
      </c>
      <c r="L65" s="0">
        <f>IF(K65="","",INDEX('PEGAR'!$R$13:$R$512,K65))</f>
      </c>
      <c r="M65" s="0">
        <f>IF(B65="","",COUNTIFS('PEGAR'!$O$13:$O$512,B65,'PEGAR'!$P$13:$P$512,"DIMENSIONES")+COUNTIFS('PEGAR'!$O$13:$O$512,B65,'PEGAR'!$P$13:$P$512,"DIRECTA"))</f>
      </c>
      <c r="N65" s="0">
        <f>IF(B65="","",COUNTIFS('PEGAR'!$O$13:$O$512,B65,'PEGAR'!$X$13:$X$512,2))</f>
      </c>
      <c r="O65" s="0">
        <f>IF(B65="","",COUNTIFS('PEGAR'!$O$13:$O$512,B65,'PEGAR'!$P$13:$P$512,"SIN LÍNEAS"))</f>
      </c>
      <c r="P65" s="0">
        <f>IF(B65="","",SUMIFS('PEGAR'!$Y$13:$Y$512,'PEGAR'!$O$13:$O$512,B65))</f>
      </c>
      <c r="Q65" s="0">
        <f>IF(B65="","",SUMIFS('PEGAR'!$Z$13:$Z$512,'PEGAR'!$O$13:$O$512,B65))</f>
      </c>
      <c r="R65" s="0" t="n">
        <f>IF(OR(B65="",D65=""),0,SUMPRODUCT(--($B$13:$B$512&lt;&gt;""),--($D$13:$D$512=D65),--($C$13:$C$512=C65))-1)</f>
        <v>0</v>
      </c>
      <c r="S65" s="0" t="n">
        <f>IF(OR(B65="",D65=""),0,SUMPRODUCT(--($B$13:$B$512&lt;&gt;""),--($D$13:$D$512=D65),--($C$13:$C$512&lt;&gt;C65)))</f>
        <v>0</v>
      </c>
      <c r="T65" s="0" t="n">
        <f>IF(OR(B65="",D65=""),0,SUMPRODUCT(--($B$13:$B$512&lt;&gt;""),--($D$13:$D$512=D65),--($E$13:$E$512&lt;&gt;E65)))</f>
        <v>0</v>
      </c>
      <c r="U65" s="0" t="n">
        <f>IF(B65="",0,IF(SUMPRODUCT(--('LÉEME'!$C$65:$C$86=E65))=0,1,0))</f>
        <v>0</v>
      </c>
      <c r="V65" s="0">
        <f>IF(B65="","",SUMIFS('PEGAR'!$AA$13:$AA$512,'PEGAR'!$O$13:$O$512,B65))</f>
      </c>
      <c r="W65" s="0">
        <f>IF(B65="","",IF(OR(L65=0,N65&gt;0,T65&gt;0,IF(ISNUMBER(H65),ROUND(ABS(H65),8)&gt;$F$6,FALSE)),2,IF(OR(M65=0,O65&gt;0,P65&gt;0,Q65&gt;0,R65&gt;0,S65&gt;0,U65&gt;0,V65&gt;0),1,0)))</f>
      </c>
      <c r="X65" s="0">
        <f>IF(B65="","",IF(ISNUMBER(G65),1,0))</f>
      </c>
      <c r="AB65" s="0">
        <f>IF(AND(ISNUMBER(W65),W65&gt;0),"ID "&amp;B65,"")</f>
      </c>
      <c r="AC65" s="0">
        <f>IF(AND(ISNUMBER(W65),W65&gt;0),C65,"")</f>
      </c>
      <c r="AD65" s="0">
        <f>IF(AND(ISNUMBER(W65),W65&gt;0),D65,"")</f>
      </c>
      <c r="AE65" s="0">
        <f>IF(AND(ISNUMBER(W65),W65&gt;0),IF(INDEX('PEGAR'!$D$13:$D$512,IF(L65&gt;0,L65,K65))="","Sin descripción",INDEX('PEGAR'!$D$13:$D$512,IF(L65&gt;0,L65,K65))),"")</f>
      </c>
      <c r="AF65" s="0">
        <f>IF(AND(ISNUMBER(W65),W65&gt;0),J65,"")</f>
      </c>
      <c r="AG65" s="0" t="n">
        <f>IF(AND(ISNUMBER(W65),W65&gt;0),W65,0)</f>
        <v>0</v>
      </c>
      <c r="AH65" s="0">
        <f>IF(AG65&gt;0,COUNTIFS($AG$13:AG65,"&gt;0"),"")</f>
      </c>
    </row>
    <row r="66" ht="22" customHeight="1">
      <c r="B66" s="27">
        <f>IF(K66="","",INDEX('PEGAR'!$O$13:$O$512,K66))</f>
      </c>
      <c r="C66" s="30">
        <f>IF(B66="","",IF(LEN(TRIM(INDEX('PEGAR'!$B$13:$B$512,IF(L66&gt;0,L66,K66))&amp;""))=0,"Sin capítulo",TRIM(INDEX('PEGAR'!$B$13:$B$512,IF(L66&gt;0,L66,K66))&amp;"")))</f>
      </c>
      <c r="D66" s="27">
        <f>IF(B66="","",IF(LEN(TRIM(INDEX('PEGAR'!$C$13:$C$512,IF(L66&gt;0,L66,K66))&amp;""))=0,"",TRIM(INDEX('PEGAR'!$C$13:$C$512,IF(L66&gt;0,L66,K66))&amp;"")))</f>
      </c>
      <c r="E66" s="27">
        <f>IF(B66="","",INDEX('PEGAR'!$S$13:$S$512,IF(L66&gt;0,L66,K66)))</f>
      </c>
      <c r="F66" s="39">
        <f>IF(B66="","",IF(L66&gt;0,INDEX('PEGAR'!$F$13:$F$512,L66),""))</f>
      </c>
      <c r="G66" s="39">
        <f>IF(B66="","",IF(OR(M66=0,N66&gt;0,O66&gt;0),"",SUMIFS('PEGAR'!$M$13:$M$512,'PEGAR'!$O$13:$O$512,B66)))</f>
      </c>
      <c r="H66" s="39">
        <f>IF(AND(ISNUMBER(F66),ISNUMBER(G66)),G66-F66,"")</f>
      </c>
      <c r="I66" s="27">
        <f>IF(B66="","",IF(W66=2,"ROJO",IF(W66=1,"ÁMBAR","VERDE")))</f>
      </c>
      <c r="J66" s="30">
        <f>IF(B66="","",IF(W66=0,"Sin avisos numéricos. Revisamos el alcance aparte.",IF(L66=0,"Faltan datos completos de partida; no elegimos un total por suposición."&amp;CHAR(10),"")&amp;IF(N66&gt;0,"Hay filas incompletas o contradictorias; las revisamos en PEGAR."&amp;CHAR(10),"")&amp;IF(O66&gt;0,"Faltan las medidas de alguna fila; no cerramos la suma."&amp;CHAR(10),"")&amp;IF(M66=0,"No constan líneas de medición."&amp;CHAR(10),"")&amp;IF(IF(ISNUMBER(H66),ROUND(ABS(H66),8)&gt;$F$6,FALSE),"Las líneas difieren del total en más de 0,01; confirmamos cantidad o exclusión."&amp;CHAR(10),"")&amp;IF(P66&gt;0,"Parece m³: encontramos tres dimensiones bajo m²."&amp;CHAR(10),"")&amp;IF(R66&gt;0,"Código repetido dentro del capítulo; mantenemos sus ID separados."&amp;CHAR(10),"")&amp;IF(S66&gt;0,"Código repetido en otro capítulo; no unimos las partidas."&amp;CHAR(10),"")&amp;IF(T66&gt;0,"Mismo código con unidades distintas; pedimos aclaración."&amp;CHAR(10),"")&amp;IF(Q66&gt;0,"Hay más precisión que los decimales indicados; cotejamos el formato original."&amp;CHAR(10),"")&amp;IF(U66&gt;0,"Unidad sin normalizar; cotejamos su significado antes de sumar unidades."&amp;CHAR(10),"")&amp;IF(V66&gt;0,"Revisamos dimensiones, cantidades directas, ceros o deducciones en PEGAR."&amp;CHAR(10),"")))</f>
      </c>
      <c r="K66" s="0">
        <f>IF(54&gt;'RESUMEN'!$E$6,"",MATCH(54,'PEGAR'!$W$13:$W$512,0))</f>
      </c>
      <c r="L66" s="0">
        <f>IF(K66="","",INDEX('PEGAR'!$R$13:$R$512,K66))</f>
      </c>
      <c r="M66" s="0">
        <f>IF(B66="","",COUNTIFS('PEGAR'!$O$13:$O$512,B66,'PEGAR'!$P$13:$P$512,"DIMENSIONES")+COUNTIFS('PEGAR'!$O$13:$O$512,B66,'PEGAR'!$P$13:$P$512,"DIRECTA"))</f>
      </c>
      <c r="N66" s="0">
        <f>IF(B66="","",COUNTIFS('PEGAR'!$O$13:$O$512,B66,'PEGAR'!$X$13:$X$512,2))</f>
      </c>
      <c r="O66" s="0">
        <f>IF(B66="","",COUNTIFS('PEGAR'!$O$13:$O$512,B66,'PEGAR'!$P$13:$P$512,"SIN LÍNEAS"))</f>
      </c>
      <c r="P66" s="0">
        <f>IF(B66="","",SUMIFS('PEGAR'!$Y$13:$Y$512,'PEGAR'!$O$13:$O$512,B66))</f>
      </c>
      <c r="Q66" s="0">
        <f>IF(B66="","",SUMIFS('PEGAR'!$Z$13:$Z$512,'PEGAR'!$O$13:$O$512,B66))</f>
      </c>
      <c r="R66" s="0" t="n">
        <f>IF(OR(B66="",D66=""),0,SUMPRODUCT(--($B$13:$B$512&lt;&gt;""),--($D$13:$D$512=D66),--($C$13:$C$512=C66))-1)</f>
        <v>0</v>
      </c>
      <c r="S66" s="0" t="n">
        <f>IF(OR(B66="",D66=""),0,SUMPRODUCT(--($B$13:$B$512&lt;&gt;""),--($D$13:$D$512=D66),--($C$13:$C$512&lt;&gt;C66)))</f>
        <v>0</v>
      </c>
      <c r="T66" s="0" t="n">
        <f>IF(OR(B66="",D66=""),0,SUMPRODUCT(--($B$13:$B$512&lt;&gt;""),--($D$13:$D$512=D66),--($E$13:$E$512&lt;&gt;E66)))</f>
        <v>0</v>
      </c>
      <c r="U66" s="0" t="n">
        <f>IF(B66="",0,IF(SUMPRODUCT(--('LÉEME'!$C$65:$C$86=E66))=0,1,0))</f>
        <v>0</v>
      </c>
      <c r="V66" s="0">
        <f>IF(B66="","",SUMIFS('PEGAR'!$AA$13:$AA$512,'PEGAR'!$O$13:$O$512,B66))</f>
      </c>
      <c r="W66" s="0">
        <f>IF(B66="","",IF(OR(L66=0,N66&gt;0,T66&gt;0,IF(ISNUMBER(H66),ROUND(ABS(H66),8)&gt;$F$6,FALSE)),2,IF(OR(M66=0,O66&gt;0,P66&gt;0,Q66&gt;0,R66&gt;0,S66&gt;0,U66&gt;0,V66&gt;0),1,0)))</f>
      </c>
      <c r="X66" s="0">
        <f>IF(B66="","",IF(ISNUMBER(G66),1,0))</f>
      </c>
      <c r="AB66" s="0">
        <f>IF(AND(ISNUMBER(W66),W66&gt;0),"ID "&amp;B66,"")</f>
      </c>
      <c r="AC66" s="0">
        <f>IF(AND(ISNUMBER(W66),W66&gt;0),C66,"")</f>
      </c>
      <c r="AD66" s="0">
        <f>IF(AND(ISNUMBER(W66),W66&gt;0),D66,"")</f>
      </c>
      <c r="AE66" s="0">
        <f>IF(AND(ISNUMBER(W66),W66&gt;0),IF(INDEX('PEGAR'!$D$13:$D$512,IF(L66&gt;0,L66,K66))="","Sin descripción",INDEX('PEGAR'!$D$13:$D$512,IF(L66&gt;0,L66,K66))),"")</f>
      </c>
      <c r="AF66" s="0">
        <f>IF(AND(ISNUMBER(W66),W66&gt;0),J66,"")</f>
      </c>
      <c r="AG66" s="0" t="n">
        <f>IF(AND(ISNUMBER(W66),W66&gt;0),W66,0)</f>
        <v>0</v>
      </c>
      <c r="AH66" s="0">
        <f>IF(AG66&gt;0,COUNTIFS($AG$13:AG66,"&gt;0"),"")</f>
      </c>
    </row>
    <row r="67" ht="22" customHeight="1">
      <c r="B67" s="27">
        <f>IF(K67="","",INDEX('PEGAR'!$O$13:$O$512,K67))</f>
      </c>
      <c r="C67" s="30">
        <f>IF(B67="","",IF(LEN(TRIM(INDEX('PEGAR'!$B$13:$B$512,IF(L67&gt;0,L67,K67))&amp;""))=0,"Sin capítulo",TRIM(INDEX('PEGAR'!$B$13:$B$512,IF(L67&gt;0,L67,K67))&amp;"")))</f>
      </c>
      <c r="D67" s="27">
        <f>IF(B67="","",IF(LEN(TRIM(INDEX('PEGAR'!$C$13:$C$512,IF(L67&gt;0,L67,K67))&amp;""))=0,"",TRIM(INDEX('PEGAR'!$C$13:$C$512,IF(L67&gt;0,L67,K67))&amp;"")))</f>
      </c>
      <c r="E67" s="27">
        <f>IF(B67="","",INDEX('PEGAR'!$S$13:$S$512,IF(L67&gt;0,L67,K67)))</f>
      </c>
      <c r="F67" s="39">
        <f>IF(B67="","",IF(L67&gt;0,INDEX('PEGAR'!$F$13:$F$512,L67),""))</f>
      </c>
      <c r="G67" s="39">
        <f>IF(B67="","",IF(OR(M67=0,N67&gt;0,O67&gt;0),"",SUMIFS('PEGAR'!$M$13:$M$512,'PEGAR'!$O$13:$O$512,B67)))</f>
      </c>
      <c r="H67" s="39">
        <f>IF(AND(ISNUMBER(F67),ISNUMBER(G67)),G67-F67,"")</f>
      </c>
      <c r="I67" s="27">
        <f>IF(B67="","",IF(W67=2,"ROJO",IF(W67=1,"ÁMBAR","VERDE")))</f>
      </c>
      <c r="J67" s="30">
        <f>IF(B67="","",IF(W67=0,"Sin avisos numéricos. Revisamos el alcance aparte.",IF(L67=0,"Faltan datos completos de partida; no elegimos un total por suposición."&amp;CHAR(10),"")&amp;IF(N67&gt;0,"Hay filas incompletas o contradictorias; las revisamos en PEGAR."&amp;CHAR(10),"")&amp;IF(O67&gt;0,"Faltan las medidas de alguna fila; no cerramos la suma."&amp;CHAR(10),"")&amp;IF(M67=0,"No constan líneas de medición."&amp;CHAR(10),"")&amp;IF(IF(ISNUMBER(H67),ROUND(ABS(H67),8)&gt;$F$6,FALSE),"Las líneas difieren del total en más de 0,01; confirmamos cantidad o exclusión."&amp;CHAR(10),"")&amp;IF(P67&gt;0,"Parece m³: encontramos tres dimensiones bajo m²."&amp;CHAR(10),"")&amp;IF(R67&gt;0,"Código repetido dentro del capítulo; mantenemos sus ID separados."&amp;CHAR(10),"")&amp;IF(S67&gt;0,"Código repetido en otro capítulo; no unimos las partidas."&amp;CHAR(10),"")&amp;IF(T67&gt;0,"Mismo código con unidades distintas; pedimos aclaración."&amp;CHAR(10),"")&amp;IF(Q67&gt;0,"Hay más precisión que los decimales indicados; cotejamos el formato original."&amp;CHAR(10),"")&amp;IF(U67&gt;0,"Unidad sin normalizar; cotejamos su significado antes de sumar unidades."&amp;CHAR(10),"")&amp;IF(V67&gt;0,"Revisamos dimensiones, cantidades directas, ceros o deducciones en PEGAR."&amp;CHAR(10),"")))</f>
      </c>
      <c r="K67" s="0">
        <f>IF(55&gt;'RESUMEN'!$E$6,"",MATCH(55,'PEGAR'!$W$13:$W$512,0))</f>
      </c>
      <c r="L67" s="0">
        <f>IF(K67="","",INDEX('PEGAR'!$R$13:$R$512,K67))</f>
      </c>
      <c r="M67" s="0">
        <f>IF(B67="","",COUNTIFS('PEGAR'!$O$13:$O$512,B67,'PEGAR'!$P$13:$P$512,"DIMENSIONES")+COUNTIFS('PEGAR'!$O$13:$O$512,B67,'PEGAR'!$P$13:$P$512,"DIRECTA"))</f>
      </c>
      <c r="N67" s="0">
        <f>IF(B67="","",COUNTIFS('PEGAR'!$O$13:$O$512,B67,'PEGAR'!$X$13:$X$512,2))</f>
      </c>
      <c r="O67" s="0">
        <f>IF(B67="","",COUNTIFS('PEGAR'!$O$13:$O$512,B67,'PEGAR'!$P$13:$P$512,"SIN LÍNEAS"))</f>
      </c>
      <c r="P67" s="0">
        <f>IF(B67="","",SUMIFS('PEGAR'!$Y$13:$Y$512,'PEGAR'!$O$13:$O$512,B67))</f>
      </c>
      <c r="Q67" s="0">
        <f>IF(B67="","",SUMIFS('PEGAR'!$Z$13:$Z$512,'PEGAR'!$O$13:$O$512,B67))</f>
      </c>
      <c r="R67" s="0" t="n">
        <f>IF(OR(B67="",D67=""),0,SUMPRODUCT(--($B$13:$B$512&lt;&gt;""),--($D$13:$D$512=D67),--($C$13:$C$512=C67))-1)</f>
        <v>0</v>
      </c>
      <c r="S67" s="0" t="n">
        <f>IF(OR(B67="",D67=""),0,SUMPRODUCT(--($B$13:$B$512&lt;&gt;""),--($D$13:$D$512=D67),--($C$13:$C$512&lt;&gt;C67)))</f>
        <v>0</v>
      </c>
      <c r="T67" s="0" t="n">
        <f>IF(OR(B67="",D67=""),0,SUMPRODUCT(--($B$13:$B$512&lt;&gt;""),--($D$13:$D$512=D67),--($E$13:$E$512&lt;&gt;E67)))</f>
        <v>0</v>
      </c>
      <c r="U67" s="0" t="n">
        <f>IF(B67="",0,IF(SUMPRODUCT(--('LÉEME'!$C$65:$C$86=E67))=0,1,0))</f>
        <v>0</v>
      </c>
      <c r="V67" s="0">
        <f>IF(B67="","",SUMIFS('PEGAR'!$AA$13:$AA$512,'PEGAR'!$O$13:$O$512,B67))</f>
      </c>
      <c r="W67" s="0">
        <f>IF(B67="","",IF(OR(L67=0,N67&gt;0,T67&gt;0,IF(ISNUMBER(H67),ROUND(ABS(H67),8)&gt;$F$6,FALSE)),2,IF(OR(M67=0,O67&gt;0,P67&gt;0,Q67&gt;0,R67&gt;0,S67&gt;0,U67&gt;0,V67&gt;0),1,0)))</f>
      </c>
      <c r="X67" s="0">
        <f>IF(B67="","",IF(ISNUMBER(G67),1,0))</f>
      </c>
      <c r="AB67" s="0">
        <f>IF(AND(ISNUMBER(W67),W67&gt;0),"ID "&amp;B67,"")</f>
      </c>
      <c r="AC67" s="0">
        <f>IF(AND(ISNUMBER(W67),W67&gt;0),C67,"")</f>
      </c>
      <c r="AD67" s="0">
        <f>IF(AND(ISNUMBER(W67),W67&gt;0),D67,"")</f>
      </c>
      <c r="AE67" s="0">
        <f>IF(AND(ISNUMBER(W67),W67&gt;0),IF(INDEX('PEGAR'!$D$13:$D$512,IF(L67&gt;0,L67,K67))="","Sin descripción",INDEX('PEGAR'!$D$13:$D$512,IF(L67&gt;0,L67,K67))),"")</f>
      </c>
      <c r="AF67" s="0">
        <f>IF(AND(ISNUMBER(W67),W67&gt;0),J67,"")</f>
      </c>
      <c r="AG67" s="0" t="n">
        <f>IF(AND(ISNUMBER(W67),W67&gt;0),W67,0)</f>
        <v>0</v>
      </c>
      <c r="AH67" s="0">
        <f>IF(AG67&gt;0,COUNTIFS($AG$13:AG67,"&gt;0"),"")</f>
      </c>
    </row>
    <row r="68" ht="22" customHeight="1">
      <c r="B68" s="27">
        <f>IF(K68="","",INDEX('PEGAR'!$O$13:$O$512,K68))</f>
      </c>
      <c r="C68" s="30">
        <f>IF(B68="","",IF(LEN(TRIM(INDEX('PEGAR'!$B$13:$B$512,IF(L68&gt;0,L68,K68))&amp;""))=0,"Sin capítulo",TRIM(INDEX('PEGAR'!$B$13:$B$512,IF(L68&gt;0,L68,K68))&amp;"")))</f>
      </c>
      <c r="D68" s="27">
        <f>IF(B68="","",IF(LEN(TRIM(INDEX('PEGAR'!$C$13:$C$512,IF(L68&gt;0,L68,K68))&amp;""))=0,"",TRIM(INDEX('PEGAR'!$C$13:$C$512,IF(L68&gt;0,L68,K68))&amp;"")))</f>
      </c>
      <c r="E68" s="27">
        <f>IF(B68="","",INDEX('PEGAR'!$S$13:$S$512,IF(L68&gt;0,L68,K68)))</f>
      </c>
      <c r="F68" s="39">
        <f>IF(B68="","",IF(L68&gt;0,INDEX('PEGAR'!$F$13:$F$512,L68),""))</f>
      </c>
      <c r="G68" s="39">
        <f>IF(B68="","",IF(OR(M68=0,N68&gt;0,O68&gt;0),"",SUMIFS('PEGAR'!$M$13:$M$512,'PEGAR'!$O$13:$O$512,B68)))</f>
      </c>
      <c r="H68" s="39">
        <f>IF(AND(ISNUMBER(F68),ISNUMBER(G68)),G68-F68,"")</f>
      </c>
      <c r="I68" s="27">
        <f>IF(B68="","",IF(W68=2,"ROJO",IF(W68=1,"ÁMBAR","VERDE")))</f>
      </c>
      <c r="J68" s="30">
        <f>IF(B68="","",IF(W68=0,"Sin avisos numéricos. Revisamos el alcance aparte.",IF(L68=0,"Faltan datos completos de partida; no elegimos un total por suposición."&amp;CHAR(10),"")&amp;IF(N68&gt;0,"Hay filas incompletas o contradictorias; las revisamos en PEGAR."&amp;CHAR(10),"")&amp;IF(O68&gt;0,"Faltan las medidas de alguna fila; no cerramos la suma."&amp;CHAR(10),"")&amp;IF(M68=0,"No constan líneas de medición."&amp;CHAR(10),"")&amp;IF(IF(ISNUMBER(H68),ROUND(ABS(H68),8)&gt;$F$6,FALSE),"Las líneas difieren del total en más de 0,01; confirmamos cantidad o exclusión."&amp;CHAR(10),"")&amp;IF(P68&gt;0,"Parece m³: encontramos tres dimensiones bajo m²."&amp;CHAR(10),"")&amp;IF(R68&gt;0,"Código repetido dentro del capítulo; mantenemos sus ID separados."&amp;CHAR(10),"")&amp;IF(S68&gt;0,"Código repetido en otro capítulo; no unimos las partidas."&amp;CHAR(10),"")&amp;IF(T68&gt;0,"Mismo código con unidades distintas; pedimos aclaración."&amp;CHAR(10),"")&amp;IF(Q68&gt;0,"Hay más precisión que los decimales indicados; cotejamos el formato original."&amp;CHAR(10),"")&amp;IF(U68&gt;0,"Unidad sin normalizar; cotejamos su significado antes de sumar unidades."&amp;CHAR(10),"")&amp;IF(V68&gt;0,"Revisamos dimensiones, cantidades directas, ceros o deducciones en PEGAR."&amp;CHAR(10),"")))</f>
      </c>
      <c r="K68" s="0">
        <f>IF(56&gt;'RESUMEN'!$E$6,"",MATCH(56,'PEGAR'!$W$13:$W$512,0))</f>
      </c>
      <c r="L68" s="0">
        <f>IF(K68="","",INDEX('PEGAR'!$R$13:$R$512,K68))</f>
      </c>
      <c r="M68" s="0">
        <f>IF(B68="","",COUNTIFS('PEGAR'!$O$13:$O$512,B68,'PEGAR'!$P$13:$P$512,"DIMENSIONES")+COUNTIFS('PEGAR'!$O$13:$O$512,B68,'PEGAR'!$P$13:$P$512,"DIRECTA"))</f>
      </c>
      <c r="N68" s="0">
        <f>IF(B68="","",COUNTIFS('PEGAR'!$O$13:$O$512,B68,'PEGAR'!$X$13:$X$512,2))</f>
      </c>
      <c r="O68" s="0">
        <f>IF(B68="","",COUNTIFS('PEGAR'!$O$13:$O$512,B68,'PEGAR'!$P$13:$P$512,"SIN LÍNEAS"))</f>
      </c>
      <c r="P68" s="0">
        <f>IF(B68="","",SUMIFS('PEGAR'!$Y$13:$Y$512,'PEGAR'!$O$13:$O$512,B68))</f>
      </c>
      <c r="Q68" s="0">
        <f>IF(B68="","",SUMIFS('PEGAR'!$Z$13:$Z$512,'PEGAR'!$O$13:$O$512,B68))</f>
      </c>
      <c r="R68" s="0" t="n">
        <f>IF(OR(B68="",D68=""),0,SUMPRODUCT(--($B$13:$B$512&lt;&gt;""),--($D$13:$D$512=D68),--($C$13:$C$512=C68))-1)</f>
        <v>0</v>
      </c>
      <c r="S68" s="0" t="n">
        <f>IF(OR(B68="",D68=""),0,SUMPRODUCT(--($B$13:$B$512&lt;&gt;""),--($D$13:$D$512=D68),--($C$13:$C$512&lt;&gt;C68)))</f>
        <v>0</v>
      </c>
      <c r="T68" s="0" t="n">
        <f>IF(OR(B68="",D68=""),0,SUMPRODUCT(--($B$13:$B$512&lt;&gt;""),--($D$13:$D$512=D68),--($E$13:$E$512&lt;&gt;E68)))</f>
        <v>0</v>
      </c>
      <c r="U68" s="0" t="n">
        <f>IF(B68="",0,IF(SUMPRODUCT(--('LÉEME'!$C$65:$C$86=E68))=0,1,0))</f>
        <v>0</v>
      </c>
      <c r="V68" s="0">
        <f>IF(B68="","",SUMIFS('PEGAR'!$AA$13:$AA$512,'PEGAR'!$O$13:$O$512,B68))</f>
      </c>
      <c r="W68" s="0">
        <f>IF(B68="","",IF(OR(L68=0,N68&gt;0,T68&gt;0,IF(ISNUMBER(H68),ROUND(ABS(H68),8)&gt;$F$6,FALSE)),2,IF(OR(M68=0,O68&gt;0,P68&gt;0,Q68&gt;0,R68&gt;0,S68&gt;0,U68&gt;0,V68&gt;0),1,0)))</f>
      </c>
      <c r="X68" s="0">
        <f>IF(B68="","",IF(ISNUMBER(G68),1,0))</f>
      </c>
      <c r="AB68" s="0">
        <f>IF(AND(ISNUMBER(W68),W68&gt;0),"ID "&amp;B68,"")</f>
      </c>
      <c r="AC68" s="0">
        <f>IF(AND(ISNUMBER(W68),W68&gt;0),C68,"")</f>
      </c>
      <c r="AD68" s="0">
        <f>IF(AND(ISNUMBER(W68),W68&gt;0),D68,"")</f>
      </c>
      <c r="AE68" s="0">
        <f>IF(AND(ISNUMBER(W68),W68&gt;0),IF(INDEX('PEGAR'!$D$13:$D$512,IF(L68&gt;0,L68,K68))="","Sin descripción",INDEX('PEGAR'!$D$13:$D$512,IF(L68&gt;0,L68,K68))),"")</f>
      </c>
      <c r="AF68" s="0">
        <f>IF(AND(ISNUMBER(W68),W68&gt;0),J68,"")</f>
      </c>
      <c r="AG68" s="0" t="n">
        <f>IF(AND(ISNUMBER(W68),W68&gt;0),W68,0)</f>
        <v>0</v>
      </c>
      <c r="AH68" s="0">
        <f>IF(AG68&gt;0,COUNTIFS($AG$13:AG68,"&gt;0"),"")</f>
      </c>
    </row>
    <row r="69" ht="22" customHeight="1">
      <c r="B69" s="27">
        <f>IF(K69="","",INDEX('PEGAR'!$O$13:$O$512,K69))</f>
      </c>
      <c r="C69" s="30">
        <f>IF(B69="","",IF(LEN(TRIM(INDEX('PEGAR'!$B$13:$B$512,IF(L69&gt;0,L69,K69))&amp;""))=0,"Sin capítulo",TRIM(INDEX('PEGAR'!$B$13:$B$512,IF(L69&gt;0,L69,K69))&amp;"")))</f>
      </c>
      <c r="D69" s="27">
        <f>IF(B69="","",IF(LEN(TRIM(INDEX('PEGAR'!$C$13:$C$512,IF(L69&gt;0,L69,K69))&amp;""))=0,"",TRIM(INDEX('PEGAR'!$C$13:$C$512,IF(L69&gt;0,L69,K69))&amp;"")))</f>
      </c>
      <c r="E69" s="27">
        <f>IF(B69="","",INDEX('PEGAR'!$S$13:$S$512,IF(L69&gt;0,L69,K69)))</f>
      </c>
      <c r="F69" s="39">
        <f>IF(B69="","",IF(L69&gt;0,INDEX('PEGAR'!$F$13:$F$512,L69),""))</f>
      </c>
      <c r="G69" s="39">
        <f>IF(B69="","",IF(OR(M69=0,N69&gt;0,O69&gt;0),"",SUMIFS('PEGAR'!$M$13:$M$512,'PEGAR'!$O$13:$O$512,B69)))</f>
      </c>
      <c r="H69" s="39">
        <f>IF(AND(ISNUMBER(F69),ISNUMBER(G69)),G69-F69,"")</f>
      </c>
      <c r="I69" s="27">
        <f>IF(B69="","",IF(W69=2,"ROJO",IF(W69=1,"ÁMBAR","VERDE")))</f>
      </c>
      <c r="J69" s="30">
        <f>IF(B69="","",IF(W69=0,"Sin avisos numéricos. Revisamos el alcance aparte.",IF(L69=0,"Faltan datos completos de partida; no elegimos un total por suposición."&amp;CHAR(10),"")&amp;IF(N69&gt;0,"Hay filas incompletas o contradictorias; las revisamos en PEGAR."&amp;CHAR(10),"")&amp;IF(O69&gt;0,"Faltan las medidas de alguna fila; no cerramos la suma."&amp;CHAR(10),"")&amp;IF(M69=0,"No constan líneas de medición."&amp;CHAR(10),"")&amp;IF(IF(ISNUMBER(H69),ROUND(ABS(H69),8)&gt;$F$6,FALSE),"Las líneas difieren del total en más de 0,01; confirmamos cantidad o exclusión."&amp;CHAR(10),"")&amp;IF(P69&gt;0,"Parece m³: encontramos tres dimensiones bajo m²."&amp;CHAR(10),"")&amp;IF(R69&gt;0,"Código repetido dentro del capítulo; mantenemos sus ID separados."&amp;CHAR(10),"")&amp;IF(S69&gt;0,"Código repetido en otro capítulo; no unimos las partidas."&amp;CHAR(10),"")&amp;IF(T69&gt;0,"Mismo código con unidades distintas; pedimos aclaración."&amp;CHAR(10),"")&amp;IF(Q69&gt;0,"Hay más precisión que los decimales indicados; cotejamos el formato original."&amp;CHAR(10),"")&amp;IF(U69&gt;0,"Unidad sin normalizar; cotejamos su significado antes de sumar unidades."&amp;CHAR(10),"")&amp;IF(V69&gt;0,"Revisamos dimensiones, cantidades directas, ceros o deducciones en PEGAR."&amp;CHAR(10),"")))</f>
      </c>
      <c r="K69" s="0">
        <f>IF(57&gt;'RESUMEN'!$E$6,"",MATCH(57,'PEGAR'!$W$13:$W$512,0))</f>
      </c>
      <c r="L69" s="0">
        <f>IF(K69="","",INDEX('PEGAR'!$R$13:$R$512,K69))</f>
      </c>
      <c r="M69" s="0">
        <f>IF(B69="","",COUNTIFS('PEGAR'!$O$13:$O$512,B69,'PEGAR'!$P$13:$P$512,"DIMENSIONES")+COUNTIFS('PEGAR'!$O$13:$O$512,B69,'PEGAR'!$P$13:$P$512,"DIRECTA"))</f>
      </c>
      <c r="N69" s="0">
        <f>IF(B69="","",COUNTIFS('PEGAR'!$O$13:$O$512,B69,'PEGAR'!$X$13:$X$512,2))</f>
      </c>
      <c r="O69" s="0">
        <f>IF(B69="","",COUNTIFS('PEGAR'!$O$13:$O$512,B69,'PEGAR'!$P$13:$P$512,"SIN LÍNEAS"))</f>
      </c>
      <c r="P69" s="0">
        <f>IF(B69="","",SUMIFS('PEGAR'!$Y$13:$Y$512,'PEGAR'!$O$13:$O$512,B69))</f>
      </c>
      <c r="Q69" s="0">
        <f>IF(B69="","",SUMIFS('PEGAR'!$Z$13:$Z$512,'PEGAR'!$O$13:$O$512,B69))</f>
      </c>
      <c r="R69" s="0" t="n">
        <f>IF(OR(B69="",D69=""),0,SUMPRODUCT(--($B$13:$B$512&lt;&gt;""),--($D$13:$D$512=D69),--($C$13:$C$512=C69))-1)</f>
        <v>0</v>
      </c>
      <c r="S69" s="0" t="n">
        <f>IF(OR(B69="",D69=""),0,SUMPRODUCT(--($B$13:$B$512&lt;&gt;""),--($D$13:$D$512=D69),--($C$13:$C$512&lt;&gt;C69)))</f>
        <v>0</v>
      </c>
      <c r="T69" s="0" t="n">
        <f>IF(OR(B69="",D69=""),0,SUMPRODUCT(--($B$13:$B$512&lt;&gt;""),--($D$13:$D$512=D69),--($E$13:$E$512&lt;&gt;E69)))</f>
        <v>0</v>
      </c>
      <c r="U69" s="0" t="n">
        <f>IF(B69="",0,IF(SUMPRODUCT(--('LÉEME'!$C$65:$C$86=E69))=0,1,0))</f>
        <v>0</v>
      </c>
      <c r="V69" s="0">
        <f>IF(B69="","",SUMIFS('PEGAR'!$AA$13:$AA$512,'PEGAR'!$O$13:$O$512,B69))</f>
      </c>
      <c r="W69" s="0">
        <f>IF(B69="","",IF(OR(L69=0,N69&gt;0,T69&gt;0,IF(ISNUMBER(H69),ROUND(ABS(H69),8)&gt;$F$6,FALSE)),2,IF(OR(M69=0,O69&gt;0,P69&gt;0,Q69&gt;0,R69&gt;0,S69&gt;0,U69&gt;0,V69&gt;0),1,0)))</f>
      </c>
      <c r="X69" s="0">
        <f>IF(B69="","",IF(ISNUMBER(G69),1,0))</f>
      </c>
      <c r="AB69" s="0">
        <f>IF(AND(ISNUMBER(W69),W69&gt;0),"ID "&amp;B69,"")</f>
      </c>
      <c r="AC69" s="0">
        <f>IF(AND(ISNUMBER(W69),W69&gt;0),C69,"")</f>
      </c>
      <c r="AD69" s="0">
        <f>IF(AND(ISNUMBER(W69),W69&gt;0),D69,"")</f>
      </c>
      <c r="AE69" s="0">
        <f>IF(AND(ISNUMBER(W69),W69&gt;0),IF(INDEX('PEGAR'!$D$13:$D$512,IF(L69&gt;0,L69,K69))="","Sin descripción",INDEX('PEGAR'!$D$13:$D$512,IF(L69&gt;0,L69,K69))),"")</f>
      </c>
      <c r="AF69" s="0">
        <f>IF(AND(ISNUMBER(W69),W69&gt;0),J69,"")</f>
      </c>
      <c r="AG69" s="0" t="n">
        <f>IF(AND(ISNUMBER(W69),W69&gt;0),W69,0)</f>
        <v>0</v>
      </c>
      <c r="AH69" s="0">
        <f>IF(AG69&gt;0,COUNTIFS($AG$13:AG69,"&gt;0"),"")</f>
      </c>
    </row>
    <row r="70" ht="22" customHeight="1">
      <c r="B70" s="27">
        <f>IF(K70="","",INDEX('PEGAR'!$O$13:$O$512,K70))</f>
      </c>
      <c r="C70" s="30">
        <f>IF(B70="","",IF(LEN(TRIM(INDEX('PEGAR'!$B$13:$B$512,IF(L70&gt;0,L70,K70))&amp;""))=0,"Sin capítulo",TRIM(INDEX('PEGAR'!$B$13:$B$512,IF(L70&gt;0,L70,K70))&amp;"")))</f>
      </c>
      <c r="D70" s="27">
        <f>IF(B70="","",IF(LEN(TRIM(INDEX('PEGAR'!$C$13:$C$512,IF(L70&gt;0,L70,K70))&amp;""))=0,"",TRIM(INDEX('PEGAR'!$C$13:$C$512,IF(L70&gt;0,L70,K70))&amp;"")))</f>
      </c>
      <c r="E70" s="27">
        <f>IF(B70="","",INDEX('PEGAR'!$S$13:$S$512,IF(L70&gt;0,L70,K70)))</f>
      </c>
      <c r="F70" s="39">
        <f>IF(B70="","",IF(L70&gt;0,INDEX('PEGAR'!$F$13:$F$512,L70),""))</f>
      </c>
      <c r="G70" s="39">
        <f>IF(B70="","",IF(OR(M70=0,N70&gt;0,O70&gt;0),"",SUMIFS('PEGAR'!$M$13:$M$512,'PEGAR'!$O$13:$O$512,B70)))</f>
      </c>
      <c r="H70" s="39">
        <f>IF(AND(ISNUMBER(F70),ISNUMBER(G70)),G70-F70,"")</f>
      </c>
      <c r="I70" s="27">
        <f>IF(B70="","",IF(W70=2,"ROJO",IF(W70=1,"ÁMBAR","VERDE")))</f>
      </c>
      <c r="J70" s="30">
        <f>IF(B70="","",IF(W70=0,"Sin avisos numéricos. Revisamos el alcance aparte.",IF(L70=0,"Faltan datos completos de partida; no elegimos un total por suposición."&amp;CHAR(10),"")&amp;IF(N70&gt;0,"Hay filas incompletas o contradictorias; las revisamos en PEGAR."&amp;CHAR(10),"")&amp;IF(O70&gt;0,"Faltan las medidas de alguna fila; no cerramos la suma."&amp;CHAR(10),"")&amp;IF(M70=0,"No constan líneas de medición."&amp;CHAR(10),"")&amp;IF(IF(ISNUMBER(H70),ROUND(ABS(H70),8)&gt;$F$6,FALSE),"Las líneas difieren del total en más de 0,01; confirmamos cantidad o exclusión."&amp;CHAR(10),"")&amp;IF(P70&gt;0,"Parece m³: encontramos tres dimensiones bajo m²."&amp;CHAR(10),"")&amp;IF(R70&gt;0,"Código repetido dentro del capítulo; mantenemos sus ID separados."&amp;CHAR(10),"")&amp;IF(S70&gt;0,"Código repetido en otro capítulo; no unimos las partidas."&amp;CHAR(10),"")&amp;IF(T70&gt;0,"Mismo código con unidades distintas; pedimos aclaración."&amp;CHAR(10),"")&amp;IF(Q70&gt;0,"Hay más precisión que los decimales indicados; cotejamos el formato original."&amp;CHAR(10),"")&amp;IF(U70&gt;0,"Unidad sin normalizar; cotejamos su significado antes de sumar unidades."&amp;CHAR(10),"")&amp;IF(V70&gt;0,"Revisamos dimensiones, cantidades directas, ceros o deducciones en PEGAR."&amp;CHAR(10),"")))</f>
      </c>
      <c r="K70" s="0">
        <f>IF(58&gt;'RESUMEN'!$E$6,"",MATCH(58,'PEGAR'!$W$13:$W$512,0))</f>
      </c>
      <c r="L70" s="0">
        <f>IF(K70="","",INDEX('PEGAR'!$R$13:$R$512,K70))</f>
      </c>
      <c r="M70" s="0">
        <f>IF(B70="","",COUNTIFS('PEGAR'!$O$13:$O$512,B70,'PEGAR'!$P$13:$P$512,"DIMENSIONES")+COUNTIFS('PEGAR'!$O$13:$O$512,B70,'PEGAR'!$P$13:$P$512,"DIRECTA"))</f>
      </c>
      <c r="N70" s="0">
        <f>IF(B70="","",COUNTIFS('PEGAR'!$O$13:$O$512,B70,'PEGAR'!$X$13:$X$512,2))</f>
      </c>
      <c r="O70" s="0">
        <f>IF(B70="","",COUNTIFS('PEGAR'!$O$13:$O$512,B70,'PEGAR'!$P$13:$P$512,"SIN LÍNEAS"))</f>
      </c>
      <c r="P70" s="0">
        <f>IF(B70="","",SUMIFS('PEGAR'!$Y$13:$Y$512,'PEGAR'!$O$13:$O$512,B70))</f>
      </c>
      <c r="Q70" s="0">
        <f>IF(B70="","",SUMIFS('PEGAR'!$Z$13:$Z$512,'PEGAR'!$O$13:$O$512,B70))</f>
      </c>
      <c r="R70" s="0" t="n">
        <f>IF(OR(B70="",D70=""),0,SUMPRODUCT(--($B$13:$B$512&lt;&gt;""),--($D$13:$D$512=D70),--($C$13:$C$512=C70))-1)</f>
        <v>0</v>
      </c>
      <c r="S70" s="0" t="n">
        <f>IF(OR(B70="",D70=""),0,SUMPRODUCT(--($B$13:$B$512&lt;&gt;""),--($D$13:$D$512=D70),--($C$13:$C$512&lt;&gt;C70)))</f>
        <v>0</v>
      </c>
      <c r="T70" s="0" t="n">
        <f>IF(OR(B70="",D70=""),0,SUMPRODUCT(--($B$13:$B$512&lt;&gt;""),--($D$13:$D$512=D70),--($E$13:$E$512&lt;&gt;E70)))</f>
        <v>0</v>
      </c>
      <c r="U70" s="0" t="n">
        <f>IF(B70="",0,IF(SUMPRODUCT(--('LÉEME'!$C$65:$C$86=E70))=0,1,0))</f>
        <v>0</v>
      </c>
      <c r="V70" s="0">
        <f>IF(B70="","",SUMIFS('PEGAR'!$AA$13:$AA$512,'PEGAR'!$O$13:$O$512,B70))</f>
      </c>
      <c r="W70" s="0">
        <f>IF(B70="","",IF(OR(L70=0,N70&gt;0,T70&gt;0,IF(ISNUMBER(H70),ROUND(ABS(H70),8)&gt;$F$6,FALSE)),2,IF(OR(M70=0,O70&gt;0,P70&gt;0,Q70&gt;0,R70&gt;0,S70&gt;0,U70&gt;0,V70&gt;0),1,0)))</f>
      </c>
      <c r="X70" s="0">
        <f>IF(B70="","",IF(ISNUMBER(G70),1,0))</f>
      </c>
      <c r="AB70" s="0">
        <f>IF(AND(ISNUMBER(W70),W70&gt;0),"ID "&amp;B70,"")</f>
      </c>
      <c r="AC70" s="0">
        <f>IF(AND(ISNUMBER(W70),W70&gt;0),C70,"")</f>
      </c>
      <c r="AD70" s="0">
        <f>IF(AND(ISNUMBER(W70),W70&gt;0),D70,"")</f>
      </c>
      <c r="AE70" s="0">
        <f>IF(AND(ISNUMBER(W70),W70&gt;0),IF(INDEX('PEGAR'!$D$13:$D$512,IF(L70&gt;0,L70,K70))="","Sin descripción",INDEX('PEGAR'!$D$13:$D$512,IF(L70&gt;0,L70,K70))),"")</f>
      </c>
      <c r="AF70" s="0">
        <f>IF(AND(ISNUMBER(W70),W70&gt;0),J70,"")</f>
      </c>
      <c r="AG70" s="0" t="n">
        <f>IF(AND(ISNUMBER(W70),W70&gt;0),W70,0)</f>
        <v>0</v>
      </c>
      <c r="AH70" s="0">
        <f>IF(AG70&gt;0,COUNTIFS($AG$13:AG70,"&gt;0"),"")</f>
      </c>
    </row>
    <row r="71" ht="22" customHeight="1">
      <c r="B71" s="27">
        <f>IF(K71="","",INDEX('PEGAR'!$O$13:$O$512,K71))</f>
      </c>
      <c r="C71" s="30">
        <f>IF(B71="","",IF(LEN(TRIM(INDEX('PEGAR'!$B$13:$B$512,IF(L71&gt;0,L71,K71))&amp;""))=0,"Sin capítulo",TRIM(INDEX('PEGAR'!$B$13:$B$512,IF(L71&gt;0,L71,K71))&amp;"")))</f>
      </c>
      <c r="D71" s="27">
        <f>IF(B71="","",IF(LEN(TRIM(INDEX('PEGAR'!$C$13:$C$512,IF(L71&gt;0,L71,K71))&amp;""))=0,"",TRIM(INDEX('PEGAR'!$C$13:$C$512,IF(L71&gt;0,L71,K71))&amp;"")))</f>
      </c>
      <c r="E71" s="27">
        <f>IF(B71="","",INDEX('PEGAR'!$S$13:$S$512,IF(L71&gt;0,L71,K71)))</f>
      </c>
      <c r="F71" s="39">
        <f>IF(B71="","",IF(L71&gt;0,INDEX('PEGAR'!$F$13:$F$512,L71),""))</f>
      </c>
      <c r="G71" s="39">
        <f>IF(B71="","",IF(OR(M71=0,N71&gt;0,O71&gt;0),"",SUMIFS('PEGAR'!$M$13:$M$512,'PEGAR'!$O$13:$O$512,B71)))</f>
      </c>
      <c r="H71" s="39">
        <f>IF(AND(ISNUMBER(F71),ISNUMBER(G71)),G71-F71,"")</f>
      </c>
      <c r="I71" s="27">
        <f>IF(B71="","",IF(W71=2,"ROJO",IF(W71=1,"ÁMBAR","VERDE")))</f>
      </c>
      <c r="J71" s="30">
        <f>IF(B71="","",IF(W71=0,"Sin avisos numéricos. Revisamos el alcance aparte.",IF(L71=0,"Faltan datos completos de partida; no elegimos un total por suposición."&amp;CHAR(10),"")&amp;IF(N71&gt;0,"Hay filas incompletas o contradictorias; las revisamos en PEGAR."&amp;CHAR(10),"")&amp;IF(O71&gt;0,"Faltan las medidas de alguna fila; no cerramos la suma."&amp;CHAR(10),"")&amp;IF(M71=0,"No constan líneas de medición."&amp;CHAR(10),"")&amp;IF(IF(ISNUMBER(H71),ROUND(ABS(H71),8)&gt;$F$6,FALSE),"Las líneas difieren del total en más de 0,01; confirmamos cantidad o exclusión."&amp;CHAR(10),"")&amp;IF(P71&gt;0,"Parece m³: encontramos tres dimensiones bajo m²."&amp;CHAR(10),"")&amp;IF(R71&gt;0,"Código repetido dentro del capítulo; mantenemos sus ID separados."&amp;CHAR(10),"")&amp;IF(S71&gt;0,"Código repetido en otro capítulo; no unimos las partidas."&amp;CHAR(10),"")&amp;IF(T71&gt;0,"Mismo código con unidades distintas; pedimos aclaración."&amp;CHAR(10),"")&amp;IF(Q71&gt;0,"Hay más precisión que los decimales indicados; cotejamos el formato original."&amp;CHAR(10),"")&amp;IF(U71&gt;0,"Unidad sin normalizar; cotejamos su significado antes de sumar unidades."&amp;CHAR(10),"")&amp;IF(V71&gt;0,"Revisamos dimensiones, cantidades directas, ceros o deducciones en PEGAR."&amp;CHAR(10),"")))</f>
      </c>
      <c r="K71" s="0">
        <f>IF(59&gt;'RESUMEN'!$E$6,"",MATCH(59,'PEGAR'!$W$13:$W$512,0))</f>
      </c>
      <c r="L71" s="0">
        <f>IF(K71="","",INDEX('PEGAR'!$R$13:$R$512,K71))</f>
      </c>
      <c r="M71" s="0">
        <f>IF(B71="","",COUNTIFS('PEGAR'!$O$13:$O$512,B71,'PEGAR'!$P$13:$P$512,"DIMENSIONES")+COUNTIFS('PEGAR'!$O$13:$O$512,B71,'PEGAR'!$P$13:$P$512,"DIRECTA"))</f>
      </c>
      <c r="N71" s="0">
        <f>IF(B71="","",COUNTIFS('PEGAR'!$O$13:$O$512,B71,'PEGAR'!$X$13:$X$512,2))</f>
      </c>
      <c r="O71" s="0">
        <f>IF(B71="","",COUNTIFS('PEGAR'!$O$13:$O$512,B71,'PEGAR'!$P$13:$P$512,"SIN LÍNEAS"))</f>
      </c>
      <c r="P71" s="0">
        <f>IF(B71="","",SUMIFS('PEGAR'!$Y$13:$Y$512,'PEGAR'!$O$13:$O$512,B71))</f>
      </c>
      <c r="Q71" s="0">
        <f>IF(B71="","",SUMIFS('PEGAR'!$Z$13:$Z$512,'PEGAR'!$O$13:$O$512,B71))</f>
      </c>
      <c r="R71" s="0" t="n">
        <f>IF(OR(B71="",D71=""),0,SUMPRODUCT(--($B$13:$B$512&lt;&gt;""),--($D$13:$D$512=D71),--($C$13:$C$512=C71))-1)</f>
        <v>0</v>
      </c>
      <c r="S71" s="0" t="n">
        <f>IF(OR(B71="",D71=""),0,SUMPRODUCT(--($B$13:$B$512&lt;&gt;""),--($D$13:$D$512=D71),--($C$13:$C$512&lt;&gt;C71)))</f>
        <v>0</v>
      </c>
      <c r="T71" s="0" t="n">
        <f>IF(OR(B71="",D71=""),0,SUMPRODUCT(--($B$13:$B$512&lt;&gt;""),--($D$13:$D$512=D71),--($E$13:$E$512&lt;&gt;E71)))</f>
        <v>0</v>
      </c>
      <c r="U71" s="0" t="n">
        <f>IF(B71="",0,IF(SUMPRODUCT(--('LÉEME'!$C$65:$C$86=E71))=0,1,0))</f>
        <v>0</v>
      </c>
      <c r="V71" s="0">
        <f>IF(B71="","",SUMIFS('PEGAR'!$AA$13:$AA$512,'PEGAR'!$O$13:$O$512,B71))</f>
      </c>
      <c r="W71" s="0">
        <f>IF(B71="","",IF(OR(L71=0,N71&gt;0,T71&gt;0,IF(ISNUMBER(H71),ROUND(ABS(H71),8)&gt;$F$6,FALSE)),2,IF(OR(M71=0,O71&gt;0,P71&gt;0,Q71&gt;0,R71&gt;0,S71&gt;0,U71&gt;0,V71&gt;0),1,0)))</f>
      </c>
      <c r="X71" s="0">
        <f>IF(B71="","",IF(ISNUMBER(G71),1,0))</f>
      </c>
      <c r="AB71" s="0">
        <f>IF(AND(ISNUMBER(W71),W71&gt;0),"ID "&amp;B71,"")</f>
      </c>
      <c r="AC71" s="0">
        <f>IF(AND(ISNUMBER(W71),W71&gt;0),C71,"")</f>
      </c>
      <c r="AD71" s="0">
        <f>IF(AND(ISNUMBER(W71),W71&gt;0),D71,"")</f>
      </c>
      <c r="AE71" s="0">
        <f>IF(AND(ISNUMBER(W71),W71&gt;0),IF(INDEX('PEGAR'!$D$13:$D$512,IF(L71&gt;0,L71,K71))="","Sin descripción",INDEX('PEGAR'!$D$13:$D$512,IF(L71&gt;0,L71,K71))),"")</f>
      </c>
      <c r="AF71" s="0">
        <f>IF(AND(ISNUMBER(W71),W71&gt;0),J71,"")</f>
      </c>
      <c r="AG71" s="0" t="n">
        <f>IF(AND(ISNUMBER(W71),W71&gt;0),W71,0)</f>
        <v>0</v>
      </c>
      <c r="AH71" s="0">
        <f>IF(AG71&gt;0,COUNTIFS($AG$13:AG71,"&gt;0"),"")</f>
      </c>
    </row>
    <row r="72" ht="22" customHeight="1">
      <c r="B72" s="27">
        <f>IF(K72="","",INDEX('PEGAR'!$O$13:$O$512,K72))</f>
      </c>
      <c r="C72" s="30">
        <f>IF(B72="","",IF(LEN(TRIM(INDEX('PEGAR'!$B$13:$B$512,IF(L72&gt;0,L72,K72))&amp;""))=0,"Sin capítulo",TRIM(INDEX('PEGAR'!$B$13:$B$512,IF(L72&gt;0,L72,K72))&amp;"")))</f>
      </c>
      <c r="D72" s="27">
        <f>IF(B72="","",IF(LEN(TRIM(INDEX('PEGAR'!$C$13:$C$512,IF(L72&gt;0,L72,K72))&amp;""))=0,"",TRIM(INDEX('PEGAR'!$C$13:$C$512,IF(L72&gt;0,L72,K72))&amp;"")))</f>
      </c>
      <c r="E72" s="27">
        <f>IF(B72="","",INDEX('PEGAR'!$S$13:$S$512,IF(L72&gt;0,L72,K72)))</f>
      </c>
      <c r="F72" s="39">
        <f>IF(B72="","",IF(L72&gt;0,INDEX('PEGAR'!$F$13:$F$512,L72),""))</f>
      </c>
      <c r="G72" s="39">
        <f>IF(B72="","",IF(OR(M72=0,N72&gt;0,O72&gt;0),"",SUMIFS('PEGAR'!$M$13:$M$512,'PEGAR'!$O$13:$O$512,B72)))</f>
      </c>
      <c r="H72" s="39">
        <f>IF(AND(ISNUMBER(F72),ISNUMBER(G72)),G72-F72,"")</f>
      </c>
      <c r="I72" s="27">
        <f>IF(B72="","",IF(W72=2,"ROJO",IF(W72=1,"ÁMBAR","VERDE")))</f>
      </c>
      <c r="J72" s="30">
        <f>IF(B72="","",IF(W72=0,"Sin avisos numéricos. Revisamos el alcance aparte.",IF(L72=0,"Faltan datos completos de partida; no elegimos un total por suposición."&amp;CHAR(10),"")&amp;IF(N72&gt;0,"Hay filas incompletas o contradictorias; las revisamos en PEGAR."&amp;CHAR(10),"")&amp;IF(O72&gt;0,"Faltan las medidas de alguna fila; no cerramos la suma."&amp;CHAR(10),"")&amp;IF(M72=0,"No constan líneas de medición."&amp;CHAR(10),"")&amp;IF(IF(ISNUMBER(H72),ROUND(ABS(H72),8)&gt;$F$6,FALSE),"Las líneas difieren del total en más de 0,01; confirmamos cantidad o exclusión."&amp;CHAR(10),"")&amp;IF(P72&gt;0,"Parece m³: encontramos tres dimensiones bajo m²."&amp;CHAR(10),"")&amp;IF(R72&gt;0,"Código repetido dentro del capítulo; mantenemos sus ID separados."&amp;CHAR(10),"")&amp;IF(S72&gt;0,"Código repetido en otro capítulo; no unimos las partidas."&amp;CHAR(10),"")&amp;IF(T72&gt;0,"Mismo código con unidades distintas; pedimos aclaración."&amp;CHAR(10),"")&amp;IF(Q72&gt;0,"Hay más precisión que los decimales indicados; cotejamos el formato original."&amp;CHAR(10),"")&amp;IF(U72&gt;0,"Unidad sin normalizar; cotejamos su significado antes de sumar unidades."&amp;CHAR(10),"")&amp;IF(V72&gt;0,"Revisamos dimensiones, cantidades directas, ceros o deducciones en PEGAR."&amp;CHAR(10),"")))</f>
      </c>
      <c r="K72" s="0">
        <f>IF(60&gt;'RESUMEN'!$E$6,"",MATCH(60,'PEGAR'!$W$13:$W$512,0))</f>
      </c>
      <c r="L72" s="0">
        <f>IF(K72="","",INDEX('PEGAR'!$R$13:$R$512,K72))</f>
      </c>
      <c r="M72" s="0">
        <f>IF(B72="","",COUNTIFS('PEGAR'!$O$13:$O$512,B72,'PEGAR'!$P$13:$P$512,"DIMENSIONES")+COUNTIFS('PEGAR'!$O$13:$O$512,B72,'PEGAR'!$P$13:$P$512,"DIRECTA"))</f>
      </c>
      <c r="N72" s="0">
        <f>IF(B72="","",COUNTIFS('PEGAR'!$O$13:$O$512,B72,'PEGAR'!$X$13:$X$512,2))</f>
      </c>
      <c r="O72" s="0">
        <f>IF(B72="","",COUNTIFS('PEGAR'!$O$13:$O$512,B72,'PEGAR'!$P$13:$P$512,"SIN LÍNEAS"))</f>
      </c>
      <c r="P72" s="0">
        <f>IF(B72="","",SUMIFS('PEGAR'!$Y$13:$Y$512,'PEGAR'!$O$13:$O$512,B72))</f>
      </c>
      <c r="Q72" s="0">
        <f>IF(B72="","",SUMIFS('PEGAR'!$Z$13:$Z$512,'PEGAR'!$O$13:$O$512,B72))</f>
      </c>
      <c r="R72" s="0" t="n">
        <f>IF(OR(B72="",D72=""),0,SUMPRODUCT(--($B$13:$B$512&lt;&gt;""),--($D$13:$D$512=D72),--($C$13:$C$512=C72))-1)</f>
        <v>0</v>
      </c>
      <c r="S72" s="0" t="n">
        <f>IF(OR(B72="",D72=""),0,SUMPRODUCT(--($B$13:$B$512&lt;&gt;""),--($D$13:$D$512=D72),--($C$13:$C$512&lt;&gt;C72)))</f>
        <v>0</v>
      </c>
      <c r="T72" s="0" t="n">
        <f>IF(OR(B72="",D72=""),0,SUMPRODUCT(--($B$13:$B$512&lt;&gt;""),--($D$13:$D$512=D72),--($E$13:$E$512&lt;&gt;E72)))</f>
        <v>0</v>
      </c>
      <c r="U72" s="0" t="n">
        <f>IF(B72="",0,IF(SUMPRODUCT(--('LÉEME'!$C$65:$C$86=E72))=0,1,0))</f>
        <v>0</v>
      </c>
      <c r="V72" s="0">
        <f>IF(B72="","",SUMIFS('PEGAR'!$AA$13:$AA$512,'PEGAR'!$O$13:$O$512,B72))</f>
      </c>
      <c r="W72" s="0">
        <f>IF(B72="","",IF(OR(L72=0,N72&gt;0,T72&gt;0,IF(ISNUMBER(H72),ROUND(ABS(H72),8)&gt;$F$6,FALSE)),2,IF(OR(M72=0,O72&gt;0,P72&gt;0,Q72&gt;0,R72&gt;0,S72&gt;0,U72&gt;0,V72&gt;0),1,0)))</f>
      </c>
      <c r="X72" s="0">
        <f>IF(B72="","",IF(ISNUMBER(G72),1,0))</f>
      </c>
      <c r="AB72" s="0">
        <f>IF(AND(ISNUMBER(W72),W72&gt;0),"ID "&amp;B72,"")</f>
      </c>
      <c r="AC72" s="0">
        <f>IF(AND(ISNUMBER(W72),W72&gt;0),C72,"")</f>
      </c>
      <c r="AD72" s="0">
        <f>IF(AND(ISNUMBER(W72),W72&gt;0),D72,"")</f>
      </c>
      <c r="AE72" s="0">
        <f>IF(AND(ISNUMBER(W72),W72&gt;0),IF(INDEX('PEGAR'!$D$13:$D$512,IF(L72&gt;0,L72,K72))="","Sin descripción",INDEX('PEGAR'!$D$13:$D$512,IF(L72&gt;0,L72,K72))),"")</f>
      </c>
      <c r="AF72" s="0">
        <f>IF(AND(ISNUMBER(W72),W72&gt;0),J72,"")</f>
      </c>
      <c r="AG72" s="0" t="n">
        <f>IF(AND(ISNUMBER(W72),W72&gt;0),W72,0)</f>
        <v>0</v>
      </c>
      <c r="AH72" s="0">
        <f>IF(AG72&gt;0,COUNTIFS($AG$13:AG72,"&gt;0"),"")</f>
      </c>
    </row>
    <row r="73" ht="22" customHeight="1">
      <c r="B73" s="27">
        <f>IF(K73="","",INDEX('PEGAR'!$O$13:$O$512,K73))</f>
      </c>
      <c r="C73" s="30">
        <f>IF(B73="","",IF(LEN(TRIM(INDEX('PEGAR'!$B$13:$B$512,IF(L73&gt;0,L73,K73))&amp;""))=0,"Sin capítulo",TRIM(INDEX('PEGAR'!$B$13:$B$512,IF(L73&gt;0,L73,K73))&amp;"")))</f>
      </c>
      <c r="D73" s="27">
        <f>IF(B73="","",IF(LEN(TRIM(INDEX('PEGAR'!$C$13:$C$512,IF(L73&gt;0,L73,K73))&amp;""))=0,"",TRIM(INDEX('PEGAR'!$C$13:$C$512,IF(L73&gt;0,L73,K73))&amp;"")))</f>
      </c>
      <c r="E73" s="27">
        <f>IF(B73="","",INDEX('PEGAR'!$S$13:$S$512,IF(L73&gt;0,L73,K73)))</f>
      </c>
      <c r="F73" s="39">
        <f>IF(B73="","",IF(L73&gt;0,INDEX('PEGAR'!$F$13:$F$512,L73),""))</f>
      </c>
      <c r="G73" s="39">
        <f>IF(B73="","",IF(OR(M73=0,N73&gt;0,O73&gt;0),"",SUMIFS('PEGAR'!$M$13:$M$512,'PEGAR'!$O$13:$O$512,B73)))</f>
      </c>
      <c r="H73" s="39">
        <f>IF(AND(ISNUMBER(F73),ISNUMBER(G73)),G73-F73,"")</f>
      </c>
      <c r="I73" s="27">
        <f>IF(B73="","",IF(W73=2,"ROJO",IF(W73=1,"ÁMBAR","VERDE")))</f>
      </c>
      <c r="J73" s="30">
        <f>IF(B73="","",IF(W73=0,"Sin avisos numéricos. Revisamos el alcance aparte.",IF(L73=0,"Faltan datos completos de partida; no elegimos un total por suposición."&amp;CHAR(10),"")&amp;IF(N73&gt;0,"Hay filas incompletas o contradictorias; las revisamos en PEGAR."&amp;CHAR(10),"")&amp;IF(O73&gt;0,"Faltan las medidas de alguna fila; no cerramos la suma."&amp;CHAR(10),"")&amp;IF(M73=0,"No constan líneas de medición."&amp;CHAR(10),"")&amp;IF(IF(ISNUMBER(H73),ROUND(ABS(H73),8)&gt;$F$6,FALSE),"Las líneas difieren del total en más de 0,01; confirmamos cantidad o exclusión."&amp;CHAR(10),"")&amp;IF(P73&gt;0,"Parece m³: encontramos tres dimensiones bajo m²."&amp;CHAR(10),"")&amp;IF(R73&gt;0,"Código repetido dentro del capítulo; mantenemos sus ID separados."&amp;CHAR(10),"")&amp;IF(S73&gt;0,"Código repetido en otro capítulo; no unimos las partidas."&amp;CHAR(10),"")&amp;IF(T73&gt;0,"Mismo código con unidades distintas; pedimos aclaración."&amp;CHAR(10),"")&amp;IF(Q73&gt;0,"Hay más precisión que los decimales indicados; cotejamos el formato original."&amp;CHAR(10),"")&amp;IF(U73&gt;0,"Unidad sin normalizar; cotejamos su significado antes de sumar unidades."&amp;CHAR(10),"")&amp;IF(V73&gt;0,"Revisamos dimensiones, cantidades directas, ceros o deducciones en PEGAR."&amp;CHAR(10),"")))</f>
      </c>
      <c r="K73" s="0">
        <f>IF(61&gt;'RESUMEN'!$E$6,"",MATCH(61,'PEGAR'!$W$13:$W$512,0))</f>
      </c>
      <c r="L73" s="0">
        <f>IF(K73="","",INDEX('PEGAR'!$R$13:$R$512,K73))</f>
      </c>
      <c r="M73" s="0">
        <f>IF(B73="","",COUNTIFS('PEGAR'!$O$13:$O$512,B73,'PEGAR'!$P$13:$P$512,"DIMENSIONES")+COUNTIFS('PEGAR'!$O$13:$O$512,B73,'PEGAR'!$P$13:$P$512,"DIRECTA"))</f>
      </c>
      <c r="N73" s="0">
        <f>IF(B73="","",COUNTIFS('PEGAR'!$O$13:$O$512,B73,'PEGAR'!$X$13:$X$512,2))</f>
      </c>
      <c r="O73" s="0">
        <f>IF(B73="","",COUNTIFS('PEGAR'!$O$13:$O$512,B73,'PEGAR'!$P$13:$P$512,"SIN LÍNEAS"))</f>
      </c>
      <c r="P73" s="0">
        <f>IF(B73="","",SUMIFS('PEGAR'!$Y$13:$Y$512,'PEGAR'!$O$13:$O$512,B73))</f>
      </c>
      <c r="Q73" s="0">
        <f>IF(B73="","",SUMIFS('PEGAR'!$Z$13:$Z$512,'PEGAR'!$O$13:$O$512,B73))</f>
      </c>
      <c r="R73" s="0" t="n">
        <f>IF(OR(B73="",D73=""),0,SUMPRODUCT(--($B$13:$B$512&lt;&gt;""),--($D$13:$D$512=D73),--($C$13:$C$512=C73))-1)</f>
        <v>0</v>
      </c>
      <c r="S73" s="0" t="n">
        <f>IF(OR(B73="",D73=""),0,SUMPRODUCT(--($B$13:$B$512&lt;&gt;""),--($D$13:$D$512=D73),--($C$13:$C$512&lt;&gt;C73)))</f>
        <v>0</v>
      </c>
      <c r="T73" s="0" t="n">
        <f>IF(OR(B73="",D73=""),0,SUMPRODUCT(--($B$13:$B$512&lt;&gt;""),--($D$13:$D$512=D73),--($E$13:$E$512&lt;&gt;E73)))</f>
        <v>0</v>
      </c>
      <c r="U73" s="0" t="n">
        <f>IF(B73="",0,IF(SUMPRODUCT(--('LÉEME'!$C$65:$C$86=E73))=0,1,0))</f>
        <v>0</v>
      </c>
      <c r="V73" s="0">
        <f>IF(B73="","",SUMIFS('PEGAR'!$AA$13:$AA$512,'PEGAR'!$O$13:$O$512,B73))</f>
      </c>
      <c r="W73" s="0">
        <f>IF(B73="","",IF(OR(L73=0,N73&gt;0,T73&gt;0,IF(ISNUMBER(H73),ROUND(ABS(H73),8)&gt;$F$6,FALSE)),2,IF(OR(M73=0,O73&gt;0,P73&gt;0,Q73&gt;0,R73&gt;0,S73&gt;0,U73&gt;0,V73&gt;0),1,0)))</f>
      </c>
      <c r="X73" s="0">
        <f>IF(B73="","",IF(ISNUMBER(G73),1,0))</f>
      </c>
      <c r="AB73" s="0">
        <f>IF(AND(ISNUMBER(W73),W73&gt;0),"ID "&amp;B73,"")</f>
      </c>
      <c r="AC73" s="0">
        <f>IF(AND(ISNUMBER(W73),W73&gt;0),C73,"")</f>
      </c>
      <c r="AD73" s="0">
        <f>IF(AND(ISNUMBER(W73),W73&gt;0),D73,"")</f>
      </c>
      <c r="AE73" s="0">
        <f>IF(AND(ISNUMBER(W73),W73&gt;0),IF(INDEX('PEGAR'!$D$13:$D$512,IF(L73&gt;0,L73,K73))="","Sin descripción",INDEX('PEGAR'!$D$13:$D$512,IF(L73&gt;0,L73,K73))),"")</f>
      </c>
      <c r="AF73" s="0">
        <f>IF(AND(ISNUMBER(W73),W73&gt;0),J73,"")</f>
      </c>
      <c r="AG73" s="0" t="n">
        <f>IF(AND(ISNUMBER(W73),W73&gt;0),W73,0)</f>
        <v>0</v>
      </c>
      <c r="AH73" s="0">
        <f>IF(AG73&gt;0,COUNTIFS($AG$13:AG73,"&gt;0"),"")</f>
      </c>
    </row>
    <row r="74" ht="22" customHeight="1">
      <c r="B74" s="27">
        <f>IF(K74="","",INDEX('PEGAR'!$O$13:$O$512,K74))</f>
      </c>
      <c r="C74" s="30">
        <f>IF(B74="","",IF(LEN(TRIM(INDEX('PEGAR'!$B$13:$B$512,IF(L74&gt;0,L74,K74))&amp;""))=0,"Sin capítulo",TRIM(INDEX('PEGAR'!$B$13:$B$512,IF(L74&gt;0,L74,K74))&amp;"")))</f>
      </c>
      <c r="D74" s="27">
        <f>IF(B74="","",IF(LEN(TRIM(INDEX('PEGAR'!$C$13:$C$512,IF(L74&gt;0,L74,K74))&amp;""))=0,"",TRIM(INDEX('PEGAR'!$C$13:$C$512,IF(L74&gt;0,L74,K74))&amp;"")))</f>
      </c>
      <c r="E74" s="27">
        <f>IF(B74="","",INDEX('PEGAR'!$S$13:$S$512,IF(L74&gt;0,L74,K74)))</f>
      </c>
      <c r="F74" s="39">
        <f>IF(B74="","",IF(L74&gt;0,INDEX('PEGAR'!$F$13:$F$512,L74),""))</f>
      </c>
      <c r="G74" s="39">
        <f>IF(B74="","",IF(OR(M74=0,N74&gt;0,O74&gt;0),"",SUMIFS('PEGAR'!$M$13:$M$512,'PEGAR'!$O$13:$O$512,B74)))</f>
      </c>
      <c r="H74" s="39">
        <f>IF(AND(ISNUMBER(F74),ISNUMBER(G74)),G74-F74,"")</f>
      </c>
      <c r="I74" s="27">
        <f>IF(B74="","",IF(W74=2,"ROJO",IF(W74=1,"ÁMBAR","VERDE")))</f>
      </c>
      <c r="J74" s="30">
        <f>IF(B74="","",IF(W74=0,"Sin avisos numéricos. Revisamos el alcance aparte.",IF(L74=0,"Faltan datos completos de partida; no elegimos un total por suposición."&amp;CHAR(10),"")&amp;IF(N74&gt;0,"Hay filas incompletas o contradictorias; las revisamos en PEGAR."&amp;CHAR(10),"")&amp;IF(O74&gt;0,"Faltan las medidas de alguna fila; no cerramos la suma."&amp;CHAR(10),"")&amp;IF(M74=0,"No constan líneas de medición."&amp;CHAR(10),"")&amp;IF(IF(ISNUMBER(H74),ROUND(ABS(H74),8)&gt;$F$6,FALSE),"Las líneas difieren del total en más de 0,01; confirmamos cantidad o exclusión."&amp;CHAR(10),"")&amp;IF(P74&gt;0,"Parece m³: encontramos tres dimensiones bajo m²."&amp;CHAR(10),"")&amp;IF(R74&gt;0,"Código repetido dentro del capítulo; mantenemos sus ID separados."&amp;CHAR(10),"")&amp;IF(S74&gt;0,"Código repetido en otro capítulo; no unimos las partidas."&amp;CHAR(10),"")&amp;IF(T74&gt;0,"Mismo código con unidades distintas; pedimos aclaración."&amp;CHAR(10),"")&amp;IF(Q74&gt;0,"Hay más precisión que los decimales indicados; cotejamos el formato original."&amp;CHAR(10),"")&amp;IF(U74&gt;0,"Unidad sin normalizar; cotejamos su significado antes de sumar unidades."&amp;CHAR(10),"")&amp;IF(V74&gt;0,"Revisamos dimensiones, cantidades directas, ceros o deducciones en PEGAR."&amp;CHAR(10),"")))</f>
      </c>
      <c r="K74" s="0">
        <f>IF(62&gt;'RESUMEN'!$E$6,"",MATCH(62,'PEGAR'!$W$13:$W$512,0))</f>
      </c>
      <c r="L74" s="0">
        <f>IF(K74="","",INDEX('PEGAR'!$R$13:$R$512,K74))</f>
      </c>
      <c r="M74" s="0">
        <f>IF(B74="","",COUNTIFS('PEGAR'!$O$13:$O$512,B74,'PEGAR'!$P$13:$P$512,"DIMENSIONES")+COUNTIFS('PEGAR'!$O$13:$O$512,B74,'PEGAR'!$P$13:$P$512,"DIRECTA"))</f>
      </c>
      <c r="N74" s="0">
        <f>IF(B74="","",COUNTIFS('PEGAR'!$O$13:$O$512,B74,'PEGAR'!$X$13:$X$512,2))</f>
      </c>
      <c r="O74" s="0">
        <f>IF(B74="","",COUNTIFS('PEGAR'!$O$13:$O$512,B74,'PEGAR'!$P$13:$P$512,"SIN LÍNEAS"))</f>
      </c>
      <c r="P74" s="0">
        <f>IF(B74="","",SUMIFS('PEGAR'!$Y$13:$Y$512,'PEGAR'!$O$13:$O$512,B74))</f>
      </c>
      <c r="Q74" s="0">
        <f>IF(B74="","",SUMIFS('PEGAR'!$Z$13:$Z$512,'PEGAR'!$O$13:$O$512,B74))</f>
      </c>
      <c r="R74" s="0" t="n">
        <f>IF(OR(B74="",D74=""),0,SUMPRODUCT(--($B$13:$B$512&lt;&gt;""),--($D$13:$D$512=D74),--($C$13:$C$512=C74))-1)</f>
        <v>0</v>
      </c>
      <c r="S74" s="0" t="n">
        <f>IF(OR(B74="",D74=""),0,SUMPRODUCT(--($B$13:$B$512&lt;&gt;""),--($D$13:$D$512=D74),--($C$13:$C$512&lt;&gt;C74)))</f>
        <v>0</v>
      </c>
      <c r="T74" s="0" t="n">
        <f>IF(OR(B74="",D74=""),0,SUMPRODUCT(--($B$13:$B$512&lt;&gt;""),--($D$13:$D$512=D74),--($E$13:$E$512&lt;&gt;E74)))</f>
        <v>0</v>
      </c>
      <c r="U74" s="0" t="n">
        <f>IF(B74="",0,IF(SUMPRODUCT(--('LÉEME'!$C$65:$C$86=E74))=0,1,0))</f>
        <v>0</v>
      </c>
      <c r="V74" s="0">
        <f>IF(B74="","",SUMIFS('PEGAR'!$AA$13:$AA$512,'PEGAR'!$O$13:$O$512,B74))</f>
      </c>
      <c r="W74" s="0">
        <f>IF(B74="","",IF(OR(L74=0,N74&gt;0,T74&gt;0,IF(ISNUMBER(H74),ROUND(ABS(H74),8)&gt;$F$6,FALSE)),2,IF(OR(M74=0,O74&gt;0,P74&gt;0,Q74&gt;0,R74&gt;0,S74&gt;0,U74&gt;0,V74&gt;0),1,0)))</f>
      </c>
      <c r="X74" s="0">
        <f>IF(B74="","",IF(ISNUMBER(G74),1,0))</f>
      </c>
      <c r="AB74" s="0">
        <f>IF(AND(ISNUMBER(W74),W74&gt;0),"ID "&amp;B74,"")</f>
      </c>
      <c r="AC74" s="0">
        <f>IF(AND(ISNUMBER(W74),W74&gt;0),C74,"")</f>
      </c>
      <c r="AD74" s="0">
        <f>IF(AND(ISNUMBER(W74),W74&gt;0),D74,"")</f>
      </c>
      <c r="AE74" s="0">
        <f>IF(AND(ISNUMBER(W74),W74&gt;0),IF(INDEX('PEGAR'!$D$13:$D$512,IF(L74&gt;0,L74,K74))="","Sin descripción",INDEX('PEGAR'!$D$13:$D$512,IF(L74&gt;0,L74,K74))),"")</f>
      </c>
      <c r="AF74" s="0">
        <f>IF(AND(ISNUMBER(W74),W74&gt;0),J74,"")</f>
      </c>
      <c r="AG74" s="0" t="n">
        <f>IF(AND(ISNUMBER(W74),W74&gt;0),W74,0)</f>
        <v>0</v>
      </c>
      <c r="AH74" s="0">
        <f>IF(AG74&gt;0,COUNTIFS($AG$13:AG74,"&gt;0"),"")</f>
      </c>
    </row>
    <row r="75" ht="22" customHeight="1">
      <c r="B75" s="27">
        <f>IF(K75="","",INDEX('PEGAR'!$O$13:$O$512,K75))</f>
      </c>
      <c r="C75" s="30">
        <f>IF(B75="","",IF(LEN(TRIM(INDEX('PEGAR'!$B$13:$B$512,IF(L75&gt;0,L75,K75))&amp;""))=0,"Sin capítulo",TRIM(INDEX('PEGAR'!$B$13:$B$512,IF(L75&gt;0,L75,K75))&amp;"")))</f>
      </c>
      <c r="D75" s="27">
        <f>IF(B75="","",IF(LEN(TRIM(INDEX('PEGAR'!$C$13:$C$512,IF(L75&gt;0,L75,K75))&amp;""))=0,"",TRIM(INDEX('PEGAR'!$C$13:$C$512,IF(L75&gt;0,L75,K75))&amp;"")))</f>
      </c>
      <c r="E75" s="27">
        <f>IF(B75="","",INDEX('PEGAR'!$S$13:$S$512,IF(L75&gt;0,L75,K75)))</f>
      </c>
      <c r="F75" s="39">
        <f>IF(B75="","",IF(L75&gt;0,INDEX('PEGAR'!$F$13:$F$512,L75),""))</f>
      </c>
      <c r="G75" s="39">
        <f>IF(B75="","",IF(OR(M75=0,N75&gt;0,O75&gt;0),"",SUMIFS('PEGAR'!$M$13:$M$512,'PEGAR'!$O$13:$O$512,B75)))</f>
      </c>
      <c r="H75" s="39">
        <f>IF(AND(ISNUMBER(F75),ISNUMBER(G75)),G75-F75,"")</f>
      </c>
      <c r="I75" s="27">
        <f>IF(B75="","",IF(W75=2,"ROJO",IF(W75=1,"ÁMBAR","VERDE")))</f>
      </c>
      <c r="J75" s="30">
        <f>IF(B75="","",IF(W75=0,"Sin avisos numéricos. Revisamos el alcance aparte.",IF(L75=0,"Faltan datos completos de partida; no elegimos un total por suposición."&amp;CHAR(10),"")&amp;IF(N75&gt;0,"Hay filas incompletas o contradictorias; las revisamos en PEGAR."&amp;CHAR(10),"")&amp;IF(O75&gt;0,"Faltan las medidas de alguna fila; no cerramos la suma."&amp;CHAR(10),"")&amp;IF(M75=0,"No constan líneas de medición."&amp;CHAR(10),"")&amp;IF(IF(ISNUMBER(H75),ROUND(ABS(H75),8)&gt;$F$6,FALSE),"Las líneas difieren del total en más de 0,01; confirmamos cantidad o exclusión."&amp;CHAR(10),"")&amp;IF(P75&gt;0,"Parece m³: encontramos tres dimensiones bajo m²."&amp;CHAR(10),"")&amp;IF(R75&gt;0,"Código repetido dentro del capítulo; mantenemos sus ID separados."&amp;CHAR(10),"")&amp;IF(S75&gt;0,"Código repetido en otro capítulo; no unimos las partidas."&amp;CHAR(10),"")&amp;IF(T75&gt;0,"Mismo código con unidades distintas; pedimos aclaración."&amp;CHAR(10),"")&amp;IF(Q75&gt;0,"Hay más precisión que los decimales indicados; cotejamos el formato original."&amp;CHAR(10),"")&amp;IF(U75&gt;0,"Unidad sin normalizar; cotejamos su significado antes de sumar unidades."&amp;CHAR(10),"")&amp;IF(V75&gt;0,"Revisamos dimensiones, cantidades directas, ceros o deducciones en PEGAR."&amp;CHAR(10),"")))</f>
      </c>
      <c r="K75" s="0">
        <f>IF(63&gt;'RESUMEN'!$E$6,"",MATCH(63,'PEGAR'!$W$13:$W$512,0))</f>
      </c>
      <c r="L75" s="0">
        <f>IF(K75="","",INDEX('PEGAR'!$R$13:$R$512,K75))</f>
      </c>
      <c r="M75" s="0">
        <f>IF(B75="","",COUNTIFS('PEGAR'!$O$13:$O$512,B75,'PEGAR'!$P$13:$P$512,"DIMENSIONES")+COUNTIFS('PEGAR'!$O$13:$O$512,B75,'PEGAR'!$P$13:$P$512,"DIRECTA"))</f>
      </c>
      <c r="N75" s="0">
        <f>IF(B75="","",COUNTIFS('PEGAR'!$O$13:$O$512,B75,'PEGAR'!$X$13:$X$512,2))</f>
      </c>
      <c r="O75" s="0">
        <f>IF(B75="","",COUNTIFS('PEGAR'!$O$13:$O$512,B75,'PEGAR'!$P$13:$P$512,"SIN LÍNEAS"))</f>
      </c>
      <c r="P75" s="0">
        <f>IF(B75="","",SUMIFS('PEGAR'!$Y$13:$Y$512,'PEGAR'!$O$13:$O$512,B75))</f>
      </c>
      <c r="Q75" s="0">
        <f>IF(B75="","",SUMIFS('PEGAR'!$Z$13:$Z$512,'PEGAR'!$O$13:$O$512,B75))</f>
      </c>
      <c r="R75" s="0" t="n">
        <f>IF(OR(B75="",D75=""),0,SUMPRODUCT(--($B$13:$B$512&lt;&gt;""),--($D$13:$D$512=D75),--($C$13:$C$512=C75))-1)</f>
        <v>0</v>
      </c>
      <c r="S75" s="0" t="n">
        <f>IF(OR(B75="",D75=""),0,SUMPRODUCT(--($B$13:$B$512&lt;&gt;""),--($D$13:$D$512=D75),--($C$13:$C$512&lt;&gt;C75)))</f>
        <v>0</v>
      </c>
      <c r="T75" s="0" t="n">
        <f>IF(OR(B75="",D75=""),0,SUMPRODUCT(--($B$13:$B$512&lt;&gt;""),--($D$13:$D$512=D75),--($E$13:$E$512&lt;&gt;E75)))</f>
        <v>0</v>
      </c>
      <c r="U75" s="0" t="n">
        <f>IF(B75="",0,IF(SUMPRODUCT(--('LÉEME'!$C$65:$C$86=E75))=0,1,0))</f>
        <v>0</v>
      </c>
      <c r="V75" s="0">
        <f>IF(B75="","",SUMIFS('PEGAR'!$AA$13:$AA$512,'PEGAR'!$O$13:$O$512,B75))</f>
      </c>
      <c r="W75" s="0">
        <f>IF(B75="","",IF(OR(L75=0,N75&gt;0,T75&gt;0,IF(ISNUMBER(H75),ROUND(ABS(H75),8)&gt;$F$6,FALSE)),2,IF(OR(M75=0,O75&gt;0,P75&gt;0,Q75&gt;0,R75&gt;0,S75&gt;0,U75&gt;0,V75&gt;0),1,0)))</f>
      </c>
      <c r="X75" s="0">
        <f>IF(B75="","",IF(ISNUMBER(G75),1,0))</f>
      </c>
      <c r="AB75" s="0">
        <f>IF(AND(ISNUMBER(W75),W75&gt;0),"ID "&amp;B75,"")</f>
      </c>
      <c r="AC75" s="0">
        <f>IF(AND(ISNUMBER(W75),W75&gt;0),C75,"")</f>
      </c>
      <c r="AD75" s="0">
        <f>IF(AND(ISNUMBER(W75),W75&gt;0),D75,"")</f>
      </c>
      <c r="AE75" s="0">
        <f>IF(AND(ISNUMBER(W75),W75&gt;0),IF(INDEX('PEGAR'!$D$13:$D$512,IF(L75&gt;0,L75,K75))="","Sin descripción",INDEX('PEGAR'!$D$13:$D$512,IF(L75&gt;0,L75,K75))),"")</f>
      </c>
      <c r="AF75" s="0">
        <f>IF(AND(ISNUMBER(W75),W75&gt;0),J75,"")</f>
      </c>
      <c r="AG75" s="0" t="n">
        <f>IF(AND(ISNUMBER(W75),W75&gt;0),W75,0)</f>
        <v>0</v>
      </c>
      <c r="AH75" s="0">
        <f>IF(AG75&gt;0,COUNTIFS($AG$13:AG75,"&gt;0"),"")</f>
      </c>
    </row>
    <row r="76" ht="22" customHeight="1">
      <c r="B76" s="27">
        <f>IF(K76="","",INDEX('PEGAR'!$O$13:$O$512,K76))</f>
      </c>
      <c r="C76" s="30">
        <f>IF(B76="","",IF(LEN(TRIM(INDEX('PEGAR'!$B$13:$B$512,IF(L76&gt;0,L76,K76))&amp;""))=0,"Sin capítulo",TRIM(INDEX('PEGAR'!$B$13:$B$512,IF(L76&gt;0,L76,K76))&amp;"")))</f>
      </c>
      <c r="D76" s="27">
        <f>IF(B76="","",IF(LEN(TRIM(INDEX('PEGAR'!$C$13:$C$512,IF(L76&gt;0,L76,K76))&amp;""))=0,"",TRIM(INDEX('PEGAR'!$C$13:$C$512,IF(L76&gt;0,L76,K76))&amp;"")))</f>
      </c>
      <c r="E76" s="27">
        <f>IF(B76="","",INDEX('PEGAR'!$S$13:$S$512,IF(L76&gt;0,L76,K76)))</f>
      </c>
      <c r="F76" s="39">
        <f>IF(B76="","",IF(L76&gt;0,INDEX('PEGAR'!$F$13:$F$512,L76),""))</f>
      </c>
      <c r="G76" s="39">
        <f>IF(B76="","",IF(OR(M76=0,N76&gt;0,O76&gt;0),"",SUMIFS('PEGAR'!$M$13:$M$512,'PEGAR'!$O$13:$O$512,B76)))</f>
      </c>
      <c r="H76" s="39">
        <f>IF(AND(ISNUMBER(F76),ISNUMBER(G76)),G76-F76,"")</f>
      </c>
      <c r="I76" s="27">
        <f>IF(B76="","",IF(W76=2,"ROJO",IF(W76=1,"ÁMBAR","VERDE")))</f>
      </c>
      <c r="J76" s="30">
        <f>IF(B76="","",IF(W76=0,"Sin avisos numéricos. Revisamos el alcance aparte.",IF(L76=0,"Faltan datos completos de partida; no elegimos un total por suposición."&amp;CHAR(10),"")&amp;IF(N76&gt;0,"Hay filas incompletas o contradictorias; las revisamos en PEGAR."&amp;CHAR(10),"")&amp;IF(O76&gt;0,"Faltan las medidas de alguna fila; no cerramos la suma."&amp;CHAR(10),"")&amp;IF(M76=0,"No constan líneas de medición."&amp;CHAR(10),"")&amp;IF(IF(ISNUMBER(H76),ROUND(ABS(H76),8)&gt;$F$6,FALSE),"Las líneas difieren del total en más de 0,01; confirmamos cantidad o exclusión."&amp;CHAR(10),"")&amp;IF(P76&gt;0,"Parece m³: encontramos tres dimensiones bajo m²."&amp;CHAR(10),"")&amp;IF(R76&gt;0,"Código repetido dentro del capítulo; mantenemos sus ID separados."&amp;CHAR(10),"")&amp;IF(S76&gt;0,"Código repetido en otro capítulo; no unimos las partidas."&amp;CHAR(10),"")&amp;IF(T76&gt;0,"Mismo código con unidades distintas; pedimos aclaración."&amp;CHAR(10),"")&amp;IF(Q76&gt;0,"Hay más precisión que los decimales indicados; cotejamos el formato original."&amp;CHAR(10),"")&amp;IF(U76&gt;0,"Unidad sin normalizar; cotejamos su significado antes de sumar unidades."&amp;CHAR(10),"")&amp;IF(V76&gt;0,"Revisamos dimensiones, cantidades directas, ceros o deducciones en PEGAR."&amp;CHAR(10),"")))</f>
      </c>
      <c r="K76" s="0">
        <f>IF(64&gt;'RESUMEN'!$E$6,"",MATCH(64,'PEGAR'!$W$13:$W$512,0))</f>
      </c>
      <c r="L76" s="0">
        <f>IF(K76="","",INDEX('PEGAR'!$R$13:$R$512,K76))</f>
      </c>
      <c r="M76" s="0">
        <f>IF(B76="","",COUNTIFS('PEGAR'!$O$13:$O$512,B76,'PEGAR'!$P$13:$P$512,"DIMENSIONES")+COUNTIFS('PEGAR'!$O$13:$O$512,B76,'PEGAR'!$P$13:$P$512,"DIRECTA"))</f>
      </c>
      <c r="N76" s="0">
        <f>IF(B76="","",COUNTIFS('PEGAR'!$O$13:$O$512,B76,'PEGAR'!$X$13:$X$512,2))</f>
      </c>
      <c r="O76" s="0">
        <f>IF(B76="","",COUNTIFS('PEGAR'!$O$13:$O$512,B76,'PEGAR'!$P$13:$P$512,"SIN LÍNEAS"))</f>
      </c>
      <c r="P76" s="0">
        <f>IF(B76="","",SUMIFS('PEGAR'!$Y$13:$Y$512,'PEGAR'!$O$13:$O$512,B76))</f>
      </c>
      <c r="Q76" s="0">
        <f>IF(B76="","",SUMIFS('PEGAR'!$Z$13:$Z$512,'PEGAR'!$O$13:$O$512,B76))</f>
      </c>
      <c r="R76" s="0" t="n">
        <f>IF(OR(B76="",D76=""),0,SUMPRODUCT(--($B$13:$B$512&lt;&gt;""),--($D$13:$D$512=D76),--($C$13:$C$512=C76))-1)</f>
        <v>0</v>
      </c>
      <c r="S76" s="0" t="n">
        <f>IF(OR(B76="",D76=""),0,SUMPRODUCT(--($B$13:$B$512&lt;&gt;""),--($D$13:$D$512=D76),--($C$13:$C$512&lt;&gt;C76)))</f>
        <v>0</v>
      </c>
      <c r="T76" s="0" t="n">
        <f>IF(OR(B76="",D76=""),0,SUMPRODUCT(--($B$13:$B$512&lt;&gt;""),--($D$13:$D$512=D76),--($E$13:$E$512&lt;&gt;E76)))</f>
        <v>0</v>
      </c>
      <c r="U76" s="0" t="n">
        <f>IF(B76="",0,IF(SUMPRODUCT(--('LÉEME'!$C$65:$C$86=E76))=0,1,0))</f>
        <v>0</v>
      </c>
      <c r="V76" s="0">
        <f>IF(B76="","",SUMIFS('PEGAR'!$AA$13:$AA$512,'PEGAR'!$O$13:$O$512,B76))</f>
      </c>
      <c r="W76" s="0">
        <f>IF(B76="","",IF(OR(L76=0,N76&gt;0,T76&gt;0,IF(ISNUMBER(H76),ROUND(ABS(H76),8)&gt;$F$6,FALSE)),2,IF(OR(M76=0,O76&gt;0,P76&gt;0,Q76&gt;0,R76&gt;0,S76&gt;0,U76&gt;0,V76&gt;0),1,0)))</f>
      </c>
      <c r="X76" s="0">
        <f>IF(B76="","",IF(ISNUMBER(G76),1,0))</f>
      </c>
      <c r="AB76" s="0">
        <f>IF(AND(ISNUMBER(W76),W76&gt;0),"ID "&amp;B76,"")</f>
      </c>
      <c r="AC76" s="0">
        <f>IF(AND(ISNUMBER(W76),W76&gt;0),C76,"")</f>
      </c>
      <c r="AD76" s="0">
        <f>IF(AND(ISNUMBER(W76),W76&gt;0),D76,"")</f>
      </c>
      <c r="AE76" s="0">
        <f>IF(AND(ISNUMBER(W76),W76&gt;0),IF(INDEX('PEGAR'!$D$13:$D$512,IF(L76&gt;0,L76,K76))="","Sin descripción",INDEX('PEGAR'!$D$13:$D$512,IF(L76&gt;0,L76,K76))),"")</f>
      </c>
      <c r="AF76" s="0">
        <f>IF(AND(ISNUMBER(W76),W76&gt;0),J76,"")</f>
      </c>
      <c r="AG76" s="0" t="n">
        <f>IF(AND(ISNUMBER(W76),W76&gt;0),W76,0)</f>
        <v>0</v>
      </c>
      <c r="AH76" s="0">
        <f>IF(AG76&gt;0,COUNTIFS($AG$13:AG76,"&gt;0"),"")</f>
      </c>
    </row>
    <row r="77" ht="22" customHeight="1">
      <c r="B77" s="27">
        <f>IF(K77="","",INDEX('PEGAR'!$O$13:$O$512,K77))</f>
      </c>
      <c r="C77" s="30">
        <f>IF(B77="","",IF(LEN(TRIM(INDEX('PEGAR'!$B$13:$B$512,IF(L77&gt;0,L77,K77))&amp;""))=0,"Sin capítulo",TRIM(INDEX('PEGAR'!$B$13:$B$512,IF(L77&gt;0,L77,K77))&amp;"")))</f>
      </c>
      <c r="D77" s="27">
        <f>IF(B77="","",IF(LEN(TRIM(INDEX('PEGAR'!$C$13:$C$512,IF(L77&gt;0,L77,K77))&amp;""))=0,"",TRIM(INDEX('PEGAR'!$C$13:$C$512,IF(L77&gt;0,L77,K77))&amp;"")))</f>
      </c>
      <c r="E77" s="27">
        <f>IF(B77="","",INDEX('PEGAR'!$S$13:$S$512,IF(L77&gt;0,L77,K77)))</f>
      </c>
      <c r="F77" s="39">
        <f>IF(B77="","",IF(L77&gt;0,INDEX('PEGAR'!$F$13:$F$512,L77),""))</f>
      </c>
      <c r="G77" s="39">
        <f>IF(B77="","",IF(OR(M77=0,N77&gt;0,O77&gt;0),"",SUMIFS('PEGAR'!$M$13:$M$512,'PEGAR'!$O$13:$O$512,B77)))</f>
      </c>
      <c r="H77" s="39">
        <f>IF(AND(ISNUMBER(F77),ISNUMBER(G77)),G77-F77,"")</f>
      </c>
      <c r="I77" s="27">
        <f>IF(B77="","",IF(W77=2,"ROJO",IF(W77=1,"ÁMBAR","VERDE")))</f>
      </c>
      <c r="J77" s="30">
        <f>IF(B77="","",IF(W77=0,"Sin avisos numéricos. Revisamos el alcance aparte.",IF(L77=0,"Faltan datos completos de partida; no elegimos un total por suposición."&amp;CHAR(10),"")&amp;IF(N77&gt;0,"Hay filas incompletas o contradictorias; las revisamos en PEGAR."&amp;CHAR(10),"")&amp;IF(O77&gt;0,"Faltan las medidas de alguna fila; no cerramos la suma."&amp;CHAR(10),"")&amp;IF(M77=0,"No constan líneas de medición."&amp;CHAR(10),"")&amp;IF(IF(ISNUMBER(H77),ROUND(ABS(H77),8)&gt;$F$6,FALSE),"Las líneas difieren del total en más de 0,01; confirmamos cantidad o exclusión."&amp;CHAR(10),"")&amp;IF(P77&gt;0,"Parece m³: encontramos tres dimensiones bajo m²."&amp;CHAR(10),"")&amp;IF(R77&gt;0,"Código repetido dentro del capítulo; mantenemos sus ID separados."&amp;CHAR(10),"")&amp;IF(S77&gt;0,"Código repetido en otro capítulo; no unimos las partidas."&amp;CHAR(10),"")&amp;IF(T77&gt;0,"Mismo código con unidades distintas; pedimos aclaración."&amp;CHAR(10),"")&amp;IF(Q77&gt;0,"Hay más precisión que los decimales indicados; cotejamos el formato original."&amp;CHAR(10),"")&amp;IF(U77&gt;0,"Unidad sin normalizar; cotejamos su significado antes de sumar unidades."&amp;CHAR(10),"")&amp;IF(V77&gt;0,"Revisamos dimensiones, cantidades directas, ceros o deducciones en PEGAR."&amp;CHAR(10),"")))</f>
      </c>
      <c r="K77" s="0">
        <f>IF(65&gt;'RESUMEN'!$E$6,"",MATCH(65,'PEGAR'!$W$13:$W$512,0))</f>
      </c>
      <c r="L77" s="0">
        <f>IF(K77="","",INDEX('PEGAR'!$R$13:$R$512,K77))</f>
      </c>
      <c r="M77" s="0">
        <f>IF(B77="","",COUNTIFS('PEGAR'!$O$13:$O$512,B77,'PEGAR'!$P$13:$P$512,"DIMENSIONES")+COUNTIFS('PEGAR'!$O$13:$O$512,B77,'PEGAR'!$P$13:$P$512,"DIRECTA"))</f>
      </c>
      <c r="N77" s="0">
        <f>IF(B77="","",COUNTIFS('PEGAR'!$O$13:$O$512,B77,'PEGAR'!$X$13:$X$512,2))</f>
      </c>
      <c r="O77" s="0">
        <f>IF(B77="","",COUNTIFS('PEGAR'!$O$13:$O$512,B77,'PEGAR'!$P$13:$P$512,"SIN LÍNEAS"))</f>
      </c>
      <c r="P77" s="0">
        <f>IF(B77="","",SUMIFS('PEGAR'!$Y$13:$Y$512,'PEGAR'!$O$13:$O$512,B77))</f>
      </c>
      <c r="Q77" s="0">
        <f>IF(B77="","",SUMIFS('PEGAR'!$Z$13:$Z$512,'PEGAR'!$O$13:$O$512,B77))</f>
      </c>
      <c r="R77" s="0" t="n">
        <f>IF(OR(B77="",D77=""),0,SUMPRODUCT(--($B$13:$B$512&lt;&gt;""),--($D$13:$D$512=D77),--($C$13:$C$512=C77))-1)</f>
        <v>0</v>
      </c>
      <c r="S77" s="0" t="n">
        <f>IF(OR(B77="",D77=""),0,SUMPRODUCT(--($B$13:$B$512&lt;&gt;""),--($D$13:$D$512=D77),--($C$13:$C$512&lt;&gt;C77)))</f>
        <v>0</v>
      </c>
      <c r="T77" s="0" t="n">
        <f>IF(OR(B77="",D77=""),0,SUMPRODUCT(--($B$13:$B$512&lt;&gt;""),--($D$13:$D$512=D77),--($E$13:$E$512&lt;&gt;E77)))</f>
        <v>0</v>
      </c>
      <c r="U77" s="0" t="n">
        <f>IF(B77="",0,IF(SUMPRODUCT(--('LÉEME'!$C$65:$C$86=E77))=0,1,0))</f>
        <v>0</v>
      </c>
      <c r="V77" s="0">
        <f>IF(B77="","",SUMIFS('PEGAR'!$AA$13:$AA$512,'PEGAR'!$O$13:$O$512,B77))</f>
      </c>
      <c r="W77" s="0">
        <f>IF(B77="","",IF(OR(L77=0,N77&gt;0,T77&gt;0,IF(ISNUMBER(H77),ROUND(ABS(H77),8)&gt;$F$6,FALSE)),2,IF(OR(M77=0,O77&gt;0,P77&gt;0,Q77&gt;0,R77&gt;0,S77&gt;0,U77&gt;0,V77&gt;0),1,0)))</f>
      </c>
      <c r="X77" s="0">
        <f>IF(B77="","",IF(ISNUMBER(G77),1,0))</f>
      </c>
      <c r="AB77" s="0">
        <f>IF(AND(ISNUMBER(W77),W77&gt;0),"ID "&amp;B77,"")</f>
      </c>
      <c r="AC77" s="0">
        <f>IF(AND(ISNUMBER(W77),W77&gt;0),C77,"")</f>
      </c>
      <c r="AD77" s="0">
        <f>IF(AND(ISNUMBER(W77),W77&gt;0),D77,"")</f>
      </c>
      <c r="AE77" s="0">
        <f>IF(AND(ISNUMBER(W77),W77&gt;0),IF(INDEX('PEGAR'!$D$13:$D$512,IF(L77&gt;0,L77,K77))="","Sin descripción",INDEX('PEGAR'!$D$13:$D$512,IF(L77&gt;0,L77,K77))),"")</f>
      </c>
      <c r="AF77" s="0">
        <f>IF(AND(ISNUMBER(W77),W77&gt;0),J77,"")</f>
      </c>
      <c r="AG77" s="0" t="n">
        <f>IF(AND(ISNUMBER(W77),W77&gt;0),W77,0)</f>
        <v>0</v>
      </c>
      <c r="AH77" s="0">
        <f>IF(AG77&gt;0,COUNTIFS($AG$13:AG77,"&gt;0"),"")</f>
      </c>
    </row>
    <row r="78" ht="22" customHeight="1">
      <c r="B78" s="27">
        <f>IF(K78="","",INDEX('PEGAR'!$O$13:$O$512,K78))</f>
      </c>
      <c r="C78" s="30">
        <f>IF(B78="","",IF(LEN(TRIM(INDEX('PEGAR'!$B$13:$B$512,IF(L78&gt;0,L78,K78))&amp;""))=0,"Sin capítulo",TRIM(INDEX('PEGAR'!$B$13:$B$512,IF(L78&gt;0,L78,K78))&amp;"")))</f>
      </c>
      <c r="D78" s="27">
        <f>IF(B78="","",IF(LEN(TRIM(INDEX('PEGAR'!$C$13:$C$512,IF(L78&gt;0,L78,K78))&amp;""))=0,"",TRIM(INDEX('PEGAR'!$C$13:$C$512,IF(L78&gt;0,L78,K78))&amp;"")))</f>
      </c>
      <c r="E78" s="27">
        <f>IF(B78="","",INDEX('PEGAR'!$S$13:$S$512,IF(L78&gt;0,L78,K78)))</f>
      </c>
      <c r="F78" s="39">
        <f>IF(B78="","",IF(L78&gt;0,INDEX('PEGAR'!$F$13:$F$512,L78),""))</f>
      </c>
      <c r="G78" s="39">
        <f>IF(B78="","",IF(OR(M78=0,N78&gt;0,O78&gt;0),"",SUMIFS('PEGAR'!$M$13:$M$512,'PEGAR'!$O$13:$O$512,B78)))</f>
      </c>
      <c r="H78" s="39">
        <f>IF(AND(ISNUMBER(F78),ISNUMBER(G78)),G78-F78,"")</f>
      </c>
      <c r="I78" s="27">
        <f>IF(B78="","",IF(W78=2,"ROJO",IF(W78=1,"ÁMBAR","VERDE")))</f>
      </c>
      <c r="J78" s="30">
        <f>IF(B78="","",IF(W78=0,"Sin avisos numéricos. Revisamos el alcance aparte.",IF(L78=0,"Faltan datos completos de partida; no elegimos un total por suposición."&amp;CHAR(10),"")&amp;IF(N78&gt;0,"Hay filas incompletas o contradictorias; las revisamos en PEGAR."&amp;CHAR(10),"")&amp;IF(O78&gt;0,"Faltan las medidas de alguna fila; no cerramos la suma."&amp;CHAR(10),"")&amp;IF(M78=0,"No constan líneas de medición."&amp;CHAR(10),"")&amp;IF(IF(ISNUMBER(H78),ROUND(ABS(H78),8)&gt;$F$6,FALSE),"Las líneas difieren del total en más de 0,01; confirmamos cantidad o exclusión."&amp;CHAR(10),"")&amp;IF(P78&gt;0,"Parece m³: encontramos tres dimensiones bajo m²."&amp;CHAR(10),"")&amp;IF(R78&gt;0,"Código repetido dentro del capítulo; mantenemos sus ID separados."&amp;CHAR(10),"")&amp;IF(S78&gt;0,"Código repetido en otro capítulo; no unimos las partidas."&amp;CHAR(10),"")&amp;IF(T78&gt;0,"Mismo código con unidades distintas; pedimos aclaración."&amp;CHAR(10),"")&amp;IF(Q78&gt;0,"Hay más precisión que los decimales indicados; cotejamos el formato original."&amp;CHAR(10),"")&amp;IF(U78&gt;0,"Unidad sin normalizar; cotejamos su significado antes de sumar unidades."&amp;CHAR(10),"")&amp;IF(V78&gt;0,"Revisamos dimensiones, cantidades directas, ceros o deducciones en PEGAR."&amp;CHAR(10),"")))</f>
      </c>
      <c r="K78" s="0">
        <f>IF(66&gt;'RESUMEN'!$E$6,"",MATCH(66,'PEGAR'!$W$13:$W$512,0))</f>
      </c>
      <c r="L78" s="0">
        <f>IF(K78="","",INDEX('PEGAR'!$R$13:$R$512,K78))</f>
      </c>
      <c r="M78" s="0">
        <f>IF(B78="","",COUNTIFS('PEGAR'!$O$13:$O$512,B78,'PEGAR'!$P$13:$P$512,"DIMENSIONES")+COUNTIFS('PEGAR'!$O$13:$O$512,B78,'PEGAR'!$P$13:$P$512,"DIRECTA"))</f>
      </c>
      <c r="N78" s="0">
        <f>IF(B78="","",COUNTIFS('PEGAR'!$O$13:$O$512,B78,'PEGAR'!$X$13:$X$512,2))</f>
      </c>
      <c r="O78" s="0">
        <f>IF(B78="","",COUNTIFS('PEGAR'!$O$13:$O$512,B78,'PEGAR'!$P$13:$P$512,"SIN LÍNEAS"))</f>
      </c>
      <c r="P78" s="0">
        <f>IF(B78="","",SUMIFS('PEGAR'!$Y$13:$Y$512,'PEGAR'!$O$13:$O$512,B78))</f>
      </c>
      <c r="Q78" s="0">
        <f>IF(B78="","",SUMIFS('PEGAR'!$Z$13:$Z$512,'PEGAR'!$O$13:$O$512,B78))</f>
      </c>
      <c r="R78" s="0" t="n">
        <f>IF(OR(B78="",D78=""),0,SUMPRODUCT(--($B$13:$B$512&lt;&gt;""),--($D$13:$D$512=D78),--($C$13:$C$512=C78))-1)</f>
        <v>0</v>
      </c>
      <c r="S78" s="0" t="n">
        <f>IF(OR(B78="",D78=""),0,SUMPRODUCT(--($B$13:$B$512&lt;&gt;""),--($D$13:$D$512=D78),--($C$13:$C$512&lt;&gt;C78)))</f>
        <v>0</v>
      </c>
      <c r="T78" s="0" t="n">
        <f>IF(OR(B78="",D78=""),0,SUMPRODUCT(--($B$13:$B$512&lt;&gt;""),--($D$13:$D$512=D78),--($E$13:$E$512&lt;&gt;E78)))</f>
        <v>0</v>
      </c>
      <c r="U78" s="0" t="n">
        <f>IF(B78="",0,IF(SUMPRODUCT(--('LÉEME'!$C$65:$C$86=E78))=0,1,0))</f>
        <v>0</v>
      </c>
      <c r="V78" s="0">
        <f>IF(B78="","",SUMIFS('PEGAR'!$AA$13:$AA$512,'PEGAR'!$O$13:$O$512,B78))</f>
      </c>
      <c r="W78" s="0">
        <f>IF(B78="","",IF(OR(L78=0,N78&gt;0,T78&gt;0,IF(ISNUMBER(H78),ROUND(ABS(H78),8)&gt;$F$6,FALSE)),2,IF(OR(M78=0,O78&gt;0,P78&gt;0,Q78&gt;0,R78&gt;0,S78&gt;0,U78&gt;0,V78&gt;0),1,0)))</f>
      </c>
      <c r="X78" s="0">
        <f>IF(B78="","",IF(ISNUMBER(G78),1,0))</f>
      </c>
      <c r="AB78" s="0">
        <f>IF(AND(ISNUMBER(W78),W78&gt;0),"ID "&amp;B78,"")</f>
      </c>
      <c r="AC78" s="0">
        <f>IF(AND(ISNUMBER(W78),W78&gt;0),C78,"")</f>
      </c>
      <c r="AD78" s="0">
        <f>IF(AND(ISNUMBER(W78),W78&gt;0),D78,"")</f>
      </c>
      <c r="AE78" s="0">
        <f>IF(AND(ISNUMBER(W78),W78&gt;0),IF(INDEX('PEGAR'!$D$13:$D$512,IF(L78&gt;0,L78,K78))="","Sin descripción",INDEX('PEGAR'!$D$13:$D$512,IF(L78&gt;0,L78,K78))),"")</f>
      </c>
      <c r="AF78" s="0">
        <f>IF(AND(ISNUMBER(W78),W78&gt;0),J78,"")</f>
      </c>
      <c r="AG78" s="0" t="n">
        <f>IF(AND(ISNUMBER(W78),W78&gt;0),W78,0)</f>
        <v>0</v>
      </c>
      <c r="AH78" s="0">
        <f>IF(AG78&gt;0,COUNTIFS($AG$13:AG78,"&gt;0"),"")</f>
      </c>
    </row>
    <row r="79" ht="22" customHeight="1">
      <c r="B79" s="27">
        <f>IF(K79="","",INDEX('PEGAR'!$O$13:$O$512,K79))</f>
      </c>
      <c r="C79" s="30">
        <f>IF(B79="","",IF(LEN(TRIM(INDEX('PEGAR'!$B$13:$B$512,IF(L79&gt;0,L79,K79))&amp;""))=0,"Sin capítulo",TRIM(INDEX('PEGAR'!$B$13:$B$512,IF(L79&gt;0,L79,K79))&amp;"")))</f>
      </c>
      <c r="D79" s="27">
        <f>IF(B79="","",IF(LEN(TRIM(INDEX('PEGAR'!$C$13:$C$512,IF(L79&gt;0,L79,K79))&amp;""))=0,"",TRIM(INDEX('PEGAR'!$C$13:$C$512,IF(L79&gt;0,L79,K79))&amp;"")))</f>
      </c>
      <c r="E79" s="27">
        <f>IF(B79="","",INDEX('PEGAR'!$S$13:$S$512,IF(L79&gt;0,L79,K79)))</f>
      </c>
      <c r="F79" s="39">
        <f>IF(B79="","",IF(L79&gt;0,INDEX('PEGAR'!$F$13:$F$512,L79),""))</f>
      </c>
      <c r="G79" s="39">
        <f>IF(B79="","",IF(OR(M79=0,N79&gt;0,O79&gt;0),"",SUMIFS('PEGAR'!$M$13:$M$512,'PEGAR'!$O$13:$O$512,B79)))</f>
      </c>
      <c r="H79" s="39">
        <f>IF(AND(ISNUMBER(F79),ISNUMBER(G79)),G79-F79,"")</f>
      </c>
      <c r="I79" s="27">
        <f>IF(B79="","",IF(W79=2,"ROJO",IF(W79=1,"ÁMBAR","VERDE")))</f>
      </c>
      <c r="J79" s="30">
        <f>IF(B79="","",IF(W79=0,"Sin avisos numéricos. Revisamos el alcance aparte.",IF(L79=0,"Faltan datos completos de partida; no elegimos un total por suposición."&amp;CHAR(10),"")&amp;IF(N79&gt;0,"Hay filas incompletas o contradictorias; las revisamos en PEGAR."&amp;CHAR(10),"")&amp;IF(O79&gt;0,"Faltan las medidas de alguna fila; no cerramos la suma."&amp;CHAR(10),"")&amp;IF(M79=0,"No constan líneas de medición."&amp;CHAR(10),"")&amp;IF(IF(ISNUMBER(H79),ROUND(ABS(H79),8)&gt;$F$6,FALSE),"Las líneas difieren del total en más de 0,01; confirmamos cantidad o exclusión."&amp;CHAR(10),"")&amp;IF(P79&gt;0,"Parece m³: encontramos tres dimensiones bajo m²."&amp;CHAR(10),"")&amp;IF(R79&gt;0,"Código repetido dentro del capítulo; mantenemos sus ID separados."&amp;CHAR(10),"")&amp;IF(S79&gt;0,"Código repetido en otro capítulo; no unimos las partidas."&amp;CHAR(10),"")&amp;IF(T79&gt;0,"Mismo código con unidades distintas; pedimos aclaración."&amp;CHAR(10),"")&amp;IF(Q79&gt;0,"Hay más precisión que los decimales indicados; cotejamos el formato original."&amp;CHAR(10),"")&amp;IF(U79&gt;0,"Unidad sin normalizar; cotejamos su significado antes de sumar unidades."&amp;CHAR(10),"")&amp;IF(V79&gt;0,"Revisamos dimensiones, cantidades directas, ceros o deducciones en PEGAR."&amp;CHAR(10),"")))</f>
      </c>
      <c r="K79" s="0">
        <f>IF(67&gt;'RESUMEN'!$E$6,"",MATCH(67,'PEGAR'!$W$13:$W$512,0))</f>
      </c>
      <c r="L79" s="0">
        <f>IF(K79="","",INDEX('PEGAR'!$R$13:$R$512,K79))</f>
      </c>
      <c r="M79" s="0">
        <f>IF(B79="","",COUNTIFS('PEGAR'!$O$13:$O$512,B79,'PEGAR'!$P$13:$P$512,"DIMENSIONES")+COUNTIFS('PEGAR'!$O$13:$O$512,B79,'PEGAR'!$P$13:$P$512,"DIRECTA"))</f>
      </c>
      <c r="N79" s="0">
        <f>IF(B79="","",COUNTIFS('PEGAR'!$O$13:$O$512,B79,'PEGAR'!$X$13:$X$512,2))</f>
      </c>
      <c r="O79" s="0">
        <f>IF(B79="","",COUNTIFS('PEGAR'!$O$13:$O$512,B79,'PEGAR'!$P$13:$P$512,"SIN LÍNEAS"))</f>
      </c>
      <c r="P79" s="0">
        <f>IF(B79="","",SUMIFS('PEGAR'!$Y$13:$Y$512,'PEGAR'!$O$13:$O$512,B79))</f>
      </c>
      <c r="Q79" s="0">
        <f>IF(B79="","",SUMIFS('PEGAR'!$Z$13:$Z$512,'PEGAR'!$O$13:$O$512,B79))</f>
      </c>
      <c r="R79" s="0" t="n">
        <f>IF(OR(B79="",D79=""),0,SUMPRODUCT(--($B$13:$B$512&lt;&gt;""),--($D$13:$D$512=D79),--($C$13:$C$512=C79))-1)</f>
        <v>0</v>
      </c>
      <c r="S79" s="0" t="n">
        <f>IF(OR(B79="",D79=""),0,SUMPRODUCT(--($B$13:$B$512&lt;&gt;""),--($D$13:$D$512=D79),--($C$13:$C$512&lt;&gt;C79)))</f>
        <v>0</v>
      </c>
      <c r="T79" s="0" t="n">
        <f>IF(OR(B79="",D79=""),0,SUMPRODUCT(--($B$13:$B$512&lt;&gt;""),--($D$13:$D$512=D79),--($E$13:$E$512&lt;&gt;E79)))</f>
        <v>0</v>
      </c>
      <c r="U79" s="0" t="n">
        <f>IF(B79="",0,IF(SUMPRODUCT(--('LÉEME'!$C$65:$C$86=E79))=0,1,0))</f>
        <v>0</v>
      </c>
      <c r="V79" s="0">
        <f>IF(B79="","",SUMIFS('PEGAR'!$AA$13:$AA$512,'PEGAR'!$O$13:$O$512,B79))</f>
      </c>
      <c r="W79" s="0">
        <f>IF(B79="","",IF(OR(L79=0,N79&gt;0,T79&gt;0,IF(ISNUMBER(H79),ROUND(ABS(H79),8)&gt;$F$6,FALSE)),2,IF(OR(M79=0,O79&gt;0,P79&gt;0,Q79&gt;0,R79&gt;0,S79&gt;0,U79&gt;0,V79&gt;0),1,0)))</f>
      </c>
      <c r="X79" s="0">
        <f>IF(B79="","",IF(ISNUMBER(G79),1,0))</f>
      </c>
      <c r="AB79" s="0">
        <f>IF(AND(ISNUMBER(W79),W79&gt;0),"ID "&amp;B79,"")</f>
      </c>
      <c r="AC79" s="0">
        <f>IF(AND(ISNUMBER(W79),W79&gt;0),C79,"")</f>
      </c>
      <c r="AD79" s="0">
        <f>IF(AND(ISNUMBER(W79),W79&gt;0),D79,"")</f>
      </c>
      <c r="AE79" s="0">
        <f>IF(AND(ISNUMBER(W79),W79&gt;0),IF(INDEX('PEGAR'!$D$13:$D$512,IF(L79&gt;0,L79,K79))="","Sin descripción",INDEX('PEGAR'!$D$13:$D$512,IF(L79&gt;0,L79,K79))),"")</f>
      </c>
      <c r="AF79" s="0">
        <f>IF(AND(ISNUMBER(W79),W79&gt;0),J79,"")</f>
      </c>
      <c r="AG79" s="0" t="n">
        <f>IF(AND(ISNUMBER(W79),W79&gt;0),W79,0)</f>
        <v>0</v>
      </c>
      <c r="AH79" s="0">
        <f>IF(AG79&gt;0,COUNTIFS($AG$13:AG79,"&gt;0"),"")</f>
      </c>
    </row>
    <row r="80" ht="22" customHeight="1">
      <c r="B80" s="27">
        <f>IF(K80="","",INDEX('PEGAR'!$O$13:$O$512,K80))</f>
      </c>
      <c r="C80" s="30">
        <f>IF(B80="","",IF(LEN(TRIM(INDEX('PEGAR'!$B$13:$B$512,IF(L80&gt;0,L80,K80))&amp;""))=0,"Sin capítulo",TRIM(INDEX('PEGAR'!$B$13:$B$512,IF(L80&gt;0,L80,K80))&amp;"")))</f>
      </c>
      <c r="D80" s="27">
        <f>IF(B80="","",IF(LEN(TRIM(INDEX('PEGAR'!$C$13:$C$512,IF(L80&gt;0,L80,K80))&amp;""))=0,"",TRIM(INDEX('PEGAR'!$C$13:$C$512,IF(L80&gt;0,L80,K80))&amp;"")))</f>
      </c>
      <c r="E80" s="27">
        <f>IF(B80="","",INDEX('PEGAR'!$S$13:$S$512,IF(L80&gt;0,L80,K80)))</f>
      </c>
      <c r="F80" s="39">
        <f>IF(B80="","",IF(L80&gt;0,INDEX('PEGAR'!$F$13:$F$512,L80),""))</f>
      </c>
      <c r="G80" s="39">
        <f>IF(B80="","",IF(OR(M80=0,N80&gt;0,O80&gt;0),"",SUMIFS('PEGAR'!$M$13:$M$512,'PEGAR'!$O$13:$O$512,B80)))</f>
      </c>
      <c r="H80" s="39">
        <f>IF(AND(ISNUMBER(F80),ISNUMBER(G80)),G80-F80,"")</f>
      </c>
      <c r="I80" s="27">
        <f>IF(B80="","",IF(W80=2,"ROJO",IF(W80=1,"ÁMBAR","VERDE")))</f>
      </c>
      <c r="J80" s="30">
        <f>IF(B80="","",IF(W80=0,"Sin avisos numéricos. Revisamos el alcance aparte.",IF(L80=0,"Faltan datos completos de partida; no elegimos un total por suposición."&amp;CHAR(10),"")&amp;IF(N80&gt;0,"Hay filas incompletas o contradictorias; las revisamos en PEGAR."&amp;CHAR(10),"")&amp;IF(O80&gt;0,"Faltan las medidas de alguna fila; no cerramos la suma."&amp;CHAR(10),"")&amp;IF(M80=0,"No constan líneas de medición."&amp;CHAR(10),"")&amp;IF(IF(ISNUMBER(H80),ROUND(ABS(H80),8)&gt;$F$6,FALSE),"Las líneas difieren del total en más de 0,01; confirmamos cantidad o exclusión."&amp;CHAR(10),"")&amp;IF(P80&gt;0,"Parece m³: encontramos tres dimensiones bajo m²."&amp;CHAR(10),"")&amp;IF(R80&gt;0,"Código repetido dentro del capítulo; mantenemos sus ID separados."&amp;CHAR(10),"")&amp;IF(S80&gt;0,"Código repetido en otro capítulo; no unimos las partidas."&amp;CHAR(10),"")&amp;IF(T80&gt;0,"Mismo código con unidades distintas; pedimos aclaración."&amp;CHAR(10),"")&amp;IF(Q80&gt;0,"Hay más precisión que los decimales indicados; cotejamos el formato original."&amp;CHAR(10),"")&amp;IF(U80&gt;0,"Unidad sin normalizar; cotejamos su significado antes de sumar unidades."&amp;CHAR(10),"")&amp;IF(V80&gt;0,"Revisamos dimensiones, cantidades directas, ceros o deducciones en PEGAR."&amp;CHAR(10),"")))</f>
      </c>
      <c r="K80" s="0">
        <f>IF(68&gt;'RESUMEN'!$E$6,"",MATCH(68,'PEGAR'!$W$13:$W$512,0))</f>
      </c>
      <c r="L80" s="0">
        <f>IF(K80="","",INDEX('PEGAR'!$R$13:$R$512,K80))</f>
      </c>
      <c r="M80" s="0">
        <f>IF(B80="","",COUNTIFS('PEGAR'!$O$13:$O$512,B80,'PEGAR'!$P$13:$P$512,"DIMENSIONES")+COUNTIFS('PEGAR'!$O$13:$O$512,B80,'PEGAR'!$P$13:$P$512,"DIRECTA"))</f>
      </c>
      <c r="N80" s="0">
        <f>IF(B80="","",COUNTIFS('PEGAR'!$O$13:$O$512,B80,'PEGAR'!$X$13:$X$512,2))</f>
      </c>
      <c r="O80" s="0">
        <f>IF(B80="","",COUNTIFS('PEGAR'!$O$13:$O$512,B80,'PEGAR'!$P$13:$P$512,"SIN LÍNEAS"))</f>
      </c>
      <c r="P80" s="0">
        <f>IF(B80="","",SUMIFS('PEGAR'!$Y$13:$Y$512,'PEGAR'!$O$13:$O$512,B80))</f>
      </c>
      <c r="Q80" s="0">
        <f>IF(B80="","",SUMIFS('PEGAR'!$Z$13:$Z$512,'PEGAR'!$O$13:$O$512,B80))</f>
      </c>
      <c r="R80" s="0" t="n">
        <f>IF(OR(B80="",D80=""),0,SUMPRODUCT(--($B$13:$B$512&lt;&gt;""),--($D$13:$D$512=D80),--($C$13:$C$512=C80))-1)</f>
        <v>0</v>
      </c>
      <c r="S80" s="0" t="n">
        <f>IF(OR(B80="",D80=""),0,SUMPRODUCT(--($B$13:$B$512&lt;&gt;""),--($D$13:$D$512=D80),--($C$13:$C$512&lt;&gt;C80)))</f>
        <v>0</v>
      </c>
      <c r="T80" s="0" t="n">
        <f>IF(OR(B80="",D80=""),0,SUMPRODUCT(--($B$13:$B$512&lt;&gt;""),--($D$13:$D$512=D80),--($E$13:$E$512&lt;&gt;E80)))</f>
        <v>0</v>
      </c>
      <c r="U80" s="0" t="n">
        <f>IF(B80="",0,IF(SUMPRODUCT(--('LÉEME'!$C$65:$C$86=E80))=0,1,0))</f>
        <v>0</v>
      </c>
      <c r="V80" s="0">
        <f>IF(B80="","",SUMIFS('PEGAR'!$AA$13:$AA$512,'PEGAR'!$O$13:$O$512,B80))</f>
      </c>
      <c r="W80" s="0">
        <f>IF(B80="","",IF(OR(L80=0,N80&gt;0,T80&gt;0,IF(ISNUMBER(H80),ROUND(ABS(H80),8)&gt;$F$6,FALSE)),2,IF(OR(M80=0,O80&gt;0,P80&gt;0,Q80&gt;0,R80&gt;0,S80&gt;0,U80&gt;0,V80&gt;0),1,0)))</f>
      </c>
      <c r="X80" s="0">
        <f>IF(B80="","",IF(ISNUMBER(G80),1,0))</f>
      </c>
      <c r="AB80" s="0">
        <f>IF(AND(ISNUMBER(W80),W80&gt;0),"ID "&amp;B80,"")</f>
      </c>
      <c r="AC80" s="0">
        <f>IF(AND(ISNUMBER(W80),W80&gt;0),C80,"")</f>
      </c>
      <c r="AD80" s="0">
        <f>IF(AND(ISNUMBER(W80),W80&gt;0),D80,"")</f>
      </c>
      <c r="AE80" s="0">
        <f>IF(AND(ISNUMBER(W80),W80&gt;0),IF(INDEX('PEGAR'!$D$13:$D$512,IF(L80&gt;0,L80,K80))="","Sin descripción",INDEX('PEGAR'!$D$13:$D$512,IF(L80&gt;0,L80,K80))),"")</f>
      </c>
      <c r="AF80" s="0">
        <f>IF(AND(ISNUMBER(W80),W80&gt;0),J80,"")</f>
      </c>
      <c r="AG80" s="0" t="n">
        <f>IF(AND(ISNUMBER(W80),W80&gt;0),W80,0)</f>
        <v>0</v>
      </c>
      <c r="AH80" s="0">
        <f>IF(AG80&gt;0,COUNTIFS($AG$13:AG80,"&gt;0"),"")</f>
      </c>
    </row>
    <row r="81" ht="22" customHeight="1">
      <c r="B81" s="27">
        <f>IF(K81="","",INDEX('PEGAR'!$O$13:$O$512,K81))</f>
      </c>
      <c r="C81" s="30">
        <f>IF(B81="","",IF(LEN(TRIM(INDEX('PEGAR'!$B$13:$B$512,IF(L81&gt;0,L81,K81))&amp;""))=0,"Sin capítulo",TRIM(INDEX('PEGAR'!$B$13:$B$512,IF(L81&gt;0,L81,K81))&amp;"")))</f>
      </c>
      <c r="D81" s="27">
        <f>IF(B81="","",IF(LEN(TRIM(INDEX('PEGAR'!$C$13:$C$512,IF(L81&gt;0,L81,K81))&amp;""))=0,"",TRIM(INDEX('PEGAR'!$C$13:$C$512,IF(L81&gt;0,L81,K81))&amp;"")))</f>
      </c>
      <c r="E81" s="27">
        <f>IF(B81="","",INDEX('PEGAR'!$S$13:$S$512,IF(L81&gt;0,L81,K81)))</f>
      </c>
      <c r="F81" s="39">
        <f>IF(B81="","",IF(L81&gt;0,INDEX('PEGAR'!$F$13:$F$512,L81),""))</f>
      </c>
      <c r="G81" s="39">
        <f>IF(B81="","",IF(OR(M81=0,N81&gt;0,O81&gt;0),"",SUMIFS('PEGAR'!$M$13:$M$512,'PEGAR'!$O$13:$O$512,B81)))</f>
      </c>
      <c r="H81" s="39">
        <f>IF(AND(ISNUMBER(F81),ISNUMBER(G81)),G81-F81,"")</f>
      </c>
      <c r="I81" s="27">
        <f>IF(B81="","",IF(W81=2,"ROJO",IF(W81=1,"ÁMBAR","VERDE")))</f>
      </c>
      <c r="J81" s="30">
        <f>IF(B81="","",IF(W81=0,"Sin avisos numéricos. Revisamos el alcance aparte.",IF(L81=0,"Faltan datos completos de partida; no elegimos un total por suposición."&amp;CHAR(10),"")&amp;IF(N81&gt;0,"Hay filas incompletas o contradictorias; las revisamos en PEGAR."&amp;CHAR(10),"")&amp;IF(O81&gt;0,"Faltan las medidas de alguna fila; no cerramos la suma."&amp;CHAR(10),"")&amp;IF(M81=0,"No constan líneas de medición."&amp;CHAR(10),"")&amp;IF(IF(ISNUMBER(H81),ROUND(ABS(H81),8)&gt;$F$6,FALSE),"Las líneas difieren del total en más de 0,01; confirmamos cantidad o exclusión."&amp;CHAR(10),"")&amp;IF(P81&gt;0,"Parece m³: encontramos tres dimensiones bajo m²."&amp;CHAR(10),"")&amp;IF(R81&gt;0,"Código repetido dentro del capítulo; mantenemos sus ID separados."&amp;CHAR(10),"")&amp;IF(S81&gt;0,"Código repetido en otro capítulo; no unimos las partidas."&amp;CHAR(10),"")&amp;IF(T81&gt;0,"Mismo código con unidades distintas; pedimos aclaración."&amp;CHAR(10),"")&amp;IF(Q81&gt;0,"Hay más precisión que los decimales indicados; cotejamos el formato original."&amp;CHAR(10),"")&amp;IF(U81&gt;0,"Unidad sin normalizar; cotejamos su significado antes de sumar unidades."&amp;CHAR(10),"")&amp;IF(V81&gt;0,"Revisamos dimensiones, cantidades directas, ceros o deducciones en PEGAR."&amp;CHAR(10),"")))</f>
      </c>
      <c r="K81" s="0">
        <f>IF(69&gt;'RESUMEN'!$E$6,"",MATCH(69,'PEGAR'!$W$13:$W$512,0))</f>
      </c>
      <c r="L81" s="0">
        <f>IF(K81="","",INDEX('PEGAR'!$R$13:$R$512,K81))</f>
      </c>
      <c r="M81" s="0">
        <f>IF(B81="","",COUNTIFS('PEGAR'!$O$13:$O$512,B81,'PEGAR'!$P$13:$P$512,"DIMENSIONES")+COUNTIFS('PEGAR'!$O$13:$O$512,B81,'PEGAR'!$P$13:$P$512,"DIRECTA"))</f>
      </c>
      <c r="N81" s="0">
        <f>IF(B81="","",COUNTIFS('PEGAR'!$O$13:$O$512,B81,'PEGAR'!$X$13:$X$512,2))</f>
      </c>
      <c r="O81" s="0">
        <f>IF(B81="","",COUNTIFS('PEGAR'!$O$13:$O$512,B81,'PEGAR'!$P$13:$P$512,"SIN LÍNEAS"))</f>
      </c>
      <c r="P81" s="0">
        <f>IF(B81="","",SUMIFS('PEGAR'!$Y$13:$Y$512,'PEGAR'!$O$13:$O$512,B81))</f>
      </c>
      <c r="Q81" s="0">
        <f>IF(B81="","",SUMIFS('PEGAR'!$Z$13:$Z$512,'PEGAR'!$O$13:$O$512,B81))</f>
      </c>
      <c r="R81" s="0" t="n">
        <f>IF(OR(B81="",D81=""),0,SUMPRODUCT(--($B$13:$B$512&lt;&gt;""),--($D$13:$D$512=D81),--($C$13:$C$512=C81))-1)</f>
        <v>0</v>
      </c>
      <c r="S81" s="0" t="n">
        <f>IF(OR(B81="",D81=""),0,SUMPRODUCT(--($B$13:$B$512&lt;&gt;""),--($D$13:$D$512=D81),--($C$13:$C$512&lt;&gt;C81)))</f>
        <v>0</v>
      </c>
      <c r="T81" s="0" t="n">
        <f>IF(OR(B81="",D81=""),0,SUMPRODUCT(--($B$13:$B$512&lt;&gt;""),--($D$13:$D$512=D81),--($E$13:$E$512&lt;&gt;E81)))</f>
        <v>0</v>
      </c>
      <c r="U81" s="0" t="n">
        <f>IF(B81="",0,IF(SUMPRODUCT(--('LÉEME'!$C$65:$C$86=E81))=0,1,0))</f>
        <v>0</v>
      </c>
      <c r="V81" s="0">
        <f>IF(B81="","",SUMIFS('PEGAR'!$AA$13:$AA$512,'PEGAR'!$O$13:$O$512,B81))</f>
      </c>
      <c r="W81" s="0">
        <f>IF(B81="","",IF(OR(L81=0,N81&gt;0,T81&gt;0,IF(ISNUMBER(H81),ROUND(ABS(H81),8)&gt;$F$6,FALSE)),2,IF(OR(M81=0,O81&gt;0,P81&gt;0,Q81&gt;0,R81&gt;0,S81&gt;0,U81&gt;0,V81&gt;0),1,0)))</f>
      </c>
      <c r="X81" s="0">
        <f>IF(B81="","",IF(ISNUMBER(G81),1,0))</f>
      </c>
      <c r="AB81" s="0">
        <f>IF(AND(ISNUMBER(W81),W81&gt;0),"ID "&amp;B81,"")</f>
      </c>
      <c r="AC81" s="0">
        <f>IF(AND(ISNUMBER(W81),W81&gt;0),C81,"")</f>
      </c>
      <c r="AD81" s="0">
        <f>IF(AND(ISNUMBER(W81),W81&gt;0),D81,"")</f>
      </c>
      <c r="AE81" s="0">
        <f>IF(AND(ISNUMBER(W81),W81&gt;0),IF(INDEX('PEGAR'!$D$13:$D$512,IF(L81&gt;0,L81,K81))="","Sin descripción",INDEX('PEGAR'!$D$13:$D$512,IF(L81&gt;0,L81,K81))),"")</f>
      </c>
      <c r="AF81" s="0">
        <f>IF(AND(ISNUMBER(W81),W81&gt;0),J81,"")</f>
      </c>
      <c r="AG81" s="0" t="n">
        <f>IF(AND(ISNUMBER(W81),W81&gt;0),W81,0)</f>
        <v>0</v>
      </c>
      <c r="AH81" s="0">
        <f>IF(AG81&gt;0,COUNTIFS($AG$13:AG81,"&gt;0"),"")</f>
      </c>
    </row>
    <row r="82" ht="22" customHeight="1">
      <c r="B82" s="27">
        <f>IF(K82="","",INDEX('PEGAR'!$O$13:$O$512,K82))</f>
      </c>
      <c r="C82" s="30">
        <f>IF(B82="","",IF(LEN(TRIM(INDEX('PEGAR'!$B$13:$B$512,IF(L82&gt;0,L82,K82))&amp;""))=0,"Sin capítulo",TRIM(INDEX('PEGAR'!$B$13:$B$512,IF(L82&gt;0,L82,K82))&amp;"")))</f>
      </c>
      <c r="D82" s="27">
        <f>IF(B82="","",IF(LEN(TRIM(INDEX('PEGAR'!$C$13:$C$512,IF(L82&gt;0,L82,K82))&amp;""))=0,"",TRIM(INDEX('PEGAR'!$C$13:$C$512,IF(L82&gt;0,L82,K82))&amp;"")))</f>
      </c>
      <c r="E82" s="27">
        <f>IF(B82="","",INDEX('PEGAR'!$S$13:$S$512,IF(L82&gt;0,L82,K82)))</f>
      </c>
      <c r="F82" s="39">
        <f>IF(B82="","",IF(L82&gt;0,INDEX('PEGAR'!$F$13:$F$512,L82),""))</f>
      </c>
      <c r="G82" s="39">
        <f>IF(B82="","",IF(OR(M82=0,N82&gt;0,O82&gt;0),"",SUMIFS('PEGAR'!$M$13:$M$512,'PEGAR'!$O$13:$O$512,B82)))</f>
      </c>
      <c r="H82" s="39">
        <f>IF(AND(ISNUMBER(F82),ISNUMBER(G82)),G82-F82,"")</f>
      </c>
      <c r="I82" s="27">
        <f>IF(B82="","",IF(W82=2,"ROJO",IF(W82=1,"ÁMBAR","VERDE")))</f>
      </c>
      <c r="J82" s="30">
        <f>IF(B82="","",IF(W82=0,"Sin avisos numéricos. Revisamos el alcance aparte.",IF(L82=0,"Faltan datos completos de partida; no elegimos un total por suposición."&amp;CHAR(10),"")&amp;IF(N82&gt;0,"Hay filas incompletas o contradictorias; las revisamos en PEGAR."&amp;CHAR(10),"")&amp;IF(O82&gt;0,"Faltan las medidas de alguna fila; no cerramos la suma."&amp;CHAR(10),"")&amp;IF(M82=0,"No constan líneas de medición."&amp;CHAR(10),"")&amp;IF(IF(ISNUMBER(H82),ROUND(ABS(H82),8)&gt;$F$6,FALSE),"Las líneas difieren del total en más de 0,01; confirmamos cantidad o exclusión."&amp;CHAR(10),"")&amp;IF(P82&gt;0,"Parece m³: encontramos tres dimensiones bajo m²."&amp;CHAR(10),"")&amp;IF(R82&gt;0,"Código repetido dentro del capítulo; mantenemos sus ID separados."&amp;CHAR(10),"")&amp;IF(S82&gt;0,"Código repetido en otro capítulo; no unimos las partidas."&amp;CHAR(10),"")&amp;IF(T82&gt;0,"Mismo código con unidades distintas; pedimos aclaración."&amp;CHAR(10),"")&amp;IF(Q82&gt;0,"Hay más precisión que los decimales indicados; cotejamos el formato original."&amp;CHAR(10),"")&amp;IF(U82&gt;0,"Unidad sin normalizar; cotejamos su significado antes de sumar unidades."&amp;CHAR(10),"")&amp;IF(V82&gt;0,"Revisamos dimensiones, cantidades directas, ceros o deducciones en PEGAR."&amp;CHAR(10),"")))</f>
      </c>
      <c r="K82" s="0">
        <f>IF(70&gt;'RESUMEN'!$E$6,"",MATCH(70,'PEGAR'!$W$13:$W$512,0))</f>
      </c>
      <c r="L82" s="0">
        <f>IF(K82="","",INDEX('PEGAR'!$R$13:$R$512,K82))</f>
      </c>
      <c r="M82" s="0">
        <f>IF(B82="","",COUNTIFS('PEGAR'!$O$13:$O$512,B82,'PEGAR'!$P$13:$P$512,"DIMENSIONES")+COUNTIFS('PEGAR'!$O$13:$O$512,B82,'PEGAR'!$P$13:$P$512,"DIRECTA"))</f>
      </c>
      <c r="N82" s="0">
        <f>IF(B82="","",COUNTIFS('PEGAR'!$O$13:$O$512,B82,'PEGAR'!$X$13:$X$512,2))</f>
      </c>
      <c r="O82" s="0">
        <f>IF(B82="","",COUNTIFS('PEGAR'!$O$13:$O$512,B82,'PEGAR'!$P$13:$P$512,"SIN LÍNEAS"))</f>
      </c>
      <c r="P82" s="0">
        <f>IF(B82="","",SUMIFS('PEGAR'!$Y$13:$Y$512,'PEGAR'!$O$13:$O$512,B82))</f>
      </c>
      <c r="Q82" s="0">
        <f>IF(B82="","",SUMIFS('PEGAR'!$Z$13:$Z$512,'PEGAR'!$O$13:$O$512,B82))</f>
      </c>
      <c r="R82" s="0" t="n">
        <f>IF(OR(B82="",D82=""),0,SUMPRODUCT(--($B$13:$B$512&lt;&gt;""),--($D$13:$D$512=D82),--($C$13:$C$512=C82))-1)</f>
        <v>0</v>
      </c>
      <c r="S82" s="0" t="n">
        <f>IF(OR(B82="",D82=""),0,SUMPRODUCT(--($B$13:$B$512&lt;&gt;""),--($D$13:$D$512=D82),--($C$13:$C$512&lt;&gt;C82)))</f>
        <v>0</v>
      </c>
      <c r="T82" s="0" t="n">
        <f>IF(OR(B82="",D82=""),0,SUMPRODUCT(--($B$13:$B$512&lt;&gt;""),--($D$13:$D$512=D82),--($E$13:$E$512&lt;&gt;E82)))</f>
        <v>0</v>
      </c>
      <c r="U82" s="0" t="n">
        <f>IF(B82="",0,IF(SUMPRODUCT(--('LÉEME'!$C$65:$C$86=E82))=0,1,0))</f>
        <v>0</v>
      </c>
      <c r="V82" s="0">
        <f>IF(B82="","",SUMIFS('PEGAR'!$AA$13:$AA$512,'PEGAR'!$O$13:$O$512,B82))</f>
      </c>
      <c r="W82" s="0">
        <f>IF(B82="","",IF(OR(L82=0,N82&gt;0,T82&gt;0,IF(ISNUMBER(H82),ROUND(ABS(H82),8)&gt;$F$6,FALSE)),2,IF(OR(M82=0,O82&gt;0,P82&gt;0,Q82&gt;0,R82&gt;0,S82&gt;0,U82&gt;0,V82&gt;0),1,0)))</f>
      </c>
      <c r="X82" s="0">
        <f>IF(B82="","",IF(ISNUMBER(G82),1,0))</f>
      </c>
      <c r="AB82" s="0">
        <f>IF(AND(ISNUMBER(W82),W82&gt;0),"ID "&amp;B82,"")</f>
      </c>
      <c r="AC82" s="0">
        <f>IF(AND(ISNUMBER(W82),W82&gt;0),C82,"")</f>
      </c>
      <c r="AD82" s="0">
        <f>IF(AND(ISNUMBER(W82),W82&gt;0),D82,"")</f>
      </c>
      <c r="AE82" s="0">
        <f>IF(AND(ISNUMBER(W82),W82&gt;0),IF(INDEX('PEGAR'!$D$13:$D$512,IF(L82&gt;0,L82,K82))="","Sin descripción",INDEX('PEGAR'!$D$13:$D$512,IF(L82&gt;0,L82,K82))),"")</f>
      </c>
      <c r="AF82" s="0">
        <f>IF(AND(ISNUMBER(W82),W82&gt;0),J82,"")</f>
      </c>
      <c r="AG82" s="0" t="n">
        <f>IF(AND(ISNUMBER(W82),W82&gt;0),W82,0)</f>
        <v>0</v>
      </c>
      <c r="AH82" s="0">
        <f>IF(AG82&gt;0,COUNTIFS($AG$13:AG82,"&gt;0"),"")</f>
      </c>
    </row>
    <row r="83" ht="22" customHeight="1">
      <c r="B83" s="27">
        <f>IF(K83="","",INDEX('PEGAR'!$O$13:$O$512,K83))</f>
      </c>
      <c r="C83" s="30">
        <f>IF(B83="","",IF(LEN(TRIM(INDEX('PEGAR'!$B$13:$B$512,IF(L83&gt;0,L83,K83))&amp;""))=0,"Sin capítulo",TRIM(INDEX('PEGAR'!$B$13:$B$512,IF(L83&gt;0,L83,K83))&amp;"")))</f>
      </c>
      <c r="D83" s="27">
        <f>IF(B83="","",IF(LEN(TRIM(INDEX('PEGAR'!$C$13:$C$512,IF(L83&gt;0,L83,K83))&amp;""))=0,"",TRIM(INDEX('PEGAR'!$C$13:$C$512,IF(L83&gt;0,L83,K83))&amp;"")))</f>
      </c>
      <c r="E83" s="27">
        <f>IF(B83="","",INDEX('PEGAR'!$S$13:$S$512,IF(L83&gt;0,L83,K83)))</f>
      </c>
      <c r="F83" s="39">
        <f>IF(B83="","",IF(L83&gt;0,INDEX('PEGAR'!$F$13:$F$512,L83),""))</f>
      </c>
      <c r="G83" s="39">
        <f>IF(B83="","",IF(OR(M83=0,N83&gt;0,O83&gt;0),"",SUMIFS('PEGAR'!$M$13:$M$512,'PEGAR'!$O$13:$O$512,B83)))</f>
      </c>
      <c r="H83" s="39">
        <f>IF(AND(ISNUMBER(F83),ISNUMBER(G83)),G83-F83,"")</f>
      </c>
      <c r="I83" s="27">
        <f>IF(B83="","",IF(W83=2,"ROJO",IF(W83=1,"ÁMBAR","VERDE")))</f>
      </c>
      <c r="J83" s="30">
        <f>IF(B83="","",IF(W83=0,"Sin avisos numéricos. Revisamos el alcance aparte.",IF(L83=0,"Faltan datos completos de partida; no elegimos un total por suposición."&amp;CHAR(10),"")&amp;IF(N83&gt;0,"Hay filas incompletas o contradictorias; las revisamos en PEGAR."&amp;CHAR(10),"")&amp;IF(O83&gt;0,"Faltan las medidas de alguna fila; no cerramos la suma."&amp;CHAR(10),"")&amp;IF(M83=0,"No constan líneas de medición."&amp;CHAR(10),"")&amp;IF(IF(ISNUMBER(H83),ROUND(ABS(H83),8)&gt;$F$6,FALSE),"Las líneas difieren del total en más de 0,01; confirmamos cantidad o exclusión."&amp;CHAR(10),"")&amp;IF(P83&gt;0,"Parece m³: encontramos tres dimensiones bajo m²."&amp;CHAR(10),"")&amp;IF(R83&gt;0,"Código repetido dentro del capítulo; mantenemos sus ID separados."&amp;CHAR(10),"")&amp;IF(S83&gt;0,"Código repetido en otro capítulo; no unimos las partidas."&amp;CHAR(10),"")&amp;IF(T83&gt;0,"Mismo código con unidades distintas; pedimos aclaración."&amp;CHAR(10),"")&amp;IF(Q83&gt;0,"Hay más precisión que los decimales indicados; cotejamos el formato original."&amp;CHAR(10),"")&amp;IF(U83&gt;0,"Unidad sin normalizar; cotejamos su significado antes de sumar unidades."&amp;CHAR(10),"")&amp;IF(V83&gt;0,"Revisamos dimensiones, cantidades directas, ceros o deducciones en PEGAR."&amp;CHAR(10),"")))</f>
      </c>
      <c r="K83" s="0">
        <f>IF(71&gt;'RESUMEN'!$E$6,"",MATCH(71,'PEGAR'!$W$13:$W$512,0))</f>
      </c>
      <c r="L83" s="0">
        <f>IF(K83="","",INDEX('PEGAR'!$R$13:$R$512,K83))</f>
      </c>
      <c r="M83" s="0">
        <f>IF(B83="","",COUNTIFS('PEGAR'!$O$13:$O$512,B83,'PEGAR'!$P$13:$P$512,"DIMENSIONES")+COUNTIFS('PEGAR'!$O$13:$O$512,B83,'PEGAR'!$P$13:$P$512,"DIRECTA"))</f>
      </c>
      <c r="N83" s="0">
        <f>IF(B83="","",COUNTIFS('PEGAR'!$O$13:$O$512,B83,'PEGAR'!$X$13:$X$512,2))</f>
      </c>
      <c r="O83" s="0">
        <f>IF(B83="","",COUNTIFS('PEGAR'!$O$13:$O$512,B83,'PEGAR'!$P$13:$P$512,"SIN LÍNEAS"))</f>
      </c>
      <c r="P83" s="0">
        <f>IF(B83="","",SUMIFS('PEGAR'!$Y$13:$Y$512,'PEGAR'!$O$13:$O$512,B83))</f>
      </c>
      <c r="Q83" s="0">
        <f>IF(B83="","",SUMIFS('PEGAR'!$Z$13:$Z$512,'PEGAR'!$O$13:$O$512,B83))</f>
      </c>
      <c r="R83" s="0" t="n">
        <f>IF(OR(B83="",D83=""),0,SUMPRODUCT(--($B$13:$B$512&lt;&gt;""),--($D$13:$D$512=D83),--($C$13:$C$512=C83))-1)</f>
        <v>0</v>
      </c>
      <c r="S83" s="0" t="n">
        <f>IF(OR(B83="",D83=""),0,SUMPRODUCT(--($B$13:$B$512&lt;&gt;""),--($D$13:$D$512=D83),--($C$13:$C$512&lt;&gt;C83)))</f>
        <v>0</v>
      </c>
      <c r="T83" s="0" t="n">
        <f>IF(OR(B83="",D83=""),0,SUMPRODUCT(--($B$13:$B$512&lt;&gt;""),--($D$13:$D$512=D83),--($E$13:$E$512&lt;&gt;E83)))</f>
        <v>0</v>
      </c>
      <c r="U83" s="0" t="n">
        <f>IF(B83="",0,IF(SUMPRODUCT(--('LÉEME'!$C$65:$C$86=E83))=0,1,0))</f>
        <v>0</v>
      </c>
      <c r="V83" s="0">
        <f>IF(B83="","",SUMIFS('PEGAR'!$AA$13:$AA$512,'PEGAR'!$O$13:$O$512,B83))</f>
      </c>
      <c r="W83" s="0">
        <f>IF(B83="","",IF(OR(L83=0,N83&gt;0,T83&gt;0,IF(ISNUMBER(H83),ROUND(ABS(H83),8)&gt;$F$6,FALSE)),2,IF(OR(M83=0,O83&gt;0,P83&gt;0,Q83&gt;0,R83&gt;0,S83&gt;0,U83&gt;0,V83&gt;0),1,0)))</f>
      </c>
      <c r="X83" s="0">
        <f>IF(B83="","",IF(ISNUMBER(G83),1,0))</f>
      </c>
      <c r="AB83" s="0">
        <f>IF(AND(ISNUMBER(W83),W83&gt;0),"ID "&amp;B83,"")</f>
      </c>
      <c r="AC83" s="0">
        <f>IF(AND(ISNUMBER(W83),W83&gt;0),C83,"")</f>
      </c>
      <c r="AD83" s="0">
        <f>IF(AND(ISNUMBER(W83),W83&gt;0),D83,"")</f>
      </c>
      <c r="AE83" s="0">
        <f>IF(AND(ISNUMBER(W83),W83&gt;0),IF(INDEX('PEGAR'!$D$13:$D$512,IF(L83&gt;0,L83,K83))="","Sin descripción",INDEX('PEGAR'!$D$13:$D$512,IF(L83&gt;0,L83,K83))),"")</f>
      </c>
      <c r="AF83" s="0">
        <f>IF(AND(ISNUMBER(W83),W83&gt;0),J83,"")</f>
      </c>
      <c r="AG83" s="0" t="n">
        <f>IF(AND(ISNUMBER(W83),W83&gt;0),W83,0)</f>
        <v>0</v>
      </c>
      <c r="AH83" s="0">
        <f>IF(AG83&gt;0,COUNTIFS($AG$13:AG83,"&gt;0"),"")</f>
      </c>
    </row>
    <row r="84" ht="22" customHeight="1">
      <c r="B84" s="27">
        <f>IF(K84="","",INDEX('PEGAR'!$O$13:$O$512,K84))</f>
      </c>
      <c r="C84" s="30">
        <f>IF(B84="","",IF(LEN(TRIM(INDEX('PEGAR'!$B$13:$B$512,IF(L84&gt;0,L84,K84))&amp;""))=0,"Sin capítulo",TRIM(INDEX('PEGAR'!$B$13:$B$512,IF(L84&gt;0,L84,K84))&amp;"")))</f>
      </c>
      <c r="D84" s="27">
        <f>IF(B84="","",IF(LEN(TRIM(INDEX('PEGAR'!$C$13:$C$512,IF(L84&gt;0,L84,K84))&amp;""))=0,"",TRIM(INDEX('PEGAR'!$C$13:$C$512,IF(L84&gt;0,L84,K84))&amp;"")))</f>
      </c>
      <c r="E84" s="27">
        <f>IF(B84="","",INDEX('PEGAR'!$S$13:$S$512,IF(L84&gt;0,L84,K84)))</f>
      </c>
      <c r="F84" s="39">
        <f>IF(B84="","",IF(L84&gt;0,INDEX('PEGAR'!$F$13:$F$512,L84),""))</f>
      </c>
      <c r="G84" s="39">
        <f>IF(B84="","",IF(OR(M84=0,N84&gt;0,O84&gt;0),"",SUMIFS('PEGAR'!$M$13:$M$512,'PEGAR'!$O$13:$O$512,B84)))</f>
      </c>
      <c r="H84" s="39">
        <f>IF(AND(ISNUMBER(F84),ISNUMBER(G84)),G84-F84,"")</f>
      </c>
      <c r="I84" s="27">
        <f>IF(B84="","",IF(W84=2,"ROJO",IF(W84=1,"ÁMBAR","VERDE")))</f>
      </c>
      <c r="J84" s="30">
        <f>IF(B84="","",IF(W84=0,"Sin avisos numéricos. Revisamos el alcance aparte.",IF(L84=0,"Faltan datos completos de partida; no elegimos un total por suposición."&amp;CHAR(10),"")&amp;IF(N84&gt;0,"Hay filas incompletas o contradictorias; las revisamos en PEGAR."&amp;CHAR(10),"")&amp;IF(O84&gt;0,"Faltan las medidas de alguna fila; no cerramos la suma."&amp;CHAR(10),"")&amp;IF(M84=0,"No constan líneas de medición."&amp;CHAR(10),"")&amp;IF(IF(ISNUMBER(H84),ROUND(ABS(H84),8)&gt;$F$6,FALSE),"Las líneas difieren del total en más de 0,01; confirmamos cantidad o exclusión."&amp;CHAR(10),"")&amp;IF(P84&gt;0,"Parece m³: encontramos tres dimensiones bajo m²."&amp;CHAR(10),"")&amp;IF(R84&gt;0,"Código repetido dentro del capítulo; mantenemos sus ID separados."&amp;CHAR(10),"")&amp;IF(S84&gt;0,"Código repetido en otro capítulo; no unimos las partidas."&amp;CHAR(10),"")&amp;IF(T84&gt;0,"Mismo código con unidades distintas; pedimos aclaración."&amp;CHAR(10),"")&amp;IF(Q84&gt;0,"Hay más precisión que los decimales indicados; cotejamos el formato original."&amp;CHAR(10),"")&amp;IF(U84&gt;0,"Unidad sin normalizar; cotejamos su significado antes de sumar unidades."&amp;CHAR(10),"")&amp;IF(V84&gt;0,"Revisamos dimensiones, cantidades directas, ceros o deducciones en PEGAR."&amp;CHAR(10),"")))</f>
      </c>
      <c r="K84" s="0">
        <f>IF(72&gt;'RESUMEN'!$E$6,"",MATCH(72,'PEGAR'!$W$13:$W$512,0))</f>
      </c>
      <c r="L84" s="0">
        <f>IF(K84="","",INDEX('PEGAR'!$R$13:$R$512,K84))</f>
      </c>
      <c r="M84" s="0">
        <f>IF(B84="","",COUNTIFS('PEGAR'!$O$13:$O$512,B84,'PEGAR'!$P$13:$P$512,"DIMENSIONES")+COUNTIFS('PEGAR'!$O$13:$O$512,B84,'PEGAR'!$P$13:$P$512,"DIRECTA"))</f>
      </c>
      <c r="N84" s="0">
        <f>IF(B84="","",COUNTIFS('PEGAR'!$O$13:$O$512,B84,'PEGAR'!$X$13:$X$512,2))</f>
      </c>
      <c r="O84" s="0">
        <f>IF(B84="","",COUNTIFS('PEGAR'!$O$13:$O$512,B84,'PEGAR'!$P$13:$P$512,"SIN LÍNEAS"))</f>
      </c>
      <c r="P84" s="0">
        <f>IF(B84="","",SUMIFS('PEGAR'!$Y$13:$Y$512,'PEGAR'!$O$13:$O$512,B84))</f>
      </c>
      <c r="Q84" s="0">
        <f>IF(B84="","",SUMIFS('PEGAR'!$Z$13:$Z$512,'PEGAR'!$O$13:$O$512,B84))</f>
      </c>
      <c r="R84" s="0" t="n">
        <f>IF(OR(B84="",D84=""),0,SUMPRODUCT(--($B$13:$B$512&lt;&gt;""),--($D$13:$D$512=D84),--($C$13:$C$512=C84))-1)</f>
        <v>0</v>
      </c>
      <c r="S84" s="0" t="n">
        <f>IF(OR(B84="",D84=""),0,SUMPRODUCT(--($B$13:$B$512&lt;&gt;""),--($D$13:$D$512=D84),--($C$13:$C$512&lt;&gt;C84)))</f>
        <v>0</v>
      </c>
      <c r="T84" s="0" t="n">
        <f>IF(OR(B84="",D84=""),0,SUMPRODUCT(--($B$13:$B$512&lt;&gt;""),--($D$13:$D$512=D84),--($E$13:$E$512&lt;&gt;E84)))</f>
        <v>0</v>
      </c>
      <c r="U84" s="0" t="n">
        <f>IF(B84="",0,IF(SUMPRODUCT(--('LÉEME'!$C$65:$C$86=E84))=0,1,0))</f>
        <v>0</v>
      </c>
      <c r="V84" s="0">
        <f>IF(B84="","",SUMIFS('PEGAR'!$AA$13:$AA$512,'PEGAR'!$O$13:$O$512,B84))</f>
      </c>
      <c r="W84" s="0">
        <f>IF(B84="","",IF(OR(L84=0,N84&gt;0,T84&gt;0,IF(ISNUMBER(H84),ROUND(ABS(H84),8)&gt;$F$6,FALSE)),2,IF(OR(M84=0,O84&gt;0,P84&gt;0,Q84&gt;0,R84&gt;0,S84&gt;0,U84&gt;0,V84&gt;0),1,0)))</f>
      </c>
      <c r="X84" s="0">
        <f>IF(B84="","",IF(ISNUMBER(G84),1,0))</f>
      </c>
      <c r="AB84" s="0">
        <f>IF(AND(ISNUMBER(W84),W84&gt;0),"ID "&amp;B84,"")</f>
      </c>
      <c r="AC84" s="0">
        <f>IF(AND(ISNUMBER(W84),W84&gt;0),C84,"")</f>
      </c>
      <c r="AD84" s="0">
        <f>IF(AND(ISNUMBER(W84),W84&gt;0),D84,"")</f>
      </c>
      <c r="AE84" s="0">
        <f>IF(AND(ISNUMBER(W84),W84&gt;0),IF(INDEX('PEGAR'!$D$13:$D$512,IF(L84&gt;0,L84,K84))="","Sin descripción",INDEX('PEGAR'!$D$13:$D$512,IF(L84&gt;0,L84,K84))),"")</f>
      </c>
      <c r="AF84" s="0">
        <f>IF(AND(ISNUMBER(W84),W84&gt;0),J84,"")</f>
      </c>
      <c r="AG84" s="0" t="n">
        <f>IF(AND(ISNUMBER(W84),W84&gt;0),W84,0)</f>
        <v>0</v>
      </c>
      <c r="AH84" s="0">
        <f>IF(AG84&gt;0,COUNTIFS($AG$13:AG84,"&gt;0"),"")</f>
      </c>
    </row>
    <row r="85" ht="22" customHeight="1">
      <c r="B85" s="27">
        <f>IF(K85="","",INDEX('PEGAR'!$O$13:$O$512,K85))</f>
      </c>
      <c r="C85" s="30">
        <f>IF(B85="","",IF(LEN(TRIM(INDEX('PEGAR'!$B$13:$B$512,IF(L85&gt;0,L85,K85))&amp;""))=0,"Sin capítulo",TRIM(INDEX('PEGAR'!$B$13:$B$512,IF(L85&gt;0,L85,K85))&amp;"")))</f>
      </c>
      <c r="D85" s="27">
        <f>IF(B85="","",IF(LEN(TRIM(INDEX('PEGAR'!$C$13:$C$512,IF(L85&gt;0,L85,K85))&amp;""))=0,"",TRIM(INDEX('PEGAR'!$C$13:$C$512,IF(L85&gt;0,L85,K85))&amp;"")))</f>
      </c>
      <c r="E85" s="27">
        <f>IF(B85="","",INDEX('PEGAR'!$S$13:$S$512,IF(L85&gt;0,L85,K85)))</f>
      </c>
      <c r="F85" s="39">
        <f>IF(B85="","",IF(L85&gt;0,INDEX('PEGAR'!$F$13:$F$512,L85),""))</f>
      </c>
      <c r="G85" s="39">
        <f>IF(B85="","",IF(OR(M85=0,N85&gt;0,O85&gt;0),"",SUMIFS('PEGAR'!$M$13:$M$512,'PEGAR'!$O$13:$O$512,B85)))</f>
      </c>
      <c r="H85" s="39">
        <f>IF(AND(ISNUMBER(F85),ISNUMBER(G85)),G85-F85,"")</f>
      </c>
      <c r="I85" s="27">
        <f>IF(B85="","",IF(W85=2,"ROJO",IF(W85=1,"ÁMBAR","VERDE")))</f>
      </c>
      <c r="J85" s="30">
        <f>IF(B85="","",IF(W85=0,"Sin avisos numéricos. Revisamos el alcance aparte.",IF(L85=0,"Faltan datos completos de partida; no elegimos un total por suposición."&amp;CHAR(10),"")&amp;IF(N85&gt;0,"Hay filas incompletas o contradictorias; las revisamos en PEGAR."&amp;CHAR(10),"")&amp;IF(O85&gt;0,"Faltan las medidas de alguna fila; no cerramos la suma."&amp;CHAR(10),"")&amp;IF(M85=0,"No constan líneas de medición."&amp;CHAR(10),"")&amp;IF(IF(ISNUMBER(H85),ROUND(ABS(H85),8)&gt;$F$6,FALSE),"Las líneas difieren del total en más de 0,01; confirmamos cantidad o exclusión."&amp;CHAR(10),"")&amp;IF(P85&gt;0,"Parece m³: encontramos tres dimensiones bajo m²."&amp;CHAR(10),"")&amp;IF(R85&gt;0,"Código repetido dentro del capítulo; mantenemos sus ID separados."&amp;CHAR(10),"")&amp;IF(S85&gt;0,"Código repetido en otro capítulo; no unimos las partidas."&amp;CHAR(10),"")&amp;IF(T85&gt;0,"Mismo código con unidades distintas; pedimos aclaración."&amp;CHAR(10),"")&amp;IF(Q85&gt;0,"Hay más precisión que los decimales indicados; cotejamos el formato original."&amp;CHAR(10),"")&amp;IF(U85&gt;0,"Unidad sin normalizar; cotejamos su significado antes de sumar unidades."&amp;CHAR(10),"")&amp;IF(V85&gt;0,"Revisamos dimensiones, cantidades directas, ceros o deducciones en PEGAR."&amp;CHAR(10),"")))</f>
      </c>
      <c r="K85" s="0">
        <f>IF(73&gt;'RESUMEN'!$E$6,"",MATCH(73,'PEGAR'!$W$13:$W$512,0))</f>
      </c>
      <c r="L85" s="0">
        <f>IF(K85="","",INDEX('PEGAR'!$R$13:$R$512,K85))</f>
      </c>
      <c r="M85" s="0">
        <f>IF(B85="","",COUNTIFS('PEGAR'!$O$13:$O$512,B85,'PEGAR'!$P$13:$P$512,"DIMENSIONES")+COUNTIFS('PEGAR'!$O$13:$O$512,B85,'PEGAR'!$P$13:$P$512,"DIRECTA"))</f>
      </c>
      <c r="N85" s="0">
        <f>IF(B85="","",COUNTIFS('PEGAR'!$O$13:$O$512,B85,'PEGAR'!$X$13:$X$512,2))</f>
      </c>
      <c r="O85" s="0">
        <f>IF(B85="","",COUNTIFS('PEGAR'!$O$13:$O$512,B85,'PEGAR'!$P$13:$P$512,"SIN LÍNEAS"))</f>
      </c>
      <c r="P85" s="0">
        <f>IF(B85="","",SUMIFS('PEGAR'!$Y$13:$Y$512,'PEGAR'!$O$13:$O$512,B85))</f>
      </c>
      <c r="Q85" s="0">
        <f>IF(B85="","",SUMIFS('PEGAR'!$Z$13:$Z$512,'PEGAR'!$O$13:$O$512,B85))</f>
      </c>
      <c r="R85" s="0" t="n">
        <f>IF(OR(B85="",D85=""),0,SUMPRODUCT(--($B$13:$B$512&lt;&gt;""),--($D$13:$D$512=D85),--($C$13:$C$512=C85))-1)</f>
        <v>0</v>
      </c>
      <c r="S85" s="0" t="n">
        <f>IF(OR(B85="",D85=""),0,SUMPRODUCT(--($B$13:$B$512&lt;&gt;""),--($D$13:$D$512=D85),--($C$13:$C$512&lt;&gt;C85)))</f>
        <v>0</v>
      </c>
      <c r="T85" s="0" t="n">
        <f>IF(OR(B85="",D85=""),0,SUMPRODUCT(--($B$13:$B$512&lt;&gt;""),--($D$13:$D$512=D85),--($E$13:$E$512&lt;&gt;E85)))</f>
        <v>0</v>
      </c>
      <c r="U85" s="0" t="n">
        <f>IF(B85="",0,IF(SUMPRODUCT(--('LÉEME'!$C$65:$C$86=E85))=0,1,0))</f>
        <v>0</v>
      </c>
      <c r="V85" s="0">
        <f>IF(B85="","",SUMIFS('PEGAR'!$AA$13:$AA$512,'PEGAR'!$O$13:$O$512,B85))</f>
      </c>
      <c r="W85" s="0">
        <f>IF(B85="","",IF(OR(L85=0,N85&gt;0,T85&gt;0,IF(ISNUMBER(H85),ROUND(ABS(H85),8)&gt;$F$6,FALSE)),2,IF(OR(M85=0,O85&gt;0,P85&gt;0,Q85&gt;0,R85&gt;0,S85&gt;0,U85&gt;0,V85&gt;0),1,0)))</f>
      </c>
      <c r="X85" s="0">
        <f>IF(B85="","",IF(ISNUMBER(G85),1,0))</f>
      </c>
      <c r="AB85" s="0">
        <f>IF(AND(ISNUMBER(W85),W85&gt;0),"ID "&amp;B85,"")</f>
      </c>
      <c r="AC85" s="0">
        <f>IF(AND(ISNUMBER(W85),W85&gt;0),C85,"")</f>
      </c>
      <c r="AD85" s="0">
        <f>IF(AND(ISNUMBER(W85),W85&gt;0),D85,"")</f>
      </c>
      <c r="AE85" s="0">
        <f>IF(AND(ISNUMBER(W85),W85&gt;0),IF(INDEX('PEGAR'!$D$13:$D$512,IF(L85&gt;0,L85,K85))="","Sin descripción",INDEX('PEGAR'!$D$13:$D$512,IF(L85&gt;0,L85,K85))),"")</f>
      </c>
      <c r="AF85" s="0">
        <f>IF(AND(ISNUMBER(W85),W85&gt;0),J85,"")</f>
      </c>
      <c r="AG85" s="0" t="n">
        <f>IF(AND(ISNUMBER(W85),W85&gt;0),W85,0)</f>
        <v>0</v>
      </c>
      <c r="AH85" s="0">
        <f>IF(AG85&gt;0,COUNTIFS($AG$13:AG85,"&gt;0"),"")</f>
      </c>
    </row>
    <row r="86" ht="22" customHeight="1">
      <c r="B86" s="27">
        <f>IF(K86="","",INDEX('PEGAR'!$O$13:$O$512,K86))</f>
      </c>
      <c r="C86" s="30">
        <f>IF(B86="","",IF(LEN(TRIM(INDEX('PEGAR'!$B$13:$B$512,IF(L86&gt;0,L86,K86))&amp;""))=0,"Sin capítulo",TRIM(INDEX('PEGAR'!$B$13:$B$512,IF(L86&gt;0,L86,K86))&amp;"")))</f>
      </c>
      <c r="D86" s="27">
        <f>IF(B86="","",IF(LEN(TRIM(INDEX('PEGAR'!$C$13:$C$512,IF(L86&gt;0,L86,K86))&amp;""))=0,"",TRIM(INDEX('PEGAR'!$C$13:$C$512,IF(L86&gt;0,L86,K86))&amp;"")))</f>
      </c>
      <c r="E86" s="27">
        <f>IF(B86="","",INDEX('PEGAR'!$S$13:$S$512,IF(L86&gt;0,L86,K86)))</f>
      </c>
      <c r="F86" s="39">
        <f>IF(B86="","",IF(L86&gt;0,INDEX('PEGAR'!$F$13:$F$512,L86),""))</f>
      </c>
      <c r="G86" s="39">
        <f>IF(B86="","",IF(OR(M86=0,N86&gt;0,O86&gt;0),"",SUMIFS('PEGAR'!$M$13:$M$512,'PEGAR'!$O$13:$O$512,B86)))</f>
      </c>
      <c r="H86" s="39">
        <f>IF(AND(ISNUMBER(F86),ISNUMBER(G86)),G86-F86,"")</f>
      </c>
      <c r="I86" s="27">
        <f>IF(B86="","",IF(W86=2,"ROJO",IF(W86=1,"ÁMBAR","VERDE")))</f>
      </c>
      <c r="J86" s="30">
        <f>IF(B86="","",IF(W86=0,"Sin avisos numéricos. Revisamos el alcance aparte.",IF(L86=0,"Faltan datos completos de partida; no elegimos un total por suposición."&amp;CHAR(10),"")&amp;IF(N86&gt;0,"Hay filas incompletas o contradictorias; las revisamos en PEGAR."&amp;CHAR(10),"")&amp;IF(O86&gt;0,"Faltan las medidas de alguna fila; no cerramos la suma."&amp;CHAR(10),"")&amp;IF(M86=0,"No constan líneas de medición."&amp;CHAR(10),"")&amp;IF(IF(ISNUMBER(H86),ROUND(ABS(H86),8)&gt;$F$6,FALSE),"Las líneas difieren del total en más de 0,01; confirmamos cantidad o exclusión."&amp;CHAR(10),"")&amp;IF(P86&gt;0,"Parece m³: encontramos tres dimensiones bajo m²."&amp;CHAR(10),"")&amp;IF(R86&gt;0,"Código repetido dentro del capítulo; mantenemos sus ID separados."&amp;CHAR(10),"")&amp;IF(S86&gt;0,"Código repetido en otro capítulo; no unimos las partidas."&amp;CHAR(10),"")&amp;IF(T86&gt;0,"Mismo código con unidades distintas; pedimos aclaración."&amp;CHAR(10),"")&amp;IF(Q86&gt;0,"Hay más precisión que los decimales indicados; cotejamos el formato original."&amp;CHAR(10),"")&amp;IF(U86&gt;0,"Unidad sin normalizar; cotejamos su significado antes de sumar unidades."&amp;CHAR(10),"")&amp;IF(V86&gt;0,"Revisamos dimensiones, cantidades directas, ceros o deducciones en PEGAR."&amp;CHAR(10),"")))</f>
      </c>
      <c r="K86" s="0">
        <f>IF(74&gt;'RESUMEN'!$E$6,"",MATCH(74,'PEGAR'!$W$13:$W$512,0))</f>
      </c>
      <c r="L86" s="0">
        <f>IF(K86="","",INDEX('PEGAR'!$R$13:$R$512,K86))</f>
      </c>
      <c r="M86" s="0">
        <f>IF(B86="","",COUNTIFS('PEGAR'!$O$13:$O$512,B86,'PEGAR'!$P$13:$P$512,"DIMENSIONES")+COUNTIFS('PEGAR'!$O$13:$O$512,B86,'PEGAR'!$P$13:$P$512,"DIRECTA"))</f>
      </c>
      <c r="N86" s="0">
        <f>IF(B86="","",COUNTIFS('PEGAR'!$O$13:$O$512,B86,'PEGAR'!$X$13:$X$512,2))</f>
      </c>
      <c r="O86" s="0">
        <f>IF(B86="","",COUNTIFS('PEGAR'!$O$13:$O$512,B86,'PEGAR'!$P$13:$P$512,"SIN LÍNEAS"))</f>
      </c>
      <c r="P86" s="0">
        <f>IF(B86="","",SUMIFS('PEGAR'!$Y$13:$Y$512,'PEGAR'!$O$13:$O$512,B86))</f>
      </c>
      <c r="Q86" s="0">
        <f>IF(B86="","",SUMIFS('PEGAR'!$Z$13:$Z$512,'PEGAR'!$O$13:$O$512,B86))</f>
      </c>
      <c r="R86" s="0" t="n">
        <f>IF(OR(B86="",D86=""),0,SUMPRODUCT(--($B$13:$B$512&lt;&gt;""),--($D$13:$D$512=D86),--($C$13:$C$512=C86))-1)</f>
        <v>0</v>
      </c>
      <c r="S86" s="0" t="n">
        <f>IF(OR(B86="",D86=""),0,SUMPRODUCT(--($B$13:$B$512&lt;&gt;""),--($D$13:$D$512=D86),--($C$13:$C$512&lt;&gt;C86)))</f>
        <v>0</v>
      </c>
      <c r="T86" s="0" t="n">
        <f>IF(OR(B86="",D86=""),0,SUMPRODUCT(--($B$13:$B$512&lt;&gt;""),--($D$13:$D$512=D86),--($E$13:$E$512&lt;&gt;E86)))</f>
        <v>0</v>
      </c>
      <c r="U86" s="0" t="n">
        <f>IF(B86="",0,IF(SUMPRODUCT(--('LÉEME'!$C$65:$C$86=E86))=0,1,0))</f>
        <v>0</v>
      </c>
      <c r="V86" s="0">
        <f>IF(B86="","",SUMIFS('PEGAR'!$AA$13:$AA$512,'PEGAR'!$O$13:$O$512,B86))</f>
      </c>
      <c r="W86" s="0">
        <f>IF(B86="","",IF(OR(L86=0,N86&gt;0,T86&gt;0,IF(ISNUMBER(H86),ROUND(ABS(H86),8)&gt;$F$6,FALSE)),2,IF(OR(M86=0,O86&gt;0,P86&gt;0,Q86&gt;0,R86&gt;0,S86&gt;0,U86&gt;0,V86&gt;0),1,0)))</f>
      </c>
      <c r="X86" s="0">
        <f>IF(B86="","",IF(ISNUMBER(G86),1,0))</f>
      </c>
      <c r="AB86" s="0">
        <f>IF(AND(ISNUMBER(W86),W86&gt;0),"ID "&amp;B86,"")</f>
      </c>
      <c r="AC86" s="0">
        <f>IF(AND(ISNUMBER(W86),W86&gt;0),C86,"")</f>
      </c>
      <c r="AD86" s="0">
        <f>IF(AND(ISNUMBER(W86),W86&gt;0),D86,"")</f>
      </c>
      <c r="AE86" s="0">
        <f>IF(AND(ISNUMBER(W86),W86&gt;0),IF(INDEX('PEGAR'!$D$13:$D$512,IF(L86&gt;0,L86,K86))="","Sin descripción",INDEX('PEGAR'!$D$13:$D$512,IF(L86&gt;0,L86,K86))),"")</f>
      </c>
      <c r="AF86" s="0">
        <f>IF(AND(ISNUMBER(W86),W86&gt;0),J86,"")</f>
      </c>
      <c r="AG86" s="0" t="n">
        <f>IF(AND(ISNUMBER(W86),W86&gt;0),W86,0)</f>
        <v>0</v>
      </c>
      <c r="AH86" s="0">
        <f>IF(AG86&gt;0,COUNTIFS($AG$13:AG86,"&gt;0"),"")</f>
      </c>
    </row>
    <row r="87" ht="22" customHeight="1">
      <c r="B87" s="27">
        <f>IF(K87="","",INDEX('PEGAR'!$O$13:$O$512,K87))</f>
      </c>
      <c r="C87" s="30">
        <f>IF(B87="","",IF(LEN(TRIM(INDEX('PEGAR'!$B$13:$B$512,IF(L87&gt;0,L87,K87))&amp;""))=0,"Sin capítulo",TRIM(INDEX('PEGAR'!$B$13:$B$512,IF(L87&gt;0,L87,K87))&amp;"")))</f>
      </c>
      <c r="D87" s="27">
        <f>IF(B87="","",IF(LEN(TRIM(INDEX('PEGAR'!$C$13:$C$512,IF(L87&gt;0,L87,K87))&amp;""))=0,"",TRIM(INDEX('PEGAR'!$C$13:$C$512,IF(L87&gt;0,L87,K87))&amp;"")))</f>
      </c>
      <c r="E87" s="27">
        <f>IF(B87="","",INDEX('PEGAR'!$S$13:$S$512,IF(L87&gt;0,L87,K87)))</f>
      </c>
      <c r="F87" s="39">
        <f>IF(B87="","",IF(L87&gt;0,INDEX('PEGAR'!$F$13:$F$512,L87),""))</f>
      </c>
      <c r="G87" s="39">
        <f>IF(B87="","",IF(OR(M87=0,N87&gt;0,O87&gt;0),"",SUMIFS('PEGAR'!$M$13:$M$512,'PEGAR'!$O$13:$O$512,B87)))</f>
      </c>
      <c r="H87" s="39">
        <f>IF(AND(ISNUMBER(F87),ISNUMBER(G87)),G87-F87,"")</f>
      </c>
      <c r="I87" s="27">
        <f>IF(B87="","",IF(W87=2,"ROJO",IF(W87=1,"ÁMBAR","VERDE")))</f>
      </c>
      <c r="J87" s="30">
        <f>IF(B87="","",IF(W87=0,"Sin avisos numéricos. Revisamos el alcance aparte.",IF(L87=0,"Faltan datos completos de partida; no elegimos un total por suposición."&amp;CHAR(10),"")&amp;IF(N87&gt;0,"Hay filas incompletas o contradictorias; las revisamos en PEGAR."&amp;CHAR(10),"")&amp;IF(O87&gt;0,"Faltan las medidas de alguna fila; no cerramos la suma."&amp;CHAR(10),"")&amp;IF(M87=0,"No constan líneas de medición."&amp;CHAR(10),"")&amp;IF(IF(ISNUMBER(H87),ROUND(ABS(H87),8)&gt;$F$6,FALSE),"Las líneas difieren del total en más de 0,01; confirmamos cantidad o exclusión."&amp;CHAR(10),"")&amp;IF(P87&gt;0,"Parece m³: encontramos tres dimensiones bajo m²."&amp;CHAR(10),"")&amp;IF(R87&gt;0,"Código repetido dentro del capítulo; mantenemos sus ID separados."&amp;CHAR(10),"")&amp;IF(S87&gt;0,"Código repetido en otro capítulo; no unimos las partidas."&amp;CHAR(10),"")&amp;IF(T87&gt;0,"Mismo código con unidades distintas; pedimos aclaración."&amp;CHAR(10),"")&amp;IF(Q87&gt;0,"Hay más precisión que los decimales indicados; cotejamos el formato original."&amp;CHAR(10),"")&amp;IF(U87&gt;0,"Unidad sin normalizar; cotejamos su significado antes de sumar unidades."&amp;CHAR(10),"")&amp;IF(V87&gt;0,"Revisamos dimensiones, cantidades directas, ceros o deducciones en PEGAR."&amp;CHAR(10),"")))</f>
      </c>
      <c r="K87" s="0">
        <f>IF(75&gt;'RESUMEN'!$E$6,"",MATCH(75,'PEGAR'!$W$13:$W$512,0))</f>
      </c>
      <c r="L87" s="0">
        <f>IF(K87="","",INDEX('PEGAR'!$R$13:$R$512,K87))</f>
      </c>
      <c r="M87" s="0">
        <f>IF(B87="","",COUNTIFS('PEGAR'!$O$13:$O$512,B87,'PEGAR'!$P$13:$P$512,"DIMENSIONES")+COUNTIFS('PEGAR'!$O$13:$O$512,B87,'PEGAR'!$P$13:$P$512,"DIRECTA"))</f>
      </c>
      <c r="N87" s="0">
        <f>IF(B87="","",COUNTIFS('PEGAR'!$O$13:$O$512,B87,'PEGAR'!$X$13:$X$512,2))</f>
      </c>
      <c r="O87" s="0">
        <f>IF(B87="","",COUNTIFS('PEGAR'!$O$13:$O$512,B87,'PEGAR'!$P$13:$P$512,"SIN LÍNEAS"))</f>
      </c>
      <c r="P87" s="0">
        <f>IF(B87="","",SUMIFS('PEGAR'!$Y$13:$Y$512,'PEGAR'!$O$13:$O$512,B87))</f>
      </c>
      <c r="Q87" s="0">
        <f>IF(B87="","",SUMIFS('PEGAR'!$Z$13:$Z$512,'PEGAR'!$O$13:$O$512,B87))</f>
      </c>
      <c r="R87" s="0" t="n">
        <f>IF(OR(B87="",D87=""),0,SUMPRODUCT(--($B$13:$B$512&lt;&gt;""),--($D$13:$D$512=D87),--($C$13:$C$512=C87))-1)</f>
        <v>0</v>
      </c>
      <c r="S87" s="0" t="n">
        <f>IF(OR(B87="",D87=""),0,SUMPRODUCT(--($B$13:$B$512&lt;&gt;""),--($D$13:$D$512=D87),--($C$13:$C$512&lt;&gt;C87)))</f>
        <v>0</v>
      </c>
      <c r="T87" s="0" t="n">
        <f>IF(OR(B87="",D87=""),0,SUMPRODUCT(--($B$13:$B$512&lt;&gt;""),--($D$13:$D$512=D87),--($E$13:$E$512&lt;&gt;E87)))</f>
        <v>0</v>
      </c>
      <c r="U87" s="0" t="n">
        <f>IF(B87="",0,IF(SUMPRODUCT(--('LÉEME'!$C$65:$C$86=E87))=0,1,0))</f>
        <v>0</v>
      </c>
      <c r="V87" s="0">
        <f>IF(B87="","",SUMIFS('PEGAR'!$AA$13:$AA$512,'PEGAR'!$O$13:$O$512,B87))</f>
      </c>
      <c r="W87" s="0">
        <f>IF(B87="","",IF(OR(L87=0,N87&gt;0,T87&gt;0,IF(ISNUMBER(H87),ROUND(ABS(H87),8)&gt;$F$6,FALSE)),2,IF(OR(M87=0,O87&gt;0,P87&gt;0,Q87&gt;0,R87&gt;0,S87&gt;0,U87&gt;0,V87&gt;0),1,0)))</f>
      </c>
      <c r="X87" s="0">
        <f>IF(B87="","",IF(ISNUMBER(G87),1,0))</f>
      </c>
      <c r="AB87" s="0">
        <f>IF(AND(ISNUMBER(W87),W87&gt;0),"ID "&amp;B87,"")</f>
      </c>
      <c r="AC87" s="0">
        <f>IF(AND(ISNUMBER(W87),W87&gt;0),C87,"")</f>
      </c>
      <c r="AD87" s="0">
        <f>IF(AND(ISNUMBER(W87),W87&gt;0),D87,"")</f>
      </c>
      <c r="AE87" s="0">
        <f>IF(AND(ISNUMBER(W87),W87&gt;0),IF(INDEX('PEGAR'!$D$13:$D$512,IF(L87&gt;0,L87,K87))="","Sin descripción",INDEX('PEGAR'!$D$13:$D$512,IF(L87&gt;0,L87,K87))),"")</f>
      </c>
      <c r="AF87" s="0">
        <f>IF(AND(ISNUMBER(W87),W87&gt;0),J87,"")</f>
      </c>
      <c r="AG87" s="0" t="n">
        <f>IF(AND(ISNUMBER(W87),W87&gt;0),W87,0)</f>
        <v>0</v>
      </c>
      <c r="AH87" s="0">
        <f>IF(AG87&gt;0,COUNTIFS($AG$13:AG87,"&gt;0"),"")</f>
      </c>
    </row>
    <row r="88" ht="22" customHeight="1">
      <c r="B88" s="27">
        <f>IF(K88="","",INDEX('PEGAR'!$O$13:$O$512,K88))</f>
      </c>
      <c r="C88" s="30">
        <f>IF(B88="","",IF(LEN(TRIM(INDEX('PEGAR'!$B$13:$B$512,IF(L88&gt;0,L88,K88))&amp;""))=0,"Sin capítulo",TRIM(INDEX('PEGAR'!$B$13:$B$512,IF(L88&gt;0,L88,K88))&amp;"")))</f>
      </c>
      <c r="D88" s="27">
        <f>IF(B88="","",IF(LEN(TRIM(INDEX('PEGAR'!$C$13:$C$512,IF(L88&gt;0,L88,K88))&amp;""))=0,"",TRIM(INDEX('PEGAR'!$C$13:$C$512,IF(L88&gt;0,L88,K88))&amp;"")))</f>
      </c>
      <c r="E88" s="27">
        <f>IF(B88="","",INDEX('PEGAR'!$S$13:$S$512,IF(L88&gt;0,L88,K88)))</f>
      </c>
      <c r="F88" s="39">
        <f>IF(B88="","",IF(L88&gt;0,INDEX('PEGAR'!$F$13:$F$512,L88),""))</f>
      </c>
      <c r="G88" s="39">
        <f>IF(B88="","",IF(OR(M88=0,N88&gt;0,O88&gt;0),"",SUMIFS('PEGAR'!$M$13:$M$512,'PEGAR'!$O$13:$O$512,B88)))</f>
      </c>
      <c r="H88" s="39">
        <f>IF(AND(ISNUMBER(F88),ISNUMBER(G88)),G88-F88,"")</f>
      </c>
      <c r="I88" s="27">
        <f>IF(B88="","",IF(W88=2,"ROJO",IF(W88=1,"ÁMBAR","VERDE")))</f>
      </c>
      <c r="J88" s="30">
        <f>IF(B88="","",IF(W88=0,"Sin avisos numéricos. Revisamos el alcance aparte.",IF(L88=0,"Faltan datos completos de partida; no elegimos un total por suposición."&amp;CHAR(10),"")&amp;IF(N88&gt;0,"Hay filas incompletas o contradictorias; las revisamos en PEGAR."&amp;CHAR(10),"")&amp;IF(O88&gt;0,"Faltan las medidas de alguna fila; no cerramos la suma."&amp;CHAR(10),"")&amp;IF(M88=0,"No constan líneas de medición."&amp;CHAR(10),"")&amp;IF(IF(ISNUMBER(H88),ROUND(ABS(H88),8)&gt;$F$6,FALSE),"Las líneas difieren del total en más de 0,01; confirmamos cantidad o exclusión."&amp;CHAR(10),"")&amp;IF(P88&gt;0,"Parece m³: encontramos tres dimensiones bajo m²."&amp;CHAR(10),"")&amp;IF(R88&gt;0,"Código repetido dentro del capítulo; mantenemos sus ID separados."&amp;CHAR(10),"")&amp;IF(S88&gt;0,"Código repetido en otro capítulo; no unimos las partidas."&amp;CHAR(10),"")&amp;IF(T88&gt;0,"Mismo código con unidades distintas; pedimos aclaración."&amp;CHAR(10),"")&amp;IF(Q88&gt;0,"Hay más precisión que los decimales indicados; cotejamos el formato original."&amp;CHAR(10),"")&amp;IF(U88&gt;0,"Unidad sin normalizar; cotejamos su significado antes de sumar unidades."&amp;CHAR(10),"")&amp;IF(V88&gt;0,"Revisamos dimensiones, cantidades directas, ceros o deducciones en PEGAR."&amp;CHAR(10),"")))</f>
      </c>
      <c r="K88" s="0">
        <f>IF(76&gt;'RESUMEN'!$E$6,"",MATCH(76,'PEGAR'!$W$13:$W$512,0))</f>
      </c>
      <c r="L88" s="0">
        <f>IF(K88="","",INDEX('PEGAR'!$R$13:$R$512,K88))</f>
      </c>
      <c r="M88" s="0">
        <f>IF(B88="","",COUNTIFS('PEGAR'!$O$13:$O$512,B88,'PEGAR'!$P$13:$P$512,"DIMENSIONES")+COUNTIFS('PEGAR'!$O$13:$O$512,B88,'PEGAR'!$P$13:$P$512,"DIRECTA"))</f>
      </c>
      <c r="N88" s="0">
        <f>IF(B88="","",COUNTIFS('PEGAR'!$O$13:$O$512,B88,'PEGAR'!$X$13:$X$512,2))</f>
      </c>
      <c r="O88" s="0">
        <f>IF(B88="","",COUNTIFS('PEGAR'!$O$13:$O$512,B88,'PEGAR'!$P$13:$P$512,"SIN LÍNEAS"))</f>
      </c>
      <c r="P88" s="0">
        <f>IF(B88="","",SUMIFS('PEGAR'!$Y$13:$Y$512,'PEGAR'!$O$13:$O$512,B88))</f>
      </c>
      <c r="Q88" s="0">
        <f>IF(B88="","",SUMIFS('PEGAR'!$Z$13:$Z$512,'PEGAR'!$O$13:$O$512,B88))</f>
      </c>
      <c r="R88" s="0" t="n">
        <f>IF(OR(B88="",D88=""),0,SUMPRODUCT(--($B$13:$B$512&lt;&gt;""),--($D$13:$D$512=D88),--($C$13:$C$512=C88))-1)</f>
        <v>0</v>
      </c>
      <c r="S88" s="0" t="n">
        <f>IF(OR(B88="",D88=""),0,SUMPRODUCT(--($B$13:$B$512&lt;&gt;""),--($D$13:$D$512=D88),--($C$13:$C$512&lt;&gt;C88)))</f>
        <v>0</v>
      </c>
      <c r="T88" s="0" t="n">
        <f>IF(OR(B88="",D88=""),0,SUMPRODUCT(--($B$13:$B$512&lt;&gt;""),--($D$13:$D$512=D88),--($E$13:$E$512&lt;&gt;E88)))</f>
        <v>0</v>
      </c>
      <c r="U88" s="0" t="n">
        <f>IF(B88="",0,IF(SUMPRODUCT(--('LÉEME'!$C$65:$C$86=E88))=0,1,0))</f>
        <v>0</v>
      </c>
      <c r="V88" s="0">
        <f>IF(B88="","",SUMIFS('PEGAR'!$AA$13:$AA$512,'PEGAR'!$O$13:$O$512,B88))</f>
      </c>
      <c r="W88" s="0">
        <f>IF(B88="","",IF(OR(L88=0,N88&gt;0,T88&gt;0,IF(ISNUMBER(H88),ROUND(ABS(H88),8)&gt;$F$6,FALSE)),2,IF(OR(M88=0,O88&gt;0,P88&gt;0,Q88&gt;0,R88&gt;0,S88&gt;0,U88&gt;0,V88&gt;0),1,0)))</f>
      </c>
      <c r="X88" s="0">
        <f>IF(B88="","",IF(ISNUMBER(G88),1,0))</f>
      </c>
      <c r="AB88" s="0">
        <f>IF(AND(ISNUMBER(W88),W88&gt;0),"ID "&amp;B88,"")</f>
      </c>
      <c r="AC88" s="0">
        <f>IF(AND(ISNUMBER(W88),W88&gt;0),C88,"")</f>
      </c>
      <c r="AD88" s="0">
        <f>IF(AND(ISNUMBER(W88),W88&gt;0),D88,"")</f>
      </c>
      <c r="AE88" s="0">
        <f>IF(AND(ISNUMBER(W88),W88&gt;0),IF(INDEX('PEGAR'!$D$13:$D$512,IF(L88&gt;0,L88,K88))="","Sin descripción",INDEX('PEGAR'!$D$13:$D$512,IF(L88&gt;0,L88,K88))),"")</f>
      </c>
      <c r="AF88" s="0">
        <f>IF(AND(ISNUMBER(W88),W88&gt;0),J88,"")</f>
      </c>
      <c r="AG88" s="0" t="n">
        <f>IF(AND(ISNUMBER(W88),W88&gt;0),W88,0)</f>
        <v>0</v>
      </c>
      <c r="AH88" s="0">
        <f>IF(AG88&gt;0,COUNTIFS($AG$13:AG88,"&gt;0"),"")</f>
      </c>
    </row>
    <row r="89" ht="22" customHeight="1">
      <c r="B89" s="27">
        <f>IF(K89="","",INDEX('PEGAR'!$O$13:$O$512,K89))</f>
      </c>
      <c r="C89" s="30">
        <f>IF(B89="","",IF(LEN(TRIM(INDEX('PEGAR'!$B$13:$B$512,IF(L89&gt;0,L89,K89))&amp;""))=0,"Sin capítulo",TRIM(INDEX('PEGAR'!$B$13:$B$512,IF(L89&gt;0,L89,K89))&amp;"")))</f>
      </c>
      <c r="D89" s="27">
        <f>IF(B89="","",IF(LEN(TRIM(INDEX('PEGAR'!$C$13:$C$512,IF(L89&gt;0,L89,K89))&amp;""))=0,"",TRIM(INDEX('PEGAR'!$C$13:$C$512,IF(L89&gt;0,L89,K89))&amp;"")))</f>
      </c>
      <c r="E89" s="27">
        <f>IF(B89="","",INDEX('PEGAR'!$S$13:$S$512,IF(L89&gt;0,L89,K89)))</f>
      </c>
      <c r="F89" s="39">
        <f>IF(B89="","",IF(L89&gt;0,INDEX('PEGAR'!$F$13:$F$512,L89),""))</f>
      </c>
      <c r="G89" s="39">
        <f>IF(B89="","",IF(OR(M89=0,N89&gt;0,O89&gt;0),"",SUMIFS('PEGAR'!$M$13:$M$512,'PEGAR'!$O$13:$O$512,B89)))</f>
      </c>
      <c r="H89" s="39">
        <f>IF(AND(ISNUMBER(F89),ISNUMBER(G89)),G89-F89,"")</f>
      </c>
      <c r="I89" s="27">
        <f>IF(B89="","",IF(W89=2,"ROJO",IF(W89=1,"ÁMBAR","VERDE")))</f>
      </c>
      <c r="J89" s="30">
        <f>IF(B89="","",IF(W89=0,"Sin avisos numéricos. Revisamos el alcance aparte.",IF(L89=0,"Faltan datos completos de partida; no elegimos un total por suposición."&amp;CHAR(10),"")&amp;IF(N89&gt;0,"Hay filas incompletas o contradictorias; las revisamos en PEGAR."&amp;CHAR(10),"")&amp;IF(O89&gt;0,"Faltan las medidas de alguna fila; no cerramos la suma."&amp;CHAR(10),"")&amp;IF(M89=0,"No constan líneas de medición."&amp;CHAR(10),"")&amp;IF(IF(ISNUMBER(H89),ROUND(ABS(H89),8)&gt;$F$6,FALSE),"Las líneas difieren del total en más de 0,01; confirmamos cantidad o exclusión."&amp;CHAR(10),"")&amp;IF(P89&gt;0,"Parece m³: encontramos tres dimensiones bajo m²."&amp;CHAR(10),"")&amp;IF(R89&gt;0,"Código repetido dentro del capítulo; mantenemos sus ID separados."&amp;CHAR(10),"")&amp;IF(S89&gt;0,"Código repetido en otro capítulo; no unimos las partidas."&amp;CHAR(10),"")&amp;IF(T89&gt;0,"Mismo código con unidades distintas; pedimos aclaración."&amp;CHAR(10),"")&amp;IF(Q89&gt;0,"Hay más precisión que los decimales indicados; cotejamos el formato original."&amp;CHAR(10),"")&amp;IF(U89&gt;0,"Unidad sin normalizar; cotejamos su significado antes de sumar unidades."&amp;CHAR(10),"")&amp;IF(V89&gt;0,"Revisamos dimensiones, cantidades directas, ceros o deducciones en PEGAR."&amp;CHAR(10),"")))</f>
      </c>
      <c r="K89" s="0">
        <f>IF(77&gt;'RESUMEN'!$E$6,"",MATCH(77,'PEGAR'!$W$13:$W$512,0))</f>
      </c>
      <c r="L89" s="0">
        <f>IF(K89="","",INDEX('PEGAR'!$R$13:$R$512,K89))</f>
      </c>
      <c r="M89" s="0">
        <f>IF(B89="","",COUNTIFS('PEGAR'!$O$13:$O$512,B89,'PEGAR'!$P$13:$P$512,"DIMENSIONES")+COUNTIFS('PEGAR'!$O$13:$O$512,B89,'PEGAR'!$P$13:$P$512,"DIRECTA"))</f>
      </c>
      <c r="N89" s="0">
        <f>IF(B89="","",COUNTIFS('PEGAR'!$O$13:$O$512,B89,'PEGAR'!$X$13:$X$512,2))</f>
      </c>
      <c r="O89" s="0">
        <f>IF(B89="","",COUNTIFS('PEGAR'!$O$13:$O$512,B89,'PEGAR'!$P$13:$P$512,"SIN LÍNEAS"))</f>
      </c>
      <c r="P89" s="0">
        <f>IF(B89="","",SUMIFS('PEGAR'!$Y$13:$Y$512,'PEGAR'!$O$13:$O$512,B89))</f>
      </c>
      <c r="Q89" s="0">
        <f>IF(B89="","",SUMIFS('PEGAR'!$Z$13:$Z$512,'PEGAR'!$O$13:$O$512,B89))</f>
      </c>
      <c r="R89" s="0" t="n">
        <f>IF(OR(B89="",D89=""),0,SUMPRODUCT(--($B$13:$B$512&lt;&gt;""),--($D$13:$D$512=D89),--($C$13:$C$512=C89))-1)</f>
        <v>0</v>
      </c>
      <c r="S89" s="0" t="n">
        <f>IF(OR(B89="",D89=""),0,SUMPRODUCT(--($B$13:$B$512&lt;&gt;""),--($D$13:$D$512=D89),--($C$13:$C$512&lt;&gt;C89)))</f>
        <v>0</v>
      </c>
      <c r="T89" s="0" t="n">
        <f>IF(OR(B89="",D89=""),0,SUMPRODUCT(--($B$13:$B$512&lt;&gt;""),--($D$13:$D$512=D89),--($E$13:$E$512&lt;&gt;E89)))</f>
        <v>0</v>
      </c>
      <c r="U89" s="0" t="n">
        <f>IF(B89="",0,IF(SUMPRODUCT(--('LÉEME'!$C$65:$C$86=E89))=0,1,0))</f>
        <v>0</v>
      </c>
      <c r="V89" s="0">
        <f>IF(B89="","",SUMIFS('PEGAR'!$AA$13:$AA$512,'PEGAR'!$O$13:$O$512,B89))</f>
      </c>
      <c r="W89" s="0">
        <f>IF(B89="","",IF(OR(L89=0,N89&gt;0,T89&gt;0,IF(ISNUMBER(H89),ROUND(ABS(H89),8)&gt;$F$6,FALSE)),2,IF(OR(M89=0,O89&gt;0,P89&gt;0,Q89&gt;0,R89&gt;0,S89&gt;0,U89&gt;0,V89&gt;0),1,0)))</f>
      </c>
      <c r="X89" s="0">
        <f>IF(B89="","",IF(ISNUMBER(G89),1,0))</f>
      </c>
      <c r="AB89" s="0">
        <f>IF(AND(ISNUMBER(W89),W89&gt;0),"ID "&amp;B89,"")</f>
      </c>
      <c r="AC89" s="0">
        <f>IF(AND(ISNUMBER(W89),W89&gt;0),C89,"")</f>
      </c>
      <c r="AD89" s="0">
        <f>IF(AND(ISNUMBER(W89),W89&gt;0),D89,"")</f>
      </c>
      <c r="AE89" s="0">
        <f>IF(AND(ISNUMBER(W89),W89&gt;0),IF(INDEX('PEGAR'!$D$13:$D$512,IF(L89&gt;0,L89,K89))="","Sin descripción",INDEX('PEGAR'!$D$13:$D$512,IF(L89&gt;0,L89,K89))),"")</f>
      </c>
      <c r="AF89" s="0">
        <f>IF(AND(ISNUMBER(W89),W89&gt;0),J89,"")</f>
      </c>
      <c r="AG89" s="0" t="n">
        <f>IF(AND(ISNUMBER(W89),W89&gt;0),W89,0)</f>
        <v>0</v>
      </c>
      <c r="AH89" s="0">
        <f>IF(AG89&gt;0,COUNTIFS($AG$13:AG89,"&gt;0"),"")</f>
      </c>
    </row>
    <row r="90" ht="22" customHeight="1">
      <c r="B90" s="27">
        <f>IF(K90="","",INDEX('PEGAR'!$O$13:$O$512,K90))</f>
      </c>
      <c r="C90" s="30">
        <f>IF(B90="","",IF(LEN(TRIM(INDEX('PEGAR'!$B$13:$B$512,IF(L90&gt;0,L90,K90))&amp;""))=0,"Sin capítulo",TRIM(INDEX('PEGAR'!$B$13:$B$512,IF(L90&gt;0,L90,K90))&amp;"")))</f>
      </c>
      <c r="D90" s="27">
        <f>IF(B90="","",IF(LEN(TRIM(INDEX('PEGAR'!$C$13:$C$512,IF(L90&gt;0,L90,K90))&amp;""))=0,"",TRIM(INDEX('PEGAR'!$C$13:$C$512,IF(L90&gt;0,L90,K90))&amp;"")))</f>
      </c>
      <c r="E90" s="27">
        <f>IF(B90="","",INDEX('PEGAR'!$S$13:$S$512,IF(L90&gt;0,L90,K90)))</f>
      </c>
      <c r="F90" s="39">
        <f>IF(B90="","",IF(L90&gt;0,INDEX('PEGAR'!$F$13:$F$512,L90),""))</f>
      </c>
      <c r="G90" s="39">
        <f>IF(B90="","",IF(OR(M90=0,N90&gt;0,O90&gt;0),"",SUMIFS('PEGAR'!$M$13:$M$512,'PEGAR'!$O$13:$O$512,B90)))</f>
      </c>
      <c r="H90" s="39">
        <f>IF(AND(ISNUMBER(F90),ISNUMBER(G90)),G90-F90,"")</f>
      </c>
      <c r="I90" s="27">
        <f>IF(B90="","",IF(W90=2,"ROJO",IF(W90=1,"ÁMBAR","VERDE")))</f>
      </c>
      <c r="J90" s="30">
        <f>IF(B90="","",IF(W90=0,"Sin avisos numéricos. Revisamos el alcance aparte.",IF(L90=0,"Faltan datos completos de partida; no elegimos un total por suposición."&amp;CHAR(10),"")&amp;IF(N90&gt;0,"Hay filas incompletas o contradictorias; las revisamos en PEGAR."&amp;CHAR(10),"")&amp;IF(O90&gt;0,"Faltan las medidas de alguna fila; no cerramos la suma."&amp;CHAR(10),"")&amp;IF(M90=0,"No constan líneas de medición."&amp;CHAR(10),"")&amp;IF(IF(ISNUMBER(H90),ROUND(ABS(H90),8)&gt;$F$6,FALSE),"Las líneas difieren del total en más de 0,01; confirmamos cantidad o exclusión."&amp;CHAR(10),"")&amp;IF(P90&gt;0,"Parece m³: encontramos tres dimensiones bajo m²."&amp;CHAR(10),"")&amp;IF(R90&gt;0,"Código repetido dentro del capítulo; mantenemos sus ID separados."&amp;CHAR(10),"")&amp;IF(S90&gt;0,"Código repetido en otro capítulo; no unimos las partidas."&amp;CHAR(10),"")&amp;IF(T90&gt;0,"Mismo código con unidades distintas; pedimos aclaración."&amp;CHAR(10),"")&amp;IF(Q90&gt;0,"Hay más precisión que los decimales indicados; cotejamos el formato original."&amp;CHAR(10),"")&amp;IF(U90&gt;0,"Unidad sin normalizar; cotejamos su significado antes de sumar unidades."&amp;CHAR(10),"")&amp;IF(V90&gt;0,"Revisamos dimensiones, cantidades directas, ceros o deducciones en PEGAR."&amp;CHAR(10),"")))</f>
      </c>
      <c r="K90" s="0">
        <f>IF(78&gt;'RESUMEN'!$E$6,"",MATCH(78,'PEGAR'!$W$13:$W$512,0))</f>
      </c>
      <c r="L90" s="0">
        <f>IF(K90="","",INDEX('PEGAR'!$R$13:$R$512,K90))</f>
      </c>
      <c r="M90" s="0">
        <f>IF(B90="","",COUNTIFS('PEGAR'!$O$13:$O$512,B90,'PEGAR'!$P$13:$P$512,"DIMENSIONES")+COUNTIFS('PEGAR'!$O$13:$O$512,B90,'PEGAR'!$P$13:$P$512,"DIRECTA"))</f>
      </c>
      <c r="N90" s="0">
        <f>IF(B90="","",COUNTIFS('PEGAR'!$O$13:$O$512,B90,'PEGAR'!$X$13:$X$512,2))</f>
      </c>
      <c r="O90" s="0">
        <f>IF(B90="","",COUNTIFS('PEGAR'!$O$13:$O$512,B90,'PEGAR'!$P$13:$P$512,"SIN LÍNEAS"))</f>
      </c>
      <c r="P90" s="0">
        <f>IF(B90="","",SUMIFS('PEGAR'!$Y$13:$Y$512,'PEGAR'!$O$13:$O$512,B90))</f>
      </c>
      <c r="Q90" s="0">
        <f>IF(B90="","",SUMIFS('PEGAR'!$Z$13:$Z$512,'PEGAR'!$O$13:$O$512,B90))</f>
      </c>
      <c r="R90" s="0" t="n">
        <f>IF(OR(B90="",D90=""),0,SUMPRODUCT(--($B$13:$B$512&lt;&gt;""),--($D$13:$D$512=D90),--($C$13:$C$512=C90))-1)</f>
        <v>0</v>
      </c>
      <c r="S90" s="0" t="n">
        <f>IF(OR(B90="",D90=""),0,SUMPRODUCT(--($B$13:$B$512&lt;&gt;""),--($D$13:$D$512=D90),--($C$13:$C$512&lt;&gt;C90)))</f>
        <v>0</v>
      </c>
      <c r="T90" s="0" t="n">
        <f>IF(OR(B90="",D90=""),0,SUMPRODUCT(--($B$13:$B$512&lt;&gt;""),--($D$13:$D$512=D90),--($E$13:$E$512&lt;&gt;E90)))</f>
        <v>0</v>
      </c>
      <c r="U90" s="0" t="n">
        <f>IF(B90="",0,IF(SUMPRODUCT(--('LÉEME'!$C$65:$C$86=E90))=0,1,0))</f>
        <v>0</v>
      </c>
      <c r="V90" s="0">
        <f>IF(B90="","",SUMIFS('PEGAR'!$AA$13:$AA$512,'PEGAR'!$O$13:$O$512,B90))</f>
      </c>
      <c r="W90" s="0">
        <f>IF(B90="","",IF(OR(L90=0,N90&gt;0,T90&gt;0,IF(ISNUMBER(H90),ROUND(ABS(H90),8)&gt;$F$6,FALSE)),2,IF(OR(M90=0,O90&gt;0,P90&gt;0,Q90&gt;0,R90&gt;0,S90&gt;0,U90&gt;0,V90&gt;0),1,0)))</f>
      </c>
      <c r="X90" s="0">
        <f>IF(B90="","",IF(ISNUMBER(G90),1,0))</f>
      </c>
      <c r="AB90" s="0">
        <f>IF(AND(ISNUMBER(W90),W90&gt;0),"ID "&amp;B90,"")</f>
      </c>
      <c r="AC90" s="0">
        <f>IF(AND(ISNUMBER(W90),W90&gt;0),C90,"")</f>
      </c>
      <c r="AD90" s="0">
        <f>IF(AND(ISNUMBER(W90),W90&gt;0),D90,"")</f>
      </c>
      <c r="AE90" s="0">
        <f>IF(AND(ISNUMBER(W90),W90&gt;0),IF(INDEX('PEGAR'!$D$13:$D$512,IF(L90&gt;0,L90,K90))="","Sin descripción",INDEX('PEGAR'!$D$13:$D$512,IF(L90&gt;0,L90,K90))),"")</f>
      </c>
      <c r="AF90" s="0">
        <f>IF(AND(ISNUMBER(W90),W90&gt;0),J90,"")</f>
      </c>
      <c r="AG90" s="0" t="n">
        <f>IF(AND(ISNUMBER(W90),W90&gt;0),W90,0)</f>
        <v>0</v>
      </c>
      <c r="AH90" s="0">
        <f>IF(AG90&gt;0,COUNTIFS($AG$13:AG90,"&gt;0"),"")</f>
      </c>
    </row>
    <row r="91" ht="22" customHeight="1">
      <c r="B91" s="27">
        <f>IF(K91="","",INDEX('PEGAR'!$O$13:$O$512,K91))</f>
      </c>
      <c r="C91" s="30">
        <f>IF(B91="","",IF(LEN(TRIM(INDEX('PEGAR'!$B$13:$B$512,IF(L91&gt;0,L91,K91))&amp;""))=0,"Sin capítulo",TRIM(INDEX('PEGAR'!$B$13:$B$512,IF(L91&gt;0,L91,K91))&amp;"")))</f>
      </c>
      <c r="D91" s="27">
        <f>IF(B91="","",IF(LEN(TRIM(INDEX('PEGAR'!$C$13:$C$512,IF(L91&gt;0,L91,K91))&amp;""))=0,"",TRIM(INDEX('PEGAR'!$C$13:$C$512,IF(L91&gt;0,L91,K91))&amp;"")))</f>
      </c>
      <c r="E91" s="27">
        <f>IF(B91="","",INDEX('PEGAR'!$S$13:$S$512,IF(L91&gt;0,L91,K91)))</f>
      </c>
      <c r="F91" s="39">
        <f>IF(B91="","",IF(L91&gt;0,INDEX('PEGAR'!$F$13:$F$512,L91),""))</f>
      </c>
      <c r="G91" s="39">
        <f>IF(B91="","",IF(OR(M91=0,N91&gt;0,O91&gt;0),"",SUMIFS('PEGAR'!$M$13:$M$512,'PEGAR'!$O$13:$O$512,B91)))</f>
      </c>
      <c r="H91" s="39">
        <f>IF(AND(ISNUMBER(F91),ISNUMBER(G91)),G91-F91,"")</f>
      </c>
      <c r="I91" s="27">
        <f>IF(B91="","",IF(W91=2,"ROJO",IF(W91=1,"ÁMBAR","VERDE")))</f>
      </c>
      <c r="J91" s="30">
        <f>IF(B91="","",IF(W91=0,"Sin avisos numéricos. Revisamos el alcance aparte.",IF(L91=0,"Faltan datos completos de partida; no elegimos un total por suposición."&amp;CHAR(10),"")&amp;IF(N91&gt;0,"Hay filas incompletas o contradictorias; las revisamos en PEGAR."&amp;CHAR(10),"")&amp;IF(O91&gt;0,"Faltan las medidas de alguna fila; no cerramos la suma."&amp;CHAR(10),"")&amp;IF(M91=0,"No constan líneas de medición."&amp;CHAR(10),"")&amp;IF(IF(ISNUMBER(H91),ROUND(ABS(H91),8)&gt;$F$6,FALSE),"Las líneas difieren del total en más de 0,01; confirmamos cantidad o exclusión."&amp;CHAR(10),"")&amp;IF(P91&gt;0,"Parece m³: encontramos tres dimensiones bajo m²."&amp;CHAR(10),"")&amp;IF(R91&gt;0,"Código repetido dentro del capítulo; mantenemos sus ID separados."&amp;CHAR(10),"")&amp;IF(S91&gt;0,"Código repetido en otro capítulo; no unimos las partidas."&amp;CHAR(10),"")&amp;IF(T91&gt;0,"Mismo código con unidades distintas; pedimos aclaración."&amp;CHAR(10),"")&amp;IF(Q91&gt;0,"Hay más precisión que los decimales indicados; cotejamos el formato original."&amp;CHAR(10),"")&amp;IF(U91&gt;0,"Unidad sin normalizar; cotejamos su significado antes de sumar unidades."&amp;CHAR(10),"")&amp;IF(V91&gt;0,"Revisamos dimensiones, cantidades directas, ceros o deducciones en PEGAR."&amp;CHAR(10),"")))</f>
      </c>
      <c r="K91" s="0">
        <f>IF(79&gt;'RESUMEN'!$E$6,"",MATCH(79,'PEGAR'!$W$13:$W$512,0))</f>
      </c>
      <c r="L91" s="0">
        <f>IF(K91="","",INDEX('PEGAR'!$R$13:$R$512,K91))</f>
      </c>
      <c r="M91" s="0">
        <f>IF(B91="","",COUNTIFS('PEGAR'!$O$13:$O$512,B91,'PEGAR'!$P$13:$P$512,"DIMENSIONES")+COUNTIFS('PEGAR'!$O$13:$O$512,B91,'PEGAR'!$P$13:$P$512,"DIRECTA"))</f>
      </c>
      <c r="N91" s="0">
        <f>IF(B91="","",COUNTIFS('PEGAR'!$O$13:$O$512,B91,'PEGAR'!$X$13:$X$512,2))</f>
      </c>
      <c r="O91" s="0">
        <f>IF(B91="","",COUNTIFS('PEGAR'!$O$13:$O$512,B91,'PEGAR'!$P$13:$P$512,"SIN LÍNEAS"))</f>
      </c>
      <c r="P91" s="0">
        <f>IF(B91="","",SUMIFS('PEGAR'!$Y$13:$Y$512,'PEGAR'!$O$13:$O$512,B91))</f>
      </c>
      <c r="Q91" s="0">
        <f>IF(B91="","",SUMIFS('PEGAR'!$Z$13:$Z$512,'PEGAR'!$O$13:$O$512,B91))</f>
      </c>
      <c r="R91" s="0" t="n">
        <f>IF(OR(B91="",D91=""),0,SUMPRODUCT(--($B$13:$B$512&lt;&gt;""),--($D$13:$D$512=D91),--($C$13:$C$512=C91))-1)</f>
        <v>0</v>
      </c>
      <c r="S91" s="0" t="n">
        <f>IF(OR(B91="",D91=""),0,SUMPRODUCT(--($B$13:$B$512&lt;&gt;""),--($D$13:$D$512=D91),--($C$13:$C$512&lt;&gt;C91)))</f>
        <v>0</v>
      </c>
      <c r="T91" s="0" t="n">
        <f>IF(OR(B91="",D91=""),0,SUMPRODUCT(--($B$13:$B$512&lt;&gt;""),--($D$13:$D$512=D91),--($E$13:$E$512&lt;&gt;E91)))</f>
        <v>0</v>
      </c>
      <c r="U91" s="0" t="n">
        <f>IF(B91="",0,IF(SUMPRODUCT(--('LÉEME'!$C$65:$C$86=E91))=0,1,0))</f>
        <v>0</v>
      </c>
      <c r="V91" s="0">
        <f>IF(B91="","",SUMIFS('PEGAR'!$AA$13:$AA$512,'PEGAR'!$O$13:$O$512,B91))</f>
      </c>
      <c r="W91" s="0">
        <f>IF(B91="","",IF(OR(L91=0,N91&gt;0,T91&gt;0,IF(ISNUMBER(H91),ROUND(ABS(H91),8)&gt;$F$6,FALSE)),2,IF(OR(M91=0,O91&gt;0,P91&gt;0,Q91&gt;0,R91&gt;0,S91&gt;0,U91&gt;0,V91&gt;0),1,0)))</f>
      </c>
      <c r="X91" s="0">
        <f>IF(B91="","",IF(ISNUMBER(G91),1,0))</f>
      </c>
      <c r="AB91" s="0">
        <f>IF(AND(ISNUMBER(W91),W91&gt;0),"ID "&amp;B91,"")</f>
      </c>
      <c r="AC91" s="0">
        <f>IF(AND(ISNUMBER(W91),W91&gt;0),C91,"")</f>
      </c>
      <c r="AD91" s="0">
        <f>IF(AND(ISNUMBER(W91),W91&gt;0),D91,"")</f>
      </c>
      <c r="AE91" s="0">
        <f>IF(AND(ISNUMBER(W91),W91&gt;0),IF(INDEX('PEGAR'!$D$13:$D$512,IF(L91&gt;0,L91,K91))="","Sin descripción",INDEX('PEGAR'!$D$13:$D$512,IF(L91&gt;0,L91,K91))),"")</f>
      </c>
      <c r="AF91" s="0">
        <f>IF(AND(ISNUMBER(W91),W91&gt;0),J91,"")</f>
      </c>
      <c r="AG91" s="0" t="n">
        <f>IF(AND(ISNUMBER(W91),W91&gt;0),W91,0)</f>
        <v>0</v>
      </c>
      <c r="AH91" s="0">
        <f>IF(AG91&gt;0,COUNTIFS($AG$13:AG91,"&gt;0"),"")</f>
      </c>
    </row>
    <row r="92" ht="22" customHeight="1">
      <c r="B92" s="27">
        <f>IF(K92="","",INDEX('PEGAR'!$O$13:$O$512,K92))</f>
      </c>
      <c r="C92" s="30">
        <f>IF(B92="","",IF(LEN(TRIM(INDEX('PEGAR'!$B$13:$B$512,IF(L92&gt;0,L92,K92))&amp;""))=0,"Sin capítulo",TRIM(INDEX('PEGAR'!$B$13:$B$512,IF(L92&gt;0,L92,K92))&amp;"")))</f>
      </c>
      <c r="D92" s="27">
        <f>IF(B92="","",IF(LEN(TRIM(INDEX('PEGAR'!$C$13:$C$512,IF(L92&gt;0,L92,K92))&amp;""))=0,"",TRIM(INDEX('PEGAR'!$C$13:$C$512,IF(L92&gt;0,L92,K92))&amp;"")))</f>
      </c>
      <c r="E92" s="27">
        <f>IF(B92="","",INDEX('PEGAR'!$S$13:$S$512,IF(L92&gt;0,L92,K92)))</f>
      </c>
      <c r="F92" s="39">
        <f>IF(B92="","",IF(L92&gt;0,INDEX('PEGAR'!$F$13:$F$512,L92),""))</f>
      </c>
      <c r="G92" s="39">
        <f>IF(B92="","",IF(OR(M92=0,N92&gt;0,O92&gt;0),"",SUMIFS('PEGAR'!$M$13:$M$512,'PEGAR'!$O$13:$O$512,B92)))</f>
      </c>
      <c r="H92" s="39">
        <f>IF(AND(ISNUMBER(F92),ISNUMBER(G92)),G92-F92,"")</f>
      </c>
      <c r="I92" s="27">
        <f>IF(B92="","",IF(W92=2,"ROJO",IF(W92=1,"ÁMBAR","VERDE")))</f>
      </c>
      <c r="J92" s="30">
        <f>IF(B92="","",IF(W92=0,"Sin avisos numéricos. Revisamos el alcance aparte.",IF(L92=0,"Faltan datos completos de partida; no elegimos un total por suposición."&amp;CHAR(10),"")&amp;IF(N92&gt;0,"Hay filas incompletas o contradictorias; las revisamos en PEGAR."&amp;CHAR(10),"")&amp;IF(O92&gt;0,"Faltan las medidas de alguna fila; no cerramos la suma."&amp;CHAR(10),"")&amp;IF(M92=0,"No constan líneas de medición."&amp;CHAR(10),"")&amp;IF(IF(ISNUMBER(H92),ROUND(ABS(H92),8)&gt;$F$6,FALSE),"Las líneas difieren del total en más de 0,01; confirmamos cantidad o exclusión."&amp;CHAR(10),"")&amp;IF(P92&gt;0,"Parece m³: encontramos tres dimensiones bajo m²."&amp;CHAR(10),"")&amp;IF(R92&gt;0,"Código repetido dentro del capítulo; mantenemos sus ID separados."&amp;CHAR(10),"")&amp;IF(S92&gt;0,"Código repetido en otro capítulo; no unimos las partidas."&amp;CHAR(10),"")&amp;IF(T92&gt;0,"Mismo código con unidades distintas; pedimos aclaración."&amp;CHAR(10),"")&amp;IF(Q92&gt;0,"Hay más precisión que los decimales indicados; cotejamos el formato original."&amp;CHAR(10),"")&amp;IF(U92&gt;0,"Unidad sin normalizar; cotejamos su significado antes de sumar unidades."&amp;CHAR(10),"")&amp;IF(V92&gt;0,"Revisamos dimensiones, cantidades directas, ceros o deducciones en PEGAR."&amp;CHAR(10),"")))</f>
      </c>
      <c r="K92" s="0">
        <f>IF(80&gt;'RESUMEN'!$E$6,"",MATCH(80,'PEGAR'!$W$13:$W$512,0))</f>
      </c>
      <c r="L92" s="0">
        <f>IF(K92="","",INDEX('PEGAR'!$R$13:$R$512,K92))</f>
      </c>
      <c r="M92" s="0">
        <f>IF(B92="","",COUNTIFS('PEGAR'!$O$13:$O$512,B92,'PEGAR'!$P$13:$P$512,"DIMENSIONES")+COUNTIFS('PEGAR'!$O$13:$O$512,B92,'PEGAR'!$P$13:$P$512,"DIRECTA"))</f>
      </c>
      <c r="N92" s="0">
        <f>IF(B92="","",COUNTIFS('PEGAR'!$O$13:$O$512,B92,'PEGAR'!$X$13:$X$512,2))</f>
      </c>
      <c r="O92" s="0">
        <f>IF(B92="","",COUNTIFS('PEGAR'!$O$13:$O$512,B92,'PEGAR'!$P$13:$P$512,"SIN LÍNEAS"))</f>
      </c>
      <c r="P92" s="0">
        <f>IF(B92="","",SUMIFS('PEGAR'!$Y$13:$Y$512,'PEGAR'!$O$13:$O$512,B92))</f>
      </c>
      <c r="Q92" s="0">
        <f>IF(B92="","",SUMIFS('PEGAR'!$Z$13:$Z$512,'PEGAR'!$O$13:$O$512,B92))</f>
      </c>
      <c r="R92" s="0" t="n">
        <f>IF(OR(B92="",D92=""),0,SUMPRODUCT(--($B$13:$B$512&lt;&gt;""),--($D$13:$D$512=D92),--($C$13:$C$512=C92))-1)</f>
        <v>0</v>
      </c>
      <c r="S92" s="0" t="n">
        <f>IF(OR(B92="",D92=""),0,SUMPRODUCT(--($B$13:$B$512&lt;&gt;""),--($D$13:$D$512=D92),--($C$13:$C$512&lt;&gt;C92)))</f>
        <v>0</v>
      </c>
      <c r="T92" s="0" t="n">
        <f>IF(OR(B92="",D92=""),0,SUMPRODUCT(--($B$13:$B$512&lt;&gt;""),--($D$13:$D$512=D92),--($E$13:$E$512&lt;&gt;E92)))</f>
        <v>0</v>
      </c>
      <c r="U92" s="0" t="n">
        <f>IF(B92="",0,IF(SUMPRODUCT(--('LÉEME'!$C$65:$C$86=E92))=0,1,0))</f>
        <v>0</v>
      </c>
      <c r="V92" s="0">
        <f>IF(B92="","",SUMIFS('PEGAR'!$AA$13:$AA$512,'PEGAR'!$O$13:$O$512,B92))</f>
      </c>
      <c r="W92" s="0">
        <f>IF(B92="","",IF(OR(L92=0,N92&gt;0,T92&gt;0,IF(ISNUMBER(H92),ROUND(ABS(H92),8)&gt;$F$6,FALSE)),2,IF(OR(M92=0,O92&gt;0,P92&gt;0,Q92&gt;0,R92&gt;0,S92&gt;0,U92&gt;0,V92&gt;0),1,0)))</f>
      </c>
      <c r="X92" s="0">
        <f>IF(B92="","",IF(ISNUMBER(G92),1,0))</f>
      </c>
      <c r="AB92" s="0">
        <f>IF(AND(ISNUMBER(W92),W92&gt;0),"ID "&amp;B92,"")</f>
      </c>
      <c r="AC92" s="0">
        <f>IF(AND(ISNUMBER(W92),W92&gt;0),C92,"")</f>
      </c>
      <c r="AD92" s="0">
        <f>IF(AND(ISNUMBER(W92),W92&gt;0),D92,"")</f>
      </c>
      <c r="AE92" s="0">
        <f>IF(AND(ISNUMBER(W92),W92&gt;0),IF(INDEX('PEGAR'!$D$13:$D$512,IF(L92&gt;0,L92,K92))="","Sin descripción",INDEX('PEGAR'!$D$13:$D$512,IF(L92&gt;0,L92,K92))),"")</f>
      </c>
      <c r="AF92" s="0">
        <f>IF(AND(ISNUMBER(W92),W92&gt;0),J92,"")</f>
      </c>
      <c r="AG92" s="0" t="n">
        <f>IF(AND(ISNUMBER(W92),W92&gt;0),W92,0)</f>
        <v>0</v>
      </c>
      <c r="AH92" s="0">
        <f>IF(AG92&gt;0,COUNTIFS($AG$13:AG92,"&gt;0"),"")</f>
      </c>
    </row>
    <row r="93" ht="22" customHeight="1">
      <c r="B93" s="27">
        <f>IF(K93="","",INDEX('PEGAR'!$O$13:$O$512,K93))</f>
      </c>
      <c r="C93" s="30">
        <f>IF(B93="","",IF(LEN(TRIM(INDEX('PEGAR'!$B$13:$B$512,IF(L93&gt;0,L93,K93))&amp;""))=0,"Sin capítulo",TRIM(INDEX('PEGAR'!$B$13:$B$512,IF(L93&gt;0,L93,K93))&amp;"")))</f>
      </c>
      <c r="D93" s="27">
        <f>IF(B93="","",IF(LEN(TRIM(INDEX('PEGAR'!$C$13:$C$512,IF(L93&gt;0,L93,K93))&amp;""))=0,"",TRIM(INDEX('PEGAR'!$C$13:$C$512,IF(L93&gt;0,L93,K93))&amp;"")))</f>
      </c>
      <c r="E93" s="27">
        <f>IF(B93="","",INDEX('PEGAR'!$S$13:$S$512,IF(L93&gt;0,L93,K93)))</f>
      </c>
      <c r="F93" s="39">
        <f>IF(B93="","",IF(L93&gt;0,INDEX('PEGAR'!$F$13:$F$512,L93),""))</f>
      </c>
      <c r="G93" s="39">
        <f>IF(B93="","",IF(OR(M93=0,N93&gt;0,O93&gt;0),"",SUMIFS('PEGAR'!$M$13:$M$512,'PEGAR'!$O$13:$O$512,B93)))</f>
      </c>
      <c r="H93" s="39">
        <f>IF(AND(ISNUMBER(F93),ISNUMBER(G93)),G93-F93,"")</f>
      </c>
      <c r="I93" s="27">
        <f>IF(B93="","",IF(W93=2,"ROJO",IF(W93=1,"ÁMBAR","VERDE")))</f>
      </c>
      <c r="J93" s="30">
        <f>IF(B93="","",IF(W93=0,"Sin avisos numéricos. Revisamos el alcance aparte.",IF(L93=0,"Faltan datos completos de partida; no elegimos un total por suposición."&amp;CHAR(10),"")&amp;IF(N93&gt;0,"Hay filas incompletas o contradictorias; las revisamos en PEGAR."&amp;CHAR(10),"")&amp;IF(O93&gt;0,"Faltan las medidas de alguna fila; no cerramos la suma."&amp;CHAR(10),"")&amp;IF(M93=0,"No constan líneas de medición."&amp;CHAR(10),"")&amp;IF(IF(ISNUMBER(H93),ROUND(ABS(H93),8)&gt;$F$6,FALSE),"Las líneas difieren del total en más de 0,01; confirmamos cantidad o exclusión."&amp;CHAR(10),"")&amp;IF(P93&gt;0,"Parece m³: encontramos tres dimensiones bajo m²."&amp;CHAR(10),"")&amp;IF(R93&gt;0,"Código repetido dentro del capítulo; mantenemos sus ID separados."&amp;CHAR(10),"")&amp;IF(S93&gt;0,"Código repetido en otro capítulo; no unimos las partidas."&amp;CHAR(10),"")&amp;IF(T93&gt;0,"Mismo código con unidades distintas; pedimos aclaración."&amp;CHAR(10),"")&amp;IF(Q93&gt;0,"Hay más precisión que los decimales indicados; cotejamos el formato original."&amp;CHAR(10),"")&amp;IF(U93&gt;0,"Unidad sin normalizar; cotejamos su significado antes de sumar unidades."&amp;CHAR(10),"")&amp;IF(V93&gt;0,"Revisamos dimensiones, cantidades directas, ceros o deducciones en PEGAR."&amp;CHAR(10),"")))</f>
      </c>
      <c r="K93" s="0">
        <f>IF(81&gt;'RESUMEN'!$E$6,"",MATCH(81,'PEGAR'!$W$13:$W$512,0))</f>
      </c>
      <c r="L93" s="0">
        <f>IF(K93="","",INDEX('PEGAR'!$R$13:$R$512,K93))</f>
      </c>
      <c r="M93" s="0">
        <f>IF(B93="","",COUNTIFS('PEGAR'!$O$13:$O$512,B93,'PEGAR'!$P$13:$P$512,"DIMENSIONES")+COUNTIFS('PEGAR'!$O$13:$O$512,B93,'PEGAR'!$P$13:$P$512,"DIRECTA"))</f>
      </c>
      <c r="N93" s="0">
        <f>IF(B93="","",COUNTIFS('PEGAR'!$O$13:$O$512,B93,'PEGAR'!$X$13:$X$512,2))</f>
      </c>
      <c r="O93" s="0">
        <f>IF(B93="","",COUNTIFS('PEGAR'!$O$13:$O$512,B93,'PEGAR'!$P$13:$P$512,"SIN LÍNEAS"))</f>
      </c>
      <c r="P93" s="0">
        <f>IF(B93="","",SUMIFS('PEGAR'!$Y$13:$Y$512,'PEGAR'!$O$13:$O$512,B93))</f>
      </c>
      <c r="Q93" s="0">
        <f>IF(B93="","",SUMIFS('PEGAR'!$Z$13:$Z$512,'PEGAR'!$O$13:$O$512,B93))</f>
      </c>
      <c r="R93" s="0" t="n">
        <f>IF(OR(B93="",D93=""),0,SUMPRODUCT(--($B$13:$B$512&lt;&gt;""),--($D$13:$D$512=D93),--($C$13:$C$512=C93))-1)</f>
        <v>0</v>
      </c>
      <c r="S93" s="0" t="n">
        <f>IF(OR(B93="",D93=""),0,SUMPRODUCT(--($B$13:$B$512&lt;&gt;""),--($D$13:$D$512=D93),--($C$13:$C$512&lt;&gt;C93)))</f>
        <v>0</v>
      </c>
      <c r="T93" s="0" t="n">
        <f>IF(OR(B93="",D93=""),0,SUMPRODUCT(--($B$13:$B$512&lt;&gt;""),--($D$13:$D$512=D93),--($E$13:$E$512&lt;&gt;E93)))</f>
        <v>0</v>
      </c>
      <c r="U93" s="0" t="n">
        <f>IF(B93="",0,IF(SUMPRODUCT(--('LÉEME'!$C$65:$C$86=E93))=0,1,0))</f>
        <v>0</v>
      </c>
      <c r="V93" s="0">
        <f>IF(B93="","",SUMIFS('PEGAR'!$AA$13:$AA$512,'PEGAR'!$O$13:$O$512,B93))</f>
      </c>
      <c r="W93" s="0">
        <f>IF(B93="","",IF(OR(L93=0,N93&gt;0,T93&gt;0,IF(ISNUMBER(H93),ROUND(ABS(H93),8)&gt;$F$6,FALSE)),2,IF(OR(M93=0,O93&gt;0,P93&gt;0,Q93&gt;0,R93&gt;0,S93&gt;0,U93&gt;0,V93&gt;0),1,0)))</f>
      </c>
      <c r="X93" s="0">
        <f>IF(B93="","",IF(ISNUMBER(G93),1,0))</f>
      </c>
      <c r="AB93" s="0">
        <f>IF(AND(ISNUMBER(W93),W93&gt;0),"ID "&amp;B93,"")</f>
      </c>
      <c r="AC93" s="0">
        <f>IF(AND(ISNUMBER(W93),W93&gt;0),C93,"")</f>
      </c>
      <c r="AD93" s="0">
        <f>IF(AND(ISNUMBER(W93),W93&gt;0),D93,"")</f>
      </c>
      <c r="AE93" s="0">
        <f>IF(AND(ISNUMBER(W93),W93&gt;0),IF(INDEX('PEGAR'!$D$13:$D$512,IF(L93&gt;0,L93,K93))="","Sin descripción",INDEX('PEGAR'!$D$13:$D$512,IF(L93&gt;0,L93,K93))),"")</f>
      </c>
      <c r="AF93" s="0">
        <f>IF(AND(ISNUMBER(W93),W93&gt;0),J93,"")</f>
      </c>
      <c r="AG93" s="0" t="n">
        <f>IF(AND(ISNUMBER(W93),W93&gt;0),W93,0)</f>
        <v>0</v>
      </c>
      <c r="AH93" s="0">
        <f>IF(AG93&gt;0,COUNTIFS($AG$13:AG93,"&gt;0"),"")</f>
      </c>
    </row>
    <row r="94" ht="22" customHeight="1">
      <c r="B94" s="27">
        <f>IF(K94="","",INDEX('PEGAR'!$O$13:$O$512,K94))</f>
      </c>
      <c r="C94" s="30">
        <f>IF(B94="","",IF(LEN(TRIM(INDEX('PEGAR'!$B$13:$B$512,IF(L94&gt;0,L94,K94))&amp;""))=0,"Sin capítulo",TRIM(INDEX('PEGAR'!$B$13:$B$512,IF(L94&gt;0,L94,K94))&amp;"")))</f>
      </c>
      <c r="D94" s="27">
        <f>IF(B94="","",IF(LEN(TRIM(INDEX('PEGAR'!$C$13:$C$512,IF(L94&gt;0,L94,K94))&amp;""))=0,"",TRIM(INDEX('PEGAR'!$C$13:$C$512,IF(L94&gt;0,L94,K94))&amp;"")))</f>
      </c>
      <c r="E94" s="27">
        <f>IF(B94="","",INDEX('PEGAR'!$S$13:$S$512,IF(L94&gt;0,L94,K94)))</f>
      </c>
      <c r="F94" s="39">
        <f>IF(B94="","",IF(L94&gt;0,INDEX('PEGAR'!$F$13:$F$512,L94),""))</f>
      </c>
      <c r="G94" s="39">
        <f>IF(B94="","",IF(OR(M94=0,N94&gt;0,O94&gt;0),"",SUMIFS('PEGAR'!$M$13:$M$512,'PEGAR'!$O$13:$O$512,B94)))</f>
      </c>
      <c r="H94" s="39">
        <f>IF(AND(ISNUMBER(F94),ISNUMBER(G94)),G94-F94,"")</f>
      </c>
      <c r="I94" s="27">
        <f>IF(B94="","",IF(W94=2,"ROJO",IF(W94=1,"ÁMBAR","VERDE")))</f>
      </c>
      <c r="J94" s="30">
        <f>IF(B94="","",IF(W94=0,"Sin avisos numéricos. Revisamos el alcance aparte.",IF(L94=0,"Faltan datos completos de partida; no elegimos un total por suposición."&amp;CHAR(10),"")&amp;IF(N94&gt;0,"Hay filas incompletas o contradictorias; las revisamos en PEGAR."&amp;CHAR(10),"")&amp;IF(O94&gt;0,"Faltan las medidas de alguna fila; no cerramos la suma."&amp;CHAR(10),"")&amp;IF(M94=0,"No constan líneas de medición."&amp;CHAR(10),"")&amp;IF(IF(ISNUMBER(H94),ROUND(ABS(H94),8)&gt;$F$6,FALSE),"Las líneas difieren del total en más de 0,01; confirmamos cantidad o exclusión."&amp;CHAR(10),"")&amp;IF(P94&gt;0,"Parece m³: encontramos tres dimensiones bajo m²."&amp;CHAR(10),"")&amp;IF(R94&gt;0,"Código repetido dentro del capítulo; mantenemos sus ID separados."&amp;CHAR(10),"")&amp;IF(S94&gt;0,"Código repetido en otro capítulo; no unimos las partidas."&amp;CHAR(10),"")&amp;IF(T94&gt;0,"Mismo código con unidades distintas; pedimos aclaración."&amp;CHAR(10),"")&amp;IF(Q94&gt;0,"Hay más precisión que los decimales indicados; cotejamos el formato original."&amp;CHAR(10),"")&amp;IF(U94&gt;0,"Unidad sin normalizar; cotejamos su significado antes de sumar unidades."&amp;CHAR(10),"")&amp;IF(V94&gt;0,"Revisamos dimensiones, cantidades directas, ceros o deducciones en PEGAR."&amp;CHAR(10),"")))</f>
      </c>
      <c r="K94" s="0">
        <f>IF(82&gt;'RESUMEN'!$E$6,"",MATCH(82,'PEGAR'!$W$13:$W$512,0))</f>
      </c>
      <c r="L94" s="0">
        <f>IF(K94="","",INDEX('PEGAR'!$R$13:$R$512,K94))</f>
      </c>
      <c r="M94" s="0">
        <f>IF(B94="","",COUNTIFS('PEGAR'!$O$13:$O$512,B94,'PEGAR'!$P$13:$P$512,"DIMENSIONES")+COUNTIFS('PEGAR'!$O$13:$O$512,B94,'PEGAR'!$P$13:$P$512,"DIRECTA"))</f>
      </c>
      <c r="N94" s="0">
        <f>IF(B94="","",COUNTIFS('PEGAR'!$O$13:$O$512,B94,'PEGAR'!$X$13:$X$512,2))</f>
      </c>
      <c r="O94" s="0">
        <f>IF(B94="","",COUNTIFS('PEGAR'!$O$13:$O$512,B94,'PEGAR'!$P$13:$P$512,"SIN LÍNEAS"))</f>
      </c>
      <c r="P94" s="0">
        <f>IF(B94="","",SUMIFS('PEGAR'!$Y$13:$Y$512,'PEGAR'!$O$13:$O$512,B94))</f>
      </c>
      <c r="Q94" s="0">
        <f>IF(B94="","",SUMIFS('PEGAR'!$Z$13:$Z$512,'PEGAR'!$O$13:$O$512,B94))</f>
      </c>
      <c r="R94" s="0" t="n">
        <f>IF(OR(B94="",D94=""),0,SUMPRODUCT(--($B$13:$B$512&lt;&gt;""),--($D$13:$D$512=D94),--($C$13:$C$512=C94))-1)</f>
        <v>0</v>
      </c>
      <c r="S94" s="0" t="n">
        <f>IF(OR(B94="",D94=""),0,SUMPRODUCT(--($B$13:$B$512&lt;&gt;""),--($D$13:$D$512=D94),--($C$13:$C$512&lt;&gt;C94)))</f>
        <v>0</v>
      </c>
      <c r="T94" s="0" t="n">
        <f>IF(OR(B94="",D94=""),0,SUMPRODUCT(--($B$13:$B$512&lt;&gt;""),--($D$13:$D$512=D94),--($E$13:$E$512&lt;&gt;E94)))</f>
        <v>0</v>
      </c>
      <c r="U94" s="0" t="n">
        <f>IF(B94="",0,IF(SUMPRODUCT(--('LÉEME'!$C$65:$C$86=E94))=0,1,0))</f>
        <v>0</v>
      </c>
      <c r="V94" s="0">
        <f>IF(B94="","",SUMIFS('PEGAR'!$AA$13:$AA$512,'PEGAR'!$O$13:$O$512,B94))</f>
      </c>
      <c r="W94" s="0">
        <f>IF(B94="","",IF(OR(L94=0,N94&gt;0,T94&gt;0,IF(ISNUMBER(H94),ROUND(ABS(H94),8)&gt;$F$6,FALSE)),2,IF(OR(M94=0,O94&gt;0,P94&gt;0,Q94&gt;0,R94&gt;0,S94&gt;0,U94&gt;0,V94&gt;0),1,0)))</f>
      </c>
      <c r="X94" s="0">
        <f>IF(B94="","",IF(ISNUMBER(G94),1,0))</f>
      </c>
      <c r="AB94" s="0">
        <f>IF(AND(ISNUMBER(W94),W94&gt;0),"ID "&amp;B94,"")</f>
      </c>
      <c r="AC94" s="0">
        <f>IF(AND(ISNUMBER(W94),W94&gt;0),C94,"")</f>
      </c>
      <c r="AD94" s="0">
        <f>IF(AND(ISNUMBER(W94),W94&gt;0),D94,"")</f>
      </c>
      <c r="AE94" s="0">
        <f>IF(AND(ISNUMBER(W94),W94&gt;0),IF(INDEX('PEGAR'!$D$13:$D$512,IF(L94&gt;0,L94,K94))="","Sin descripción",INDEX('PEGAR'!$D$13:$D$512,IF(L94&gt;0,L94,K94))),"")</f>
      </c>
      <c r="AF94" s="0">
        <f>IF(AND(ISNUMBER(W94),W94&gt;0),J94,"")</f>
      </c>
      <c r="AG94" s="0" t="n">
        <f>IF(AND(ISNUMBER(W94),W94&gt;0),W94,0)</f>
        <v>0</v>
      </c>
      <c r="AH94" s="0">
        <f>IF(AG94&gt;0,COUNTIFS($AG$13:AG94,"&gt;0"),"")</f>
      </c>
    </row>
    <row r="95" ht="22" customHeight="1">
      <c r="B95" s="27">
        <f>IF(K95="","",INDEX('PEGAR'!$O$13:$O$512,K95))</f>
      </c>
      <c r="C95" s="30">
        <f>IF(B95="","",IF(LEN(TRIM(INDEX('PEGAR'!$B$13:$B$512,IF(L95&gt;0,L95,K95))&amp;""))=0,"Sin capítulo",TRIM(INDEX('PEGAR'!$B$13:$B$512,IF(L95&gt;0,L95,K95))&amp;"")))</f>
      </c>
      <c r="D95" s="27">
        <f>IF(B95="","",IF(LEN(TRIM(INDEX('PEGAR'!$C$13:$C$512,IF(L95&gt;0,L95,K95))&amp;""))=0,"",TRIM(INDEX('PEGAR'!$C$13:$C$512,IF(L95&gt;0,L95,K95))&amp;"")))</f>
      </c>
      <c r="E95" s="27">
        <f>IF(B95="","",INDEX('PEGAR'!$S$13:$S$512,IF(L95&gt;0,L95,K95)))</f>
      </c>
      <c r="F95" s="39">
        <f>IF(B95="","",IF(L95&gt;0,INDEX('PEGAR'!$F$13:$F$512,L95),""))</f>
      </c>
      <c r="G95" s="39">
        <f>IF(B95="","",IF(OR(M95=0,N95&gt;0,O95&gt;0),"",SUMIFS('PEGAR'!$M$13:$M$512,'PEGAR'!$O$13:$O$512,B95)))</f>
      </c>
      <c r="H95" s="39">
        <f>IF(AND(ISNUMBER(F95),ISNUMBER(G95)),G95-F95,"")</f>
      </c>
      <c r="I95" s="27">
        <f>IF(B95="","",IF(W95=2,"ROJO",IF(W95=1,"ÁMBAR","VERDE")))</f>
      </c>
      <c r="J95" s="30">
        <f>IF(B95="","",IF(W95=0,"Sin avisos numéricos. Revisamos el alcance aparte.",IF(L95=0,"Faltan datos completos de partida; no elegimos un total por suposición."&amp;CHAR(10),"")&amp;IF(N95&gt;0,"Hay filas incompletas o contradictorias; las revisamos en PEGAR."&amp;CHAR(10),"")&amp;IF(O95&gt;0,"Faltan las medidas de alguna fila; no cerramos la suma."&amp;CHAR(10),"")&amp;IF(M95=0,"No constan líneas de medición."&amp;CHAR(10),"")&amp;IF(IF(ISNUMBER(H95),ROUND(ABS(H95),8)&gt;$F$6,FALSE),"Las líneas difieren del total en más de 0,01; confirmamos cantidad o exclusión."&amp;CHAR(10),"")&amp;IF(P95&gt;0,"Parece m³: encontramos tres dimensiones bajo m²."&amp;CHAR(10),"")&amp;IF(R95&gt;0,"Código repetido dentro del capítulo; mantenemos sus ID separados."&amp;CHAR(10),"")&amp;IF(S95&gt;0,"Código repetido en otro capítulo; no unimos las partidas."&amp;CHAR(10),"")&amp;IF(T95&gt;0,"Mismo código con unidades distintas; pedimos aclaración."&amp;CHAR(10),"")&amp;IF(Q95&gt;0,"Hay más precisión que los decimales indicados; cotejamos el formato original."&amp;CHAR(10),"")&amp;IF(U95&gt;0,"Unidad sin normalizar; cotejamos su significado antes de sumar unidades."&amp;CHAR(10),"")&amp;IF(V95&gt;0,"Revisamos dimensiones, cantidades directas, ceros o deducciones en PEGAR."&amp;CHAR(10),"")))</f>
      </c>
      <c r="K95" s="0">
        <f>IF(83&gt;'RESUMEN'!$E$6,"",MATCH(83,'PEGAR'!$W$13:$W$512,0))</f>
      </c>
      <c r="L95" s="0">
        <f>IF(K95="","",INDEX('PEGAR'!$R$13:$R$512,K95))</f>
      </c>
      <c r="M95" s="0">
        <f>IF(B95="","",COUNTIFS('PEGAR'!$O$13:$O$512,B95,'PEGAR'!$P$13:$P$512,"DIMENSIONES")+COUNTIFS('PEGAR'!$O$13:$O$512,B95,'PEGAR'!$P$13:$P$512,"DIRECTA"))</f>
      </c>
      <c r="N95" s="0">
        <f>IF(B95="","",COUNTIFS('PEGAR'!$O$13:$O$512,B95,'PEGAR'!$X$13:$X$512,2))</f>
      </c>
      <c r="O95" s="0">
        <f>IF(B95="","",COUNTIFS('PEGAR'!$O$13:$O$512,B95,'PEGAR'!$P$13:$P$512,"SIN LÍNEAS"))</f>
      </c>
      <c r="P95" s="0">
        <f>IF(B95="","",SUMIFS('PEGAR'!$Y$13:$Y$512,'PEGAR'!$O$13:$O$512,B95))</f>
      </c>
      <c r="Q95" s="0">
        <f>IF(B95="","",SUMIFS('PEGAR'!$Z$13:$Z$512,'PEGAR'!$O$13:$O$512,B95))</f>
      </c>
      <c r="R95" s="0" t="n">
        <f>IF(OR(B95="",D95=""),0,SUMPRODUCT(--($B$13:$B$512&lt;&gt;""),--($D$13:$D$512=D95),--($C$13:$C$512=C95))-1)</f>
        <v>0</v>
      </c>
      <c r="S95" s="0" t="n">
        <f>IF(OR(B95="",D95=""),0,SUMPRODUCT(--($B$13:$B$512&lt;&gt;""),--($D$13:$D$512=D95),--($C$13:$C$512&lt;&gt;C95)))</f>
        <v>0</v>
      </c>
      <c r="T95" s="0" t="n">
        <f>IF(OR(B95="",D95=""),0,SUMPRODUCT(--($B$13:$B$512&lt;&gt;""),--($D$13:$D$512=D95),--($E$13:$E$512&lt;&gt;E95)))</f>
        <v>0</v>
      </c>
      <c r="U95" s="0" t="n">
        <f>IF(B95="",0,IF(SUMPRODUCT(--('LÉEME'!$C$65:$C$86=E95))=0,1,0))</f>
        <v>0</v>
      </c>
      <c r="V95" s="0">
        <f>IF(B95="","",SUMIFS('PEGAR'!$AA$13:$AA$512,'PEGAR'!$O$13:$O$512,B95))</f>
      </c>
      <c r="W95" s="0">
        <f>IF(B95="","",IF(OR(L95=0,N95&gt;0,T95&gt;0,IF(ISNUMBER(H95),ROUND(ABS(H95),8)&gt;$F$6,FALSE)),2,IF(OR(M95=0,O95&gt;0,P95&gt;0,Q95&gt;0,R95&gt;0,S95&gt;0,U95&gt;0,V95&gt;0),1,0)))</f>
      </c>
      <c r="X95" s="0">
        <f>IF(B95="","",IF(ISNUMBER(G95),1,0))</f>
      </c>
      <c r="AB95" s="0">
        <f>IF(AND(ISNUMBER(W95),W95&gt;0),"ID "&amp;B95,"")</f>
      </c>
      <c r="AC95" s="0">
        <f>IF(AND(ISNUMBER(W95),W95&gt;0),C95,"")</f>
      </c>
      <c r="AD95" s="0">
        <f>IF(AND(ISNUMBER(W95),W95&gt;0),D95,"")</f>
      </c>
      <c r="AE95" s="0">
        <f>IF(AND(ISNUMBER(W95),W95&gt;0),IF(INDEX('PEGAR'!$D$13:$D$512,IF(L95&gt;0,L95,K95))="","Sin descripción",INDEX('PEGAR'!$D$13:$D$512,IF(L95&gt;0,L95,K95))),"")</f>
      </c>
      <c r="AF95" s="0">
        <f>IF(AND(ISNUMBER(W95),W95&gt;0),J95,"")</f>
      </c>
      <c r="AG95" s="0" t="n">
        <f>IF(AND(ISNUMBER(W95),W95&gt;0),W95,0)</f>
        <v>0</v>
      </c>
      <c r="AH95" s="0">
        <f>IF(AG95&gt;0,COUNTIFS($AG$13:AG95,"&gt;0"),"")</f>
      </c>
    </row>
    <row r="96" ht="22" customHeight="1">
      <c r="B96" s="27">
        <f>IF(K96="","",INDEX('PEGAR'!$O$13:$O$512,K96))</f>
      </c>
      <c r="C96" s="30">
        <f>IF(B96="","",IF(LEN(TRIM(INDEX('PEGAR'!$B$13:$B$512,IF(L96&gt;0,L96,K96))&amp;""))=0,"Sin capítulo",TRIM(INDEX('PEGAR'!$B$13:$B$512,IF(L96&gt;0,L96,K96))&amp;"")))</f>
      </c>
      <c r="D96" s="27">
        <f>IF(B96="","",IF(LEN(TRIM(INDEX('PEGAR'!$C$13:$C$512,IF(L96&gt;0,L96,K96))&amp;""))=0,"",TRIM(INDEX('PEGAR'!$C$13:$C$512,IF(L96&gt;0,L96,K96))&amp;"")))</f>
      </c>
      <c r="E96" s="27">
        <f>IF(B96="","",INDEX('PEGAR'!$S$13:$S$512,IF(L96&gt;0,L96,K96)))</f>
      </c>
      <c r="F96" s="39">
        <f>IF(B96="","",IF(L96&gt;0,INDEX('PEGAR'!$F$13:$F$512,L96),""))</f>
      </c>
      <c r="G96" s="39">
        <f>IF(B96="","",IF(OR(M96=0,N96&gt;0,O96&gt;0),"",SUMIFS('PEGAR'!$M$13:$M$512,'PEGAR'!$O$13:$O$512,B96)))</f>
      </c>
      <c r="H96" s="39">
        <f>IF(AND(ISNUMBER(F96),ISNUMBER(G96)),G96-F96,"")</f>
      </c>
      <c r="I96" s="27">
        <f>IF(B96="","",IF(W96=2,"ROJO",IF(W96=1,"ÁMBAR","VERDE")))</f>
      </c>
      <c r="J96" s="30">
        <f>IF(B96="","",IF(W96=0,"Sin avisos numéricos. Revisamos el alcance aparte.",IF(L96=0,"Faltan datos completos de partida; no elegimos un total por suposición."&amp;CHAR(10),"")&amp;IF(N96&gt;0,"Hay filas incompletas o contradictorias; las revisamos en PEGAR."&amp;CHAR(10),"")&amp;IF(O96&gt;0,"Faltan las medidas de alguna fila; no cerramos la suma."&amp;CHAR(10),"")&amp;IF(M96=0,"No constan líneas de medición."&amp;CHAR(10),"")&amp;IF(IF(ISNUMBER(H96),ROUND(ABS(H96),8)&gt;$F$6,FALSE),"Las líneas difieren del total en más de 0,01; confirmamos cantidad o exclusión."&amp;CHAR(10),"")&amp;IF(P96&gt;0,"Parece m³: encontramos tres dimensiones bajo m²."&amp;CHAR(10),"")&amp;IF(R96&gt;0,"Código repetido dentro del capítulo; mantenemos sus ID separados."&amp;CHAR(10),"")&amp;IF(S96&gt;0,"Código repetido en otro capítulo; no unimos las partidas."&amp;CHAR(10),"")&amp;IF(T96&gt;0,"Mismo código con unidades distintas; pedimos aclaración."&amp;CHAR(10),"")&amp;IF(Q96&gt;0,"Hay más precisión que los decimales indicados; cotejamos el formato original."&amp;CHAR(10),"")&amp;IF(U96&gt;0,"Unidad sin normalizar; cotejamos su significado antes de sumar unidades."&amp;CHAR(10),"")&amp;IF(V96&gt;0,"Revisamos dimensiones, cantidades directas, ceros o deducciones en PEGAR."&amp;CHAR(10),"")))</f>
      </c>
      <c r="K96" s="0">
        <f>IF(84&gt;'RESUMEN'!$E$6,"",MATCH(84,'PEGAR'!$W$13:$W$512,0))</f>
      </c>
      <c r="L96" s="0">
        <f>IF(K96="","",INDEX('PEGAR'!$R$13:$R$512,K96))</f>
      </c>
      <c r="M96" s="0">
        <f>IF(B96="","",COUNTIFS('PEGAR'!$O$13:$O$512,B96,'PEGAR'!$P$13:$P$512,"DIMENSIONES")+COUNTIFS('PEGAR'!$O$13:$O$512,B96,'PEGAR'!$P$13:$P$512,"DIRECTA"))</f>
      </c>
      <c r="N96" s="0">
        <f>IF(B96="","",COUNTIFS('PEGAR'!$O$13:$O$512,B96,'PEGAR'!$X$13:$X$512,2))</f>
      </c>
      <c r="O96" s="0">
        <f>IF(B96="","",COUNTIFS('PEGAR'!$O$13:$O$512,B96,'PEGAR'!$P$13:$P$512,"SIN LÍNEAS"))</f>
      </c>
      <c r="P96" s="0">
        <f>IF(B96="","",SUMIFS('PEGAR'!$Y$13:$Y$512,'PEGAR'!$O$13:$O$512,B96))</f>
      </c>
      <c r="Q96" s="0">
        <f>IF(B96="","",SUMIFS('PEGAR'!$Z$13:$Z$512,'PEGAR'!$O$13:$O$512,B96))</f>
      </c>
      <c r="R96" s="0" t="n">
        <f>IF(OR(B96="",D96=""),0,SUMPRODUCT(--($B$13:$B$512&lt;&gt;""),--($D$13:$D$512=D96),--($C$13:$C$512=C96))-1)</f>
        <v>0</v>
      </c>
      <c r="S96" s="0" t="n">
        <f>IF(OR(B96="",D96=""),0,SUMPRODUCT(--($B$13:$B$512&lt;&gt;""),--($D$13:$D$512=D96),--($C$13:$C$512&lt;&gt;C96)))</f>
        <v>0</v>
      </c>
      <c r="T96" s="0" t="n">
        <f>IF(OR(B96="",D96=""),0,SUMPRODUCT(--($B$13:$B$512&lt;&gt;""),--($D$13:$D$512=D96),--($E$13:$E$512&lt;&gt;E96)))</f>
        <v>0</v>
      </c>
      <c r="U96" s="0" t="n">
        <f>IF(B96="",0,IF(SUMPRODUCT(--('LÉEME'!$C$65:$C$86=E96))=0,1,0))</f>
        <v>0</v>
      </c>
      <c r="V96" s="0">
        <f>IF(B96="","",SUMIFS('PEGAR'!$AA$13:$AA$512,'PEGAR'!$O$13:$O$512,B96))</f>
      </c>
      <c r="W96" s="0">
        <f>IF(B96="","",IF(OR(L96=0,N96&gt;0,T96&gt;0,IF(ISNUMBER(H96),ROUND(ABS(H96),8)&gt;$F$6,FALSE)),2,IF(OR(M96=0,O96&gt;0,P96&gt;0,Q96&gt;0,R96&gt;0,S96&gt;0,U96&gt;0,V96&gt;0),1,0)))</f>
      </c>
      <c r="X96" s="0">
        <f>IF(B96="","",IF(ISNUMBER(G96),1,0))</f>
      </c>
      <c r="AB96" s="0">
        <f>IF(AND(ISNUMBER(W96),W96&gt;0),"ID "&amp;B96,"")</f>
      </c>
      <c r="AC96" s="0">
        <f>IF(AND(ISNUMBER(W96),W96&gt;0),C96,"")</f>
      </c>
      <c r="AD96" s="0">
        <f>IF(AND(ISNUMBER(W96),W96&gt;0),D96,"")</f>
      </c>
      <c r="AE96" s="0">
        <f>IF(AND(ISNUMBER(W96),W96&gt;0),IF(INDEX('PEGAR'!$D$13:$D$512,IF(L96&gt;0,L96,K96))="","Sin descripción",INDEX('PEGAR'!$D$13:$D$512,IF(L96&gt;0,L96,K96))),"")</f>
      </c>
      <c r="AF96" s="0">
        <f>IF(AND(ISNUMBER(W96),W96&gt;0),J96,"")</f>
      </c>
      <c r="AG96" s="0" t="n">
        <f>IF(AND(ISNUMBER(W96),W96&gt;0),W96,0)</f>
        <v>0</v>
      </c>
      <c r="AH96" s="0">
        <f>IF(AG96&gt;0,COUNTIFS($AG$13:AG96,"&gt;0"),"")</f>
      </c>
    </row>
    <row r="97" ht="22" customHeight="1">
      <c r="B97" s="27">
        <f>IF(K97="","",INDEX('PEGAR'!$O$13:$O$512,K97))</f>
      </c>
      <c r="C97" s="30">
        <f>IF(B97="","",IF(LEN(TRIM(INDEX('PEGAR'!$B$13:$B$512,IF(L97&gt;0,L97,K97))&amp;""))=0,"Sin capítulo",TRIM(INDEX('PEGAR'!$B$13:$B$512,IF(L97&gt;0,L97,K97))&amp;"")))</f>
      </c>
      <c r="D97" s="27">
        <f>IF(B97="","",IF(LEN(TRIM(INDEX('PEGAR'!$C$13:$C$512,IF(L97&gt;0,L97,K97))&amp;""))=0,"",TRIM(INDEX('PEGAR'!$C$13:$C$512,IF(L97&gt;0,L97,K97))&amp;"")))</f>
      </c>
      <c r="E97" s="27">
        <f>IF(B97="","",INDEX('PEGAR'!$S$13:$S$512,IF(L97&gt;0,L97,K97)))</f>
      </c>
      <c r="F97" s="39">
        <f>IF(B97="","",IF(L97&gt;0,INDEX('PEGAR'!$F$13:$F$512,L97),""))</f>
      </c>
      <c r="G97" s="39">
        <f>IF(B97="","",IF(OR(M97=0,N97&gt;0,O97&gt;0),"",SUMIFS('PEGAR'!$M$13:$M$512,'PEGAR'!$O$13:$O$512,B97)))</f>
      </c>
      <c r="H97" s="39">
        <f>IF(AND(ISNUMBER(F97),ISNUMBER(G97)),G97-F97,"")</f>
      </c>
      <c r="I97" s="27">
        <f>IF(B97="","",IF(W97=2,"ROJO",IF(W97=1,"ÁMBAR","VERDE")))</f>
      </c>
      <c r="J97" s="30">
        <f>IF(B97="","",IF(W97=0,"Sin avisos numéricos. Revisamos el alcance aparte.",IF(L97=0,"Faltan datos completos de partida; no elegimos un total por suposición."&amp;CHAR(10),"")&amp;IF(N97&gt;0,"Hay filas incompletas o contradictorias; las revisamos en PEGAR."&amp;CHAR(10),"")&amp;IF(O97&gt;0,"Faltan las medidas de alguna fila; no cerramos la suma."&amp;CHAR(10),"")&amp;IF(M97=0,"No constan líneas de medición."&amp;CHAR(10),"")&amp;IF(IF(ISNUMBER(H97),ROUND(ABS(H97),8)&gt;$F$6,FALSE),"Las líneas difieren del total en más de 0,01; confirmamos cantidad o exclusión."&amp;CHAR(10),"")&amp;IF(P97&gt;0,"Parece m³: encontramos tres dimensiones bajo m²."&amp;CHAR(10),"")&amp;IF(R97&gt;0,"Código repetido dentro del capítulo; mantenemos sus ID separados."&amp;CHAR(10),"")&amp;IF(S97&gt;0,"Código repetido en otro capítulo; no unimos las partidas."&amp;CHAR(10),"")&amp;IF(T97&gt;0,"Mismo código con unidades distintas; pedimos aclaración."&amp;CHAR(10),"")&amp;IF(Q97&gt;0,"Hay más precisión que los decimales indicados; cotejamos el formato original."&amp;CHAR(10),"")&amp;IF(U97&gt;0,"Unidad sin normalizar; cotejamos su significado antes de sumar unidades."&amp;CHAR(10),"")&amp;IF(V97&gt;0,"Revisamos dimensiones, cantidades directas, ceros o deducciones en PEGAR."&amp;CHAR(10),"")))</f>
      </c>
      <c r="K97" s="0">
        <f>IF(85&gt;'RESUMEN'!$E$6,"",MATCH(85,'PEGAR'!$W$13:$W$512,0))</f>
      </c>
      <c r="L97" s="0">
        <f>IF(K97="","",INDEX('PEGAR'!$R$13:$R$512,K97))</f>
      </c>
      <c r="M97" s="0">
        <f>IF(B97="","",COUNTIFS('PEGAR'!$O$13:$O$512,B97,'PEGAR'!$P$13:$P$512,"DIMENSIONES")+COUNTIFS('PEGAR'!$O$13:$O$512,B97,'PEGAR'!$P$13:$P$512,"DIRECTA"))</f>
      </c>
      <c r="N97" s="0">
        <f>IF(B97="","",COUNTIFS('PEGAR'!$O$13:$O$512,B97,'PEGAR'!$X$13:$X$512,2))</f>
      </c>
      <c r="O97" s="0">
        <f>IF(B97="","",COUNTIFS('PEGAR'!$O$13:$O$512,B97,'PEGAR'!$P$13:$P$512,"SIN LÍNEAS"))</f>
      </c>
      <c r="P97" s="0">
        <f>IF(B97="","",SUMIFS('PEGAR'!$Y$13:$Y$512,'PEGAR'!$O$13:$O$512,B97))</f>
      </c>
      <c r="Q97" s="0">
        <f>IF(B97="","",SUMIFS('PEGAR'!$Z$13:$Z$512,'PEGAR'!$O$13:$O$512,B97))</f>
      </c>
      <c r="R97" s="0" t="n">
        <f>IF(OR(B97="",D97=""),0,SUMPRODUCT(--($B$13:$B$512&lt;&gt;""),--($D$13:$D$512=D97),--($C$13:$C$512=C97))-1)</f>
        <v>0</v>
      </c>
      <c r="S97" s="0" t="n">
        <f>IF(OR(B97="",D97=""),0,SUMPRODUCT(--($B$13:$B$512&lt;&gt;""),--($D$13:$D$512=D97),--($C$13:$C$512&lt;&gt;C97)))</f>
        <v>0</v>
      </c>
      <c r="T97" s="0" t="n">
        <f>IF(OR(B97="",D97=""),0,SUMPRODUCT(--($B$13:$B$512&lt;&gt;""),--($D$13:$D$512=D97),--($E$13:$E$512&lt;&gt;E97)))</f>
        <v>0</v>
      </c>
      <c r="U97" s="0" t="n">
        <f>IF(B97="",0,IF(SUMPRODUCT(--('LÉEME'!$C$65:$C$86=E97))=0,1,0))</f>
        <v>0</v>
      </c>
      <c r="V97" s="0">
        <f>IF(B97="","",SUMIFS('PEGAR'!$AA$13:$AA$512,'PEGAR'!$O$13:$O$512,B97))</f>
      </c>
      <c r="W97" s="0">
        <f>IF(B97="","",IF(OR(L97=0,N97&gt;0,T97&gt;0,IF(ISNUMBER(H97),ROUND(ABS(H97),8)&gt;$F$6,FALSE)),2,IF(OR(M97=0,O97&gt;0,P97&gt;0,Q97&gt;0,R97&gt;0,S97&gt;0,U97&gt;0,V97&gt;0),1,0)))</f>
      </c>
      <c r="X97" s="0">
        <f>IF(B97="","",IF(ISNUMBER(G97),1,0))</f>
      </c>
      <c r="AB97" s="0">
        <f>IF(AND(ISNUMBER(W97),W97&gt;0),"ID "&amp;B97,"")</f>
      </c>
      <c r="AC97" s="0">
        <f>IF(AND(ISNUMBER(W97),W97&gt;0),C97,"")</f>
      </c>
      <c r="AD97" s="0">
        <f>IF(AND(ISNUMBER(W97),W97&gt;0),D97,"")</f>
      </c>
      <c r="AE97" s="0">
        <f>IF(AND(ISNUMBER(W97),W97&gt;0),IF(INDEX('PEGAR'!$D$13:$D$512,IF(L97&gt;0,L97,K97))="","Sin descripción",INDEX('PEGAR'!$D$13:$D$512,IF(L97&gt;0,L97,K97))),"")</f>
      </c>
      <c r="AF97" s="0">
        <f>IF(AND(ISNUMBER(W97),W97&gt;0),J97,"")</f>
      </c>
      <c r="AG97" s="0" t="n">
        <f>IF(AND(ISNUMBER(W97),W97&gt;0),W97,0)</f>
        <v>0</v>
      </c>
      <c r="AH97" s="0">
        <f>IF(AG97&gt;0,COUNTIFS($AG$13:AG97,"&gt;0"),"")</f>
      </c>
    </row>
    <row r="98" ht="22" customHeight="1">
      <c r="B98" s="27">
        <f>IF(K98="","",INDEX('PEGAR'!$O$13:$O$512,K98))</f>
      </c>
      <c r="C98" s="30">
        <f>IF(B98="","",IF(LEN(TRIM(INDEX('PEGAR'!$B$13:$B$512,IF(L98&gt;0,L98,K98))&amp;""))=0,"Sin capítulo",TRIM(INDEX('PEGAR'!$B$13:$B$512,IF(L98&gt;0,L98,K98))&amp;"")))</f>
      </c>
      <c r="D98" s="27">
        <f>IF(B98="","",IF(LEN(TRIM(INDEX('PEGAR'!$C$13:$C$512,IF(L98&gt;0,L98,K98))&amp;""))=0,"",TRIM(INDEX('PEGAR'!$C$13:$C$512,IF(L98&gt;0,L98,K98))&amp;"")))</f>
      </c>
      <c r="E98" s="27">
        <f>IF(B98="","",INDEX('PEGAR'!$S$13:$S$512,IF(L98&gt;0,L98,K98)))</f>
      </c>
      <c r="F98" s="39">
        <f>IF(B98="","",IF(L98&gt;0,INDEX('PEGAR'!$F$13:$F$512,L98),""))</f>
      </c>
      <c r="G98" s="39">
        <f>IF(B98="","",IF(OR(M98=0,N98&gt;0,O98&gt;0),"",SUMIFS('PEGAR'!$M$13:$M$512,'PEGAR'!$O$13:$O$512,B98)))</f>
      </c>
      <c r="H98" s="39">
        <f>IF(AND(ISNUMBER(F98),ISNUMBER(G98)),G98-F98,"")</f>
      </c>
      <c r="I98" s="27">
        <f>IF(B98="","",IF(W98=2,"ROJO",IF(W98=1,"ÁMBAR","VERDE")))</f>
      </c>
      <c r="J98" s="30">
        <f>IF(B98="","",IF(W98=0,"Sin avisos numéricos. Revisamos el alcance aparte.",IF(L98=0,"Faltan datos completos de partida; no elegimos un total por suposición."&amp;CHAR(10),"")&amp;IF(N98&gt;0,"Hay filas incompletas o contradictorias; las revisamos en PEGAR."&amp;CHAR(10),"")&amp;IF(O98&gt;0,"Faltan las medidas de alguna fila; no cerramos la suma."&amp;CHAR(10),"")&amp;IF(M98=0,"No constan líneas de medición."&amp;CHAR(10),"")&amp;IF(IF(ISNUMBER(H98),ROUND(ABS(H98),8)&gt;$F$6,FALSE),"Las líneas difieren del total en más de 0,01; confirmamos cantidad o exclusión."&amp;CHAR(10),"")&amp;IF(P98&gt;0,"Parece m³: encontramos tres dimensiones bajo m²."&amp;CHAR(10),"")&amp;IF(R98&gt;0,"Código repetido dentro del capítulo; mantenemos sus ID separados."&amp;CHAR(10),"")&amp;IF(S98&gt;0,"Código repetido en otro capítulo; no unimos las partidas."&amp;CHAR(10),"")&amp;IF(T98&gt;0,"Mismo código con unidades distintas; pedimos aclaración."&amp;CHAR(10),"")&amp;IF(Q98&gt;0,"Hay más precisión que los decimales indicados; cotejamos el formato original."&amp;CHAR(10),"")&amp;IF(U98&gt;0,"Unidad sin normalizar; cotejamos su significado antes de sumar unidades."&amp;CHAR(10),"")&amp;IF(V98&gt;0,"Revisamos dimensiones, cantidades directas, ceros o deducciones en PEGAR."&amp;CHAR(10),"")))</f>
      </c>
      <c r="K98" s="0">
        <f>IF(86&gt;'RESUMEN'!$E$6,"",MATCH(86,'PEGAR'!$W$13:$W$512,0))</f>
      </c>
      <c r="L98" s="0">
        <f>IF(K98="","",INDEX('PEGAR'!$R$13:$R$512,K98))</f>
      </c>
      <c r="M98" s="0">
        <f>IF(B98="","",COUNTIFS('PEGAR'!$O$13:$O$512,B98,'PEGAR'!$P$13:$P$512,"DIMENSIONES")+COUNTIFS('PEGAR'!$O$13:$O$512,B98,'PEGAR'!$P$13:$P$512,"DIRECTA"))</f>
      </c>
      <c r="N98" s="0">
        <f>IF(B98="","",COUNTIFS('PEGAR'!$O$13:$O$512,B98,'PEGAR'!$X$13:$X$512,2))</f>
      </c>
      <c r="O98" s="0">
        <f>IF(B98="","",COUNTIFS('PEGAR'!$O$13:$O$512,B98,'PEGAR'!$P$13:$P$512,"SIN LÍNEAS"))</f>
      </c>
      <c r="P98" s="0">
        <f>IF(B98="","",SUMIFS('PEGAR'!$Y$13:$Y$512,'PEGAR'!$O$13:$O$512,B98))</f>
      </c>
      <c r="Q98" s="0">
        <f>IF(B98="","",SUMIFS('PEGAR'!$Z$13:$Z$512,'PEGAR'!$O$13:$O$512,B98))</f>
      </c>
      <c r="R98" s="0" t="n">
        <f>IF(OR(B98="",D98=""),0,SUMPRODUCT(--($B$13:$B$512&lt;&gt;""),--($D$13:$D$512=D98),--($C$13:$C$512=C98))-1)</f>
        <v>0</v>
      </c>
      <c r="S98" s="0" t="n">
        <f>IF(OR(B98="",D98=""),0,SUMPRODUCT(--($B$13:$B$512&lt;&gt;""),--($D$13:$D$512=D98),--($C$13:$C$512&lt;&gt;C98)))</f>
        <v>0</v>
      </c>
      <c r="T98" s="0" t="n">
        <f>IF(OR(B98="",D98=""),0,SUMPRODUCT(--($B$13:$B$512&lt;&gt;""),--($D$13:$D$512=D98),--($E$13:$E$512&lt;&gt;E98)))</f>
        <v>0</v>
      </c>
      <c r="U98" s="0" t="n">
        <f>IF(B98="",0,IF(SUMPRODUCT(--('LÉEME'!$C$65:$C$86=E98))=0,1,0))</f>
        <v>0</v>
      </c>
      <c r="V98" s="0">
        <f>IF(B98="","",SUMIFS('PEGAR'!$AA$13:$AA$512,'PEGAR'!$O$13:$O$512,B98))</f>
      </c>
      <c r="W98" s="0">
        <f>IF(B98="","",IF(OR(L98=0,N98&gt;0,T98&gt;0,IF(ISNUMBER(H98),ROUND(ABS(H98),8)&gt;$F$6,FALSE)),2,IF(OR(M98=0,O98&gt;0,P98&gt;0,Q98&gt;0,R98&gt;0,S98&gt;0,U98&gt;0,V98&gt;0),1,0)))</f>
      </c>
      <c r="X98" s="0">
        <f>IF(B98="","",IF(ISNUMBER(G98),1,0))</f>
      </c>
      <c r="AB98" s="0">
        <f>IF(AND(ISNUMBER(W98),W98&gt;0),"ID "&amp;B98,"")</f>
      </c>
      <c r="AC98" s="0">
        <f>IF(AND(ISNUMBER(W98),W98&gt;0),C98,"")</f>
      </c>
      <c r="AD98" s="0">
        <f>IF(AND(ISNUMBER(W98),W98&gt;0),D98,"")</f>
      </c>
      <c r="AE98" s="0">
        <f>IF(AND(ISNUMBER(W98),W98&gt;0),IF(INDEX('PEGAR'!$D$13:$D$512,IF(L98&gt;0,L98,K98))="","Sin descripción",INDEX('PEGAR'!$D$13:$D$512,IF(L98&gt;0,L98,K98))),"")</f>
      </c>
      <c r="AF98" s="0">
        <f>IF(AND(ISNUMBER(W98),W98&gt;0),J98,"")</f>
      </c>
      <c r="AG98" s="0" t="n">
        <f>IF(AND(ISNUMBER(W98),W98&gt;0),W98,0)</f>
        <v>0</v>
      </c>
      <c r="AH98" s="0">
        <f>IF(AG98&gt;0,COUNTIFS($AG$13:AG98,"&gt;0"),"")</f>
      </c>
    </row>
    <row r="99" ht="22" customHeight="1">
      <c r="B99" s="27">
        <f>IF(K99="","",INDEX('PEGAR'!$O$13:$O$512,K99))</f>
      </c>
      <c r="C99" s="30">
        <f>IF(B99="","",IF(LEN(TRIM(INDEX('PEGAR'!$B$13:$B$512,IF(L99&gt;0,L99,K99))&amp;""))=0,"Sin capítulo",TRIM(INDEX('PEGAR'!$B$13:$B$512,IF(L99&gt;0,L99,K99))&amp;"")))</f>
      </c>
      <c r="D99" s="27">
        <f>IF(B99="","",IF(LEN(TRIM(INDEX('PEGAR'!$C$13:$C$512,IF(L99&gt;0,L99,K99))&amp;""))=0,"",TRIM(INDEX('PEGAR'!$C$13:$C$512,IF(L99&gt;0,L99,K99))&amp;"")))</f>
      </c>
      <c r="E99" s="27">
        <f>IF(B99="","",INDEX('PEGAR'!$S$13:$S$512,IF(L99&gt;0,L99,K99)))</f>
      </c>
      <c r="F99" s="39">
        <f>IF(B99="","",IF(L99&gt;0,INDEX('PEGAR'!$F$13:$F$512,L99),""))</f>
      </c>
      <c r="G99" s="39">
        <f>IF(B99="","",IF(OR(M99=0,N99&gt;0,O99&gt;0),"",SUMIFS('PEGAR'!$M$13:$M$512,'PEGAR'!$O$13:$O$512,B99)))</f>
      </c>
      <c r="H99" s="39">
        <f>IF(AND(ISNUMBER(F99),ISNUMBER(G99)),G99-F99,"")</f>
      </c>
      <c r="I99" s="27">
        <f>IF(B99="","",IF(W99=2,"ROJO",IF(W99=1,"ÁMBAR","VERDE")))</f>
      </c>
      <c r="J99" s="30">
        <f>IF(B99="","",IF(W99=0,"Sin avisos numéricos. Revisamos el alcance aparte.",IF(L99=0,"Faltan datos completos de partida; no elegimos un total por suposición."&amp;CHAR(10),"")&amp;IF(N99&gt;0,"Hay filas incompletas o contradictorias; las revisamos en PEGAR."&amp;CHAR(10),"")&amp;IF(O99&gt;0,"Faltan las medidas de alguna fila; no cerramos la suma."&amp;CHAR(10),"")&amp;IF(M99=0,"No constan líneas de medición."&amp;CHAR(10),"")&amp;IF(IF(ISNUMBER(H99),ROUND(ABS(H99),8)&gt;$F$6,FALSE),"Las líneas difieren del total en más de 0,01; confirmamos cantidad o exclusión."&amp;CHAR(10),"")&amp;IF(P99&gt;0,"Parece m³: encontramos tres dimensiones bajo m²."&amp;CHAR(10),"")&amp;IF(R99&gt;0,"Código repetido dentro del capítulo; mantenemos sus ID separados."&amp;CHAR(10),"")&amp;IF(S99&gt;0,"Código repetido en otro capítulo; no unimos las partidas."&amp;CHAR(10),"")&amp;IF(T99&gt;0,"Mismo código con unidades distintas; pedimos aclaración."&amp;CHAR(10),"")&amp;IF(Q99&gt;0,"Hay más precisión que los decimales indicados; cotejamos el formato original."&amp;CHAR(10),"")&amp;IF(U99&gt;0,"Unidad sin normalizar; cotejamos su significado antes de sumar unidades."&amp;CHAR(10),"")&amp;IF(V99&gt;0,"Revisamos dimensiones, cantidades directas, ceros o deducciones en PEGAR."&amp;CHAR(10),"")))</f>
      </c>
      <c r="K99" s="0">
        <f>IF(87&gt;'RESUMEN'!$E$6,"",MATCH(87,'PEGAR'!$W$13:$W$512,0))</f>
      </c>
      <c r="L99" s="0">
        <f>IF(K99="","",INDEX('PEGAR'!$R$13:$R$512,K99))</f>
      </c>
      <c r="M99" s="0">
        <f>IF(B99="","",COUNTIFS('PEGAR'!$O$13:$O$512,B99,'PEGAR'!$P$13:$P$512,"DIMENSIONES")+COUNTIFS('PEGAR'!$O$13:$O$512,B99,'PEGAR'!$P$13:$P$512,"DIRECTA"))</f>
      </c>
      <c r="N99" s="0">
        <f>IF(B99="","",COUNTIFS('PEGAR'!$O$13:$O$512,B99,'PEGAR'!$X$13:$X$512,2))</f>
      </c>
      <c r="O99" s="0">
        <f>IF(B99="","",COUNTIFS('PEGAR'!$O$13:$O$512,B99,'PEGAR'!$P$13:$P$512,"SIN LÍNEAS"))</f>
      </c>
      <c r="P99" s="0">
        <f>IF(B99="","",SUMIFS('PEGAR'!$Y$13:$Y$512,'PEGAR'!$O$13:$O$512,B99))</f>
      </c>
      <c r="Q99" s="0">
        <f>IF(B99="","",SUMIFS('PEGAR'!$Z$13:$Z$512,'PEGAR'!$O$13:$O$512,B99))</f>
      </c>
      <c r="R99" s="0" t="n">
        <f>IF(OR(B99="",D99=""),0,SUMPRODUCT(--($B$13:$B$512&lt;&gt;""),--($D$13:$D$512=D99),--($C$13:$C$512=C99))-1)</f>
        <v>0</v>
      </c>
      <c r="S99" s="0" t="n">
        <f>IF(OR(B99="",D99=""),0,SUMPRODUCT(--($B$13:$B$512&lt;&gt;""),--($D$13:$D$512=D99),--($C$13:$C$512&lt;&gt;C99)))</f>
        <v>0</v>
      </c>
      <c r="T99" s="0" t="n">
        <f>IF(OR(B99="",D99=""),0,SUMPRODUCT(--($B$13:$B$512&lt;&gt;""),--($D$13:$D$512=D99),--($E$13:$E$512&lt;&gt;E99)))</f>
        <v>0</v>
      </c>
      <c r="U99" s="0" t="n">
        <f>IF(B99="",0,IF(SUMPRODUCT(--('LÉEME'!$C$65:$C$86=E99))=0,1,0))</f>
        <v>0</v>
      </c>
      <c r="V99" s="0">
        <f>IF(B99="","",SUMIFS('PEGAR'!$AA$13:$AA$512,'PEGAR'!$O$13:$O$512,B99))</f>
      </c>
      <c r="W99" s="0">
        <f>IF(B99="","",IF(OR(L99=0,N99&gt;0,T99&gt;0,IF(ISNUMBER(H99),ROUND(ABS(H99),8)&gt;$F$6,FALSE)),2,IF(OR(M99=0,O99&gt;0,P99&gt;0,Q99&gt;0,R99&gt;0,S99&gt;0,U99&gt;0,V99&gt;0),1,0)))</f>
      </c>
      <c r="X99" s="0">
        <f>IF(B99="","",IF(ISNUMBER(G99),1,0))</f>
      </c>
      <c r="AB99" s="0">
        <f>IF(AND(ISNUMBER(W99),W99&gt;0),"ID "&amp;B99,"")</f>
      </c>
      <c r="AC99" s="0">
        <f>IF(AND(ISNUMBER(W99),W99&gt;0),C99,"")</f>
      </c>
      <c r="AD99" s="0">
        <f>IF(AND(ISNUMBER(W99),W99&gt;0),D99,"")</f>
      </c>
      <c r="AE99" s="0">
        <f>IF(AND(ISNUMBER(W99),W99&gt;0),IF(INDEX('PEGAR'!$D$13:$D$512,IF(L99&gt;0,L99,K99))="","Sin descripción",INDEX('PEGAR'!$D$13:$D$512,IF(L99&gt;0,L99,K99))),"")</f>
      </c>
      <c r="AF99" s="0">
        <f>IF(AND(ISNUMBER(W99),W99&gt;0),J99,"")</f>
      </c>
      <c r="AG99" s="0" t="n">
        <f>IF(AND(ISNUMBER(W99),W99&gt;0),W99,0)</f>
        <v>0</v>
      </c>
      <c r="AH99" s="0">
        <f>IF(AG99&gt;0,COUNTIFS($AG$13:AG99,"&gt;0"),"")</f>
      </c>
    </row>
    <row r="100" ht="22" customHeight="1">
      <c r="B100" s="27">
        <f>IF(K100="","",INDEX('PEGAR'!$O$13:$O$512,K100))</f>
      </c>
      <c r="C100" s="30">
        <f>IF(B100="","",IF(LEN(TRIM(INDEX('PEGAR'!$B$13:$B$512,IF(L100&gt;0,L100,K100))&amp;""))=0,"Sin capítulo",TRIM(INDEX('PEGAR'!$B$13:$B$512,IF(L100&gt;0,L100,K100))&amp;"")))</f>
      </c>
      <c r="D100" s="27">
        <f>IF(B100="","",IF(LEN(TRIM(INDEX('PEGAR'!$C$13:$C$512,IF(L100&gt;0,L100,K100))&amp;""))=0,"",TRIM(INDEX('PEGAR'!$C$13:$C$512,IF(L100&gt;0,L100,K100))&amp;"")))</f>
      </c>
      <c r="E100" s="27">
        <f>IF(B100="","",INDEX('PEGAR'!$S$13:$S$512,IF(L100&gt;0,L100,K100)))</f>
      </c>
      <c r="F100" s="39">
        <f>IF(B100="","",IF(L100&gt;0,INDEX('PEGAR'!$F$13:$F$512,L100),""))</f>
      </c>
      <c r="G100" s="39">
        <f>IF(B100="","",IF(OR(M100=0,N100&gt;0,O100&gt;0),"",SUMIFS('PEGAR'!$M$13:$M$512,'PEGAR'!$O$13:$O$512,B100)))</f>
      </c>
      <c r="H100" s="39">
        <f>IF(AND(ISNUMBER(F100),ISNUMBER(G100)),G100-F100,"")</f>
      </c>
      <c r="I100" s="27">
        <f>IF(B100="","",IF(W100=2,"ROJO",IF(W100=1,"ÁMBAR","VERDE")))</f>
      </c>
      <c r="J100" s="30">
        <f>IF(B100="","",IF(W100=0,"Sin avisos numéricos. Revisamos el alcance aparte.",IF(L100=0,"Faltan datos completos de partida; no elegimos un total por suposición."&amp;CHAR(10),"")&amp;IF(N100&gt;0,"Hay filas incompletas o contradictorias; las revisamos en PEGAR."&amp;CHAR(10),"")&amp;IF(O100&gt;0,"Faltan las medidas de alguna fila; no cerramos la suma."&amp;CHAR(10),"")&amp;IF(M100=0,"No constan líneas de medición."&amp;CHAR(10),"")&amp;IF(IF(ISNUMBER(H100),ROUND(ABS(H100),8)&gt;$F$6,FALSE),"Las líneas difieren del total en más de 0,01; confirmamos cantidad o exclusión."&amp;CHAR(10),"")&amp;IF(P100&gt;0,"Parece m³: encontramos tres dimensiones bajo m²."&amp;CHAR(10),"")&amp;IF(R100&gt;0,"Código repetido dentro del capítulo; mantenemos sus ID separados."&amp;CHAR(10),"")&amp;IF(S100&gt;0,"Código repetido en otro capítulo; no unimos las partidas."&amp;CHAR(10),"")&amp;IF(T100&gt;0,"Mismo código con unidades distintas; pedimos aclaración."&amp;CHAR(10),"")&amp;IF(Q100&gt;0,"Hay más precisión que los decimales indicados; cotejamos el formato original."&amp;CHAR(10),"")&amp;IF(U100&gt;0,"Unidad sin normalizar; cotejamos su significado antes de sumar unidades."&amp;CHAR(10),"")&amp;IF(V100&gt;0,"Revisamos dimensiones, cantidades directas, ceros o deducciones en PEGAR."&amp;CHAR(10),"")))</f>
      </c>
      <c r="K100" s="0">
        <f>IF(88&gt;'RESUMEN'!$E$6,"",MATCH(88,'PEGAR'!$W$13:$W$512,0))</f>
      </c>
      <c r="L100" s="0">
        <f>IF(K100="","",INDEX('PEGAR'!$R$13:$R$512,K100))</f>
      </c>
      <c r="M100" s="0">
        <f>IF(B100="","",COUNTIFS('PEGAR'!$O$13:$O$512,B100,'PEGAR'!$P$13:$P$512,"DIMENSIONES")+COUNTIFS('PEGAR'!$O$13:$O$512,B100,'PEGAR'!$P$13:$P$512,"DIRECTA"))</f>
      </c>
      <c r="N100" s="0">
        <f>IF(B100="","",COUNTIFS('PEGAR'!$O$13:$O$512,B100,'PEGAR'!$X$13:$X$512,2))</f>
      </c>
      <c r="O100" s="0">
        <f>IF(B100="","",COUNTIFS('PEGAR'!$O$13:$O$512,B100,'PEGAR'!$P$13:$P$512,"SIN LÍNEAS"))</f>
      </c>
      <c r="P100" s="0">
        <f>IF(B100="","",SUMIFS('PEGAR'!$Y$13:$Y$512,'PEGAR'!$O$13:$O$512,B100))</f>
      </c>
      <c r="Q100" s="0">
        <f>IF(B100="","",SUMIFS('PEGAR'!$Z$13:$Z$512,'PEGAR'!$O$13:$O$512,B100))</f>
      </c>
      <c r="R100" s="0" t="n">
        <f>IF(OR(B100="",D100=""),0,SUMPRODUCT(--($B$13:$B$512&lt;&gt;""),--($D$13:$D$512=D100),--($C$13:$C$512=C100))-1)</f>
        <v>0</v>
      </c>
      <c r="S100" s="0" t="n">
        <f>IF(OR(B100="",D100=""),0,SUMPRODUCT(--($B$13:$B$512&lt;&gt;""),--($D$13:$D$512=D100),--($C$13:$C$512&lt;&gt;C100)))</f>
        <v>0</v>
      </c>
      <c r="T100" s="0" t="n">
        <f>IF(OR(B100="",D100=""),0,SUMPRODUCT(--($B$13:$B$512&lt;&gt;""),--($D$13:$D$512=D100),--($E$13:$E$512&lt;&gt;E100)))</f>
        <v>0</v>
      </c>
      <c r="U100" s="0" t="n">
        <f>IF(B100="",0,IF(SUMPRODUCT(--('LÉEME'!$C$65:$C$86=E100))=0,1,0))</f>
        <v>0</v>
      </c>
      <c r="V100" s="0">
        <f>IF(B100="","",SUMIFS('PEGAR'!$AA$13:$AA$512,'PEGAR'!$O$13:$O$512,B100))</f>
      </c>
      <c r="W100" s="0">
        <f>IF(B100="","",IF(OR(L100=0,N100&gt;0,T100&gt;0,IF(ISNUMBER(H100),ROUND(ABS(H100),8)&gt;$F$6,FALSE)),2,IF(OR(M100=0,O100&gt;0,P100&gt;0,Q100&gt;0,R100&gt;0,S100&gt;0,U100&gt;0,V100&gt;0),1,0)))</f>
      </c>
      <c r="X100" s="0">
        <f>IF(B100="","",IF(ISNUMBER(G100),1,0))</f>
      </c>
      <c r="AB100" s="0">
        <f>IF(AND(ISNUMBER(W100),W100&gt;0),"ID "&amp;B100,"")</f>
      </c>
      <c r="AC100" s="0">
        <f>IF(AND(ISNUMBER(W100),W100&gt;0),C100,"")</f>
      </c>
      <c r="AD100" s="0">
        <f>IF(AND(ISNUMBER(W100),W100&gt;0),D100,"")</f>
      </c>
      <c r="AE100" s="0">
        <f>IF(AND(ISNUMBER(W100),W100&gt;0),IF(INDEX('PEGAR'!$D$13:$D$512,IF(L100&gt;0,L100,K100))="","Sin descripción",INDEX('PEGAR'!$D$13:$D$512,IF(L100&gt;0,L100,K100))),"")</f>
      </c>
      <c r="AF100" s="0">
        <f>IF(AND(ISNUMBER(W100),W100&gt;0),J100,"")</f>
      </c>
      <c r="AG100" s="0" t="n">
        <f>IF(AND(ISNUMBER(W100),W100&gt;0),W100,0)</f>
        <v>0</v>
      </c>
      <c r="AH100" s="0">
        <f>IF(AG100&gt;0,COUNTIFS($AG$13:AG100,"&gt;0"),"")</f>
      </c>
    </row>
    <row r="101" ht="22" customHeight="1">
      <c r="B101" s="27">
        <f>IF(K101="","",INDEX('PEGAR'!$O$13:$O$512,K101))</f>
      </c>
      <c r="C101" s="30">
        <f>IF(B101="","",IF(LEN(TRIM(INDEX('PEGAR'!$B$13:$B$512,IF(L101&gt;0,L101,K101))&amp;""))=0,"Sin capítulo",TRIM(INDEX('PEGAR'!$B$13:$B$512,IF(L101&gt;0,L101,K101))&amp;"")))</f>
      </c>
      <c r="D101" s="27">
        <f>IF(B101="","",IF(LEN(TRIM(INDEX('PEGAR'!$C$13:$C$512,IF(L101&gt;0,L101,K101))&amp;""))=0,"",TRIM(INDEX('PEGAR'!$C$13:$C$512,IF(L101&gt;0,L101,K101))&amp;"")))</f>
      </c>
      <c r="E101" s="27">
        <f>IF(B101="","",INDEX('PEGAR'!$S$13:$S$512,IF(L101&gt;0,L101,K101)))</f>
      </c>
      <c r="F101" s="39">
        <f>IF(B101="","",IF(L101&gt;0,INDEX('PEGAR'!$F$13:$F$512,L101),""))</f>
      </c>
      <c r="G101" s="39">
        <f>IF(B101="","",IF(OR(M101=0,N101&gt;0,O101&gt;0),"",SUMIFS('PEGAR'!$M$13:$M$512,'PEGAR'!$O$13:$O$512,B101)))</f>
      </c>
      <c r="H101" s="39">
        <f>IF(AND(ISNUMBER(F101),ISNUMBER(G101)),G101-F101,"")</f>
      </c>
      <c r="I101" s="27">
        <f>IF(B101="","",IF(W101=2,"ROJO",IF(W101=1,"ÁMBAR","VERDE")))</f>
      </c>
      <c r="J101" s="30">
        <f>IF(B101="","",IF(W101=0,"Sin avisos numéricos. Revisamos el alcance aparte.",IF(L101=0,"Faltan datos completos de partida; no elegimos un total por suposición."&amp;CHAR(10),"")&amp;IF(N101&gt;0,"Hay filas incompletas o contradictorias; las revisamos en PEGAR."&amp;CHAR(10),"")&amp;IF(O101&gt;0,"Faltan las medidas de alguna fila; no cerramos la suma."&amp;CHAR(10),"")&amp;IF(M101=0,"No constan líneas de medición."&amp;CHAR(10),"")&amp;IF(IF(ISNUMBER(H101),ROUND(ABS(H101),8)&gt;$F$6,FALSE),"Las líneas difieren del total en más de 0,01; confirmamos cantidad o exclusión."&amp;CHAR(10),"")&amp;IF(P101&gt;0,"Parece m³: encontramos tres dimensiones bajo m²."&amp;CHAR(10),"")&amp;IF(R101&gt;0,"Código repetido dentro del capítulo; mantenemos sus ID separados."&amp;CHAR(10),"")&amp;IF(S101&gt;0,"Código repetido en otro capítulo; no unimos las partidas."&amp;CHAR(10),"")&amp;IF(T101&gt;0,"Mismo código con unidades distintas; pedimos aclaración."&amp;CHAR(10),"")&amp;IF(Q101&gt;0,"Hay más precisión que los decimales indicados; cotejamos el formato original."&amp;CHAR(10),"")&amp;IF(U101&gt;0,"Unidad sin normalizar; cotejamos su significado antes de sumar unidades."&amp;CHAR(10),"")&amp;IF(V101&gt;0,"Revisamos dimensiones, cantidades directas, ceros o deducciones en PEGAR."&amp;CHAR(10),"")))</f>
      </c>
      <c r="K101" s="0">
        <f>IF(89&gt;'RESUMEN'!$E$6,"",MATCH(89,'PEGAR'!$W$13:$W$512,0))</f>
      </c>
      <c r="L101" s="0">
        <f>IF(K101="","",INDEX('PEGAR'!$R$13:$R$512,K101))</f>
      </c>
      <c r="M101" s="0">
        <f>IF(B101="","",COUNTIFS('PEGAR'!$O$13:$O$512,B101,'PEGAR'!$P$13:$P$512,"DIMENSIONES")+COUNTIFS('PEGAR'!$O$13:$O$512,B101,'PEGAR'!$P$13:$P$512,"DIRECTA"))</f>
      </c>
      <c r="N101" s="0">
        <f>IF(B101="","",COUNTIFS('PEGAR'!$O$13:$O$512,B101,'PEGAR'!$X$13:$X$512,2))</f>
      </c>
      <c r="O101" s="0">
        <f>IF(B101="","",COUNTIFS('PEGAR'!$O$13:$O$512,B101,'PEGAR'!$P$13:$P$512,"SIN LÍNEAS"))</f>
      </c>
      <c r="P101" s="0">
        <f>IF(B101="","",SUMIFS('PEGAR'!$Y$13:$Y$512,'PEGAR'!$O$13:$O$512,B101))</f>
      </c>
      <c r="Q101" s="0">
        <f>IF(B101="","",SUMIFS('PEGAR'!$Z$13:$Z$512,'PEGAR'!$O$13:$O$512,B101))</f>
      </c>
      <c r="R101" s="0" t="n">
        <f>IF(OR(B101="",D101=""),0,SUMPRODUCT(--($B$13:$B$512&lt;&gt;""),--($D$13:$D$512=D101),--($C$13:$C$512=C101))-1)</f>
        <v>0</v>
      </c>
      <c r="S101" s="0" t="n">
        <f>IF(OR(B101="",D101=""),0,SUMPRODUCT(--($B$13:$B$512&lt;&gt;""),--($D$13:$D$512=D101),--($C$13:$C$512&lt;&gt;C101)))</f>
        <v>0</v>
      </c>
      <c r="T101" s="0" t="n">
        <f>IF(OR(B101="",D101=""),0,SUMPRODUCT(--($B$13:$B$512&lt;&gt;""),--($D$13:$D$512=D101),--($E$13:$E$512&lt;&gt;E101)))</f>
        <v>0</v>
      </c>
      <c r="U101" s="0" t="n">
        <f>IF(B101="",0,IF(SUMPRODUCT(--('LÉEME'!$C$65:$C$86=E101))=0,1,0))</f>
        <v>0</v>
      </c>
      <c r="V101" s="0">
        <f>IF(B101="","",SUMIFS('PEGAR'!$AA$13:$AA$512,'PEGAR'!$O$13:$O$512,B101))</f>
      </c>
      <c r="W101" s="0">
        <f>IF(B101="","",IF(OR(L101=0,N101&gt;0,T101&gt;0,IF(ISNUMBER(H101),ROUND(ABS(H101),8)&gt;$F$6,FALSE)),2,IF(OR(M101=0,O101&gt;0,P101&gt;0,Q101&gt;0,R101&gt;0,S101&gt;0,U101&gt;0,V101&gt;0),1,0)))</f>
      </c>
      <c r="X101" s="0">
        <f>IF(B101="","",IF(ISNUMBER(G101),1,0))</f>
      </c>
      <c r="AB101" s="0">
        <f>IF(AND(ISNUMBER(W101),W101&gt;0),"ID "&amp;B101,"")</f>
      </c>
      <c r="AC101" s="0">
        <f>IF(AND(ISNUMBER(W101),W101&gt;0),C101,"")</f>
      </c>
      <c r="AD101" s="0">
        <f>IF(AND(ISNUMBER(W101),W101&gt;0),D101,"")</f>
      </c>
      <c r="AE101" s="0">
        <f>IF(AND(ISNUMBER(W101),W101&gt;0),IF(INDEX('PEGAR'!$D$13:$D$512,IF(L101&gt;0,L101,K101))="","Sin descripción",INDEX('PEGAR'!$D$13:$D$512,IF(L101&gt;0,L101,K101))),"")</f>
      </c>
      <c r="AF101" s="0">
        <f>IF(AND(ISNUMBER(W101),W101&gt;0),J101,"")</f>
      </c>
      <c r="AG101" s="0" t="n">
        <f>IF(AND(ISNUMBER(W101),W101&gt;0),W101,0)</f>
        <v>0</v>
      </c>
      <c r="AH101" s="0">
        <f>IF(AG101&gt;0,COUNTIFS($AG$13:AG101,"&gt;0"),"")</f>
      </c>
    </row>
    <row r="102" ht="22" customHeight="1">
      <c r="B102" s="27">
        <f>IF(K102="","",INDEX('PEGAR'!$O$13:$O$512,K102))</f>
      </c>
      <c r="C102" s="30">
        <f>IF(B102="","",IF(LEN(TRIM(INDEX('PEGAR'!$B$13:$B$512,IF(L102&gt;0,L102,K102))&amp;""))=0,"Sin capítulo",TRIM(INDEX('PEGAR'!$B$13:$B$512,IF(L102&gt;0,L102,K102))&amp;"")))</f>
      </c>
      <c r="D102" s="27">
        <f>IF(B102="","",IF(LEN(TRIM(INDEX('PEGAR'!$C$13:$C$512,IF(L102&gt;0,L102,K102))&amp;""))=0,"",TRIM(INDEX('PEGAR'!$C$13:$C$512,IF(L102&gt;0,L102,K102))&amp;"")))</f>
      </c>
      <c r="E102" s="27">
        <f>IF(B102="","",INDEX('PEGAR'!$S$13:$S$512,IF(L102&gt;0,L102,K102)))</f>
      </c>
      <c r="F102" s="39">
        <f>IF(B102="","",IF(L102&gt;0,INDEX('PEGAR'!$F$13:$F$512,L102),""))</f>
      </c>
      <c r="G102" s="39">
        <f>IF(B102="","",IF(OR(M102=0,N102&gt;0,O102&gt;0),"",SUMIFS('PEGAR'!$M$13:$M$512,'PEGAR'!$O$13:$O$512,B102)))</f>
      </c>
      <c r="H102" s="39">
        <f>IF(AND(ISNUMBER(F102),ISNUMBER(G102)),G102-F102,"")</f>
      </c>
      <c r="I102" s="27">
        <f>IF(B102="","",IF(W102=2,"ROJO",IF(W102=1,"ÁMBAR","VERDE")))</f>
      </c>
      <c r="J102" s="30">
        <f>IF(B102="","",IF(W102=0,"Sin avisos numéricos. Revisamos el alcance aparte.",IF(L102=0,"Faltan datos completos de partida; no elegimos un total por suposición."&amp;CHAR(10),"")&amp;IF(N102&gt;0,"Hay filas incompletas o contradictorias; las revisamos en PEGAR."&amp;CHAR(10),"")&amp;IF(O102&gt;0,"Faltan las medidas de alguna fila; no cerramos la suma."&amp;CHAR(10),"")&amp;IF(M102=0,"No constan líneas de medición."&amp;CHAR(10),"")&amp;IF(IF(ISNUMBER(H102),ROUND(ABS(H102),8)&gt;$F$6,FALSE),"Las líneas difieren del total en más de 0,01; confirmamos cantidad o exclusión."&amp;CHAR(10),"")&amp;IF(P102&gt;0,"Parece m³: encontramos tres dimensiones bajo m²."&amp;CHAR(10),"")&amp;IF(R102&gt;0,"Código repetido dentro del capítulo; mantenemos sus ID separados."&amp;CHAR(10),"")&amp;IF(S102&gt;0,"Código repetido en otro capítulo; no unimos las partidas."&amp;CHAR(10),"")&amp;IF(T102&gt;0,"Mismo código con unidades distintas; pedimos aclaración."&amp;CHAR(10),"")&amp;IF(Q102&gt;0,"Hay más precisión que los decimales indicados; cotejamos el formato original."&amp;CHAR(10),"")&amp;IF(U102&gt;0,"Unidad sin normalizar; cotejamos su significado antes de sumar unidades."&amp;CHAR(10),"")&amp;IF(V102&gt;0,"Revisamos dimensiones, cantidades directas, ceros o deducciones en PEGAR."&amp;CHAR(10),"")))</f>
      </c>
      <c r="K102" s="0">
        <f>IF(90&gt;'RESUMEN'!$E$6,"",MATCH(90,'PEGAR'!$W$13:$W$512,0))</f>
      </c>
      <c r="L102" s="0">
        <f>IF(K102="","",INDEX('PEGAR'!$R$13:$R$512,K102))</f>
      </c>
      <c r="M102" s="0">
        <f>IF(B102="","",COUNTIFS('PEGAR'!$O$13:$O$512,B102,'PEGAR'!$P$13:$P$512,"DIMENSIONES")+COUNTIFS('PEGAR'!$O$13:$O$512,B102,'PEGAR'!$P$13:$P$512,"DIRECTA"))</f>
      </c>
      <c r="N102" s="0">
        <f>IF(B102="","",COUNTIFS('PEGAR'!$O$13:$O$512,B102,'PEGAR'!$X$13:$X$512,2))</f>
      </c>
      <c r="O102" s="0">
        <f>IF(B102="","",COUNTIFS('PEGAR'!$O$13:$O$512,B102,'PEGAR'!$P$13:$P$512,"SIN LÍNEAS"))</f>
      </c>
      <c r="P102" s="0">
        <f>IF(B102="","",SUMIFS('PEGAR'!$Y$13:$Y$512,'PEGAR'!$O$13:$O$512,B102))</f>
      </c>
      <c r="Q102" s="0">
        <f>IF(B102="","",SUMIFS('PEGAR'!$Z$13:$Z$512,'PEGAR'!$O$13:$O$512,B102))</f>
      </c>
      <c r="R102" s="0" t="n">
        <f>IF(OR(B102="",D102=""),0,SUMPRODUCT(--($B$13:$B$512&lt;&gt;""),--($D$13:$D$512=D102),--($C$13:$C$512=C102))-1)</f>
        <v>0</v>
      </c>
      <c r="S102" s="0" t="n">
        <f>IF(OR(B102="",D102=""),0,SUMPRODUCT(--($B$13:$B$512&lt;&gt;""),--($D$13:$D$512=D102),--($C$13:$C$512&lt;&gt;C102)))</f>
        <v>0</v>
      </c>
      <c r="T102" s="0" t="n">
        <f>IF(OR(B102="",D102=""),0,SUMPRODUCT(--($B$13:$B$512&lt;&gt;""),--($D$13:$D$512=D102),--($E$13:$E$512&lt;&gt;E102)))</f>
        <v>0</v>
      </c>
      <c r="U102" s="0" t="n">
        <f>IF(B102="",0,IF(SUMPRODUCT(--('LÉEME'!$C$65:$C$86=E102))=0,1,0))</f>
        <v>0</v>
      </c>
      <c r="V102" s="0">
        <f>IF(B102="","",SUMIFS('PEGAR'!$AA$13:$AA$512,'PEGAR'!$O$13:$O$512,B102))</f>
      </c>
      <c r="W102" s="0">
        <f>IF(B102="","",IF(OR(L102=0,N102&gt;0,T102&gt;0,IF(ISNUMBER(H102),ROUND(ABS(H102),8)&gt;$F$6,FALSE)),2,IF(OR(M102=0,O102&gt;0,P102&gt;0,Q102&gt;0,R102&gt;0,S102&gt;0,U102&gt;0,V102&gt;0),1,0)))</f>
      </c>
      <c r="X102" s="0">
        <f>IF(B102="","",IF(ISNUMBER(G102),1,0))</f>
      </c>
      <c r="AB102" s="0">
        <f>IF(AND(ISNUMBER(W102),W102&gt;0),"ID "&amp;B102,"")</f>
      </c>
      <c r="AC102" s="0">
        <f>IF(AND(ISNUMBER(W102),W102&gt;0),C102,"")</f>
      </c>
      <c r="AD102" s="0">
        <f>IF(AND(ISNUMBER(W102),W102&gt;0),D102,"")</f>
      </c>
      <c r="AE102" s="0">
        <f>IF(AND(ISNUMBER(W102),W102&gt;0),IF(INDEX('PEGAR'!$D$13:$D$512,IF(L102&gt;0,L102,K102))="","Sin descripción",INDEX('PEGAR'!$D$13:$D$512,IF(L102&gt;0,L102,K102))),"")</f>
      </c>
      <c r="AF102" s="0">
        <f>IF(AND(ISNUMBER(W102),W102&gt;0),J102,"")</f>
      </c>
      <c r="AG102" s="0" t="n">
        <f>IF(AND(ISNUMBER(W102),W102&gt;0),W102,0)</f>
        <v>0</v>
      </c>
      <c r="AH102" s="0">
        <f>IF(AG102&gt;0,COUNTIFS($AG$13:AG102,"&gt;0"),"")</f>
      </c>
    </row>
    <row r="103" ht="22" customHeight="1">
      <c r="B103" s="27">
        <f>IF(K103="","",INDEX('PEGAR'!$O$13:$O$512,K103))</f>
      </c>
      <c r="C103" s="30">
        <f>IF(B103="","",IF(LEN(TRIM(INDEX('PEGAR'!$B$13:$B$512,IF(L103&gt;0,L103,K103))&amp;""))=0,"Sin capítulo",TRIM(INDEX('PEGAR'!$B$13:$B$512,IF(L103&gt;0,L103,K103))&amp;"")))</f>
      </c>
      <c r="D103" s="27">
        <f>IF(B103="","",IF(LEN(TRIM(INDEX('PEGAR'!$C$13:$C$512,IF(L103&gt;0,L103,K103))&amp;""))=0,"",TRIM(INDEX('PEGAR'!$C$13:$C$512,IF(L103&gt;0,L103,K103))&amp;"")))</f>
      </c>
      <c r="E103" s="27">
        <f>IF(B103="","",INDEX('PEGAR'!$S$13:$S$512,IF(L103&gt;0,L103,K103)))</f>
      </c>
      <c r="F103" s="39">
        <f>IF(B103="","",IF(L103&gt;0,INDEX('PEGAR'!$F$13:$F$512,L103),""))</f>
      </c>
      <c r="G103" s="39">
        <f>IF(B103="","",IF(OR(M103=0,N103&gt;0,O103&gt;0),"",SUMIFS('PEGAR'!$M$13:$M$512,'PEGAR'!$O$13:$O$512,B103)))</f>
      </c>
      <c r="H103" s="39">
        <f>IF(AND(ISNUMBER(F103),ISNUMBER(G103)),G103-F103,"")</f>
      </c>
      <c r="I103" s="27">
        <f>IF(B103="","",IF(W103=2,"ROJO",IF(W103=1,"ÁMBAR","VERDE")))</f>
      </c>
      <c r="J103" s="30">
        <f>IF(B103="","",IF(W103=0,"Sin avisos numéricos. Revisamos el alcance aparte.",IF(L103=0,"Faltan datos completos de partida; no elegimos un total por suposición."&amp;CHAR(10),"")&amp;IF(N103&gt;0,"Hay filas incompletas o contradictorias; las revisamos en PEGAR."&amp;CHAR(10),"")&amp;IF(O103&gt;0,"Faltan las medidas de alguna fila; no cerramos la suma."&amp;CHAR(10),"")&amp;IF(M103=0,"No constan líneas de medición."&amp;CHAR(10),"")&amp;IF(IF(ISNUMBER(H103),ROUND(ABS(H103),8)&gt;$F$6,FALSE),"Las líneas difieren del total en más de 0,01; confirmamos cantidad o exclusión."&amp;CHAR(10),"")&amp;IF(P103&gt;0,"Parece m³: encontramos tres dimensiones bajo m²."&amp;CHAR(10),"")&amp;IF(R103&gt;0,"Código repetido dentro del capítulo; mantenemos sus ID separados."&amp;CHAR(10),"")&amp;IF(S103&gt;0,"Código repetido en otro capítulo; no unimos las partidas."&amp;CHAR(10),"")&amp;IF(T103&gt;0,"Mismo código con unidades distintas; pedimos aclaración."&amp;CHAR(10),"")&amp;IF(Q103&gt;0,"Hay más precisión que los decimales indicados; cotejamos el formato original."&amp;CHAR(10),"")&amp;IF(U103&gt;0,"Unidad sin normalizar; cotejamos su significado antes de sumar unidades."&amp;CHAR(10),"")&amp;IF(V103&gt;0,"Revisamos dimensiones, cantidades directas, ceros o deducciones en PEGAR."&amp;CHAR(10),"")))</f>
      </c>
      <c r="K103" s="0">
        <f>IF(91&gt;'RESUMEN'!$E$6,"",MATCH(91,'PEGAR'!$W$13:$W$512,0))</f>
      </c>
      <c r="L103" s="0">
        <f>IF(K103="","",INDEX('PEGAR'!$R$13:$R$512,K103))</f>
      </c>
      <c r="M103" s="0">
        <f>IF(B103="","",COUNTIFS('PEGAR'!$O$13:$O$512,B103,'PEGAR'!$P$13:$P$512,"DIMENSIONES")+COUNTIFS('PEGAR'!$O$13:$O$512,B103,'PEGAR'!$P$13:$P$512,"DIRECTA"))</f>
      </c>
      <c r="N103" s="0">
        <f>IF(B103="","",COUNTIFS('PEGAR'!$O$13:$O$512,B103,'PEGAR'!$X$13:$X$512,2))</f>
      </c>
      <c r="O103" s="0">
        <f>IF(B103="","",COUNTIFS('PEGAR'!$O$13:$O$512,B103,'PEGAR'!$P$13:$P$512,"SIN LÍNEAS"))</f>
      </c>
      <c r="P103" s="0">
        <f>IF(B103="","",SUMIFS('PEGAR'!$Y$13:$Y$512,'PEGAR'!$O$13:$O$512,B103))</f>
      </c>
      <c r="Q103" s="0">
        <f>IF(B103="","",SUMIFS('PEGAR'!$Z$13:$Z$512,'PEGAR'!$O$13:$O$512,B103))</f>
      </c>
      <c r="R103" s="0" t="n">
        <f>IF(OR(B103="",D103=""),0,SUMPRODUCT(--($B$13:$B$512&lt;&gt;""),--($D$13:$D$512=D103),--($C$13:$C$512=C103))-1)</f>
        <v>0</v>
      </c>
      <c r="S103" s="0" t="n">
        <f>IF(OR(B103="",D103=""),0,SUMPRODUCT(--($B$13:$B$512&lt;&gt;""),--($D$13:$D$512=D103),--($C$13:$C$512&lt;&gt;C103)))</f>
        <v>0</v>
      </c>
      <c r="T103" s="0" t="n">
        <f>IF(OR(B103="",D103=""),0,SUMPRODUCT(--($B$13:$B$512&lt;&gt;""),--($D$13:$D$512=D103),--($E$13:$E$512&lt;&gt;E103)))</f>
        <v>0</v>
      </c>
      <c r="U103" s="0" t="n">
        <f>IF(B103="",0,IF(SUMPRODUCT(--('LÉEME'!$C$65:$C$86=E103))=0,1,0))</f>
        <v>0</v>
      </c>
      <c r="V103" s="0">
        <f>IF(B103="","",SUMIFS('PEGAR'!$AA$13:$AA$512,'PEGAR'!$O$13:$O$512,B103))</f>
      </c>
      <c r="W103" s="0">
        <f>IF(B103="","",IF(OR(L103=0,N103&gt;0,T103&gt;0,IF(ISNUMBER(H103),ROUND(ABS(H103),8)&gt;$F$6,FALSE)),2,IF(OR(M103=0,O103&gt;0,P103&gt;0,Q103&gt;0,R103&gt;0,S103&gt;0,U103&gt;0,V103&gt;0),1,0)))</f>
      </c>
      <c r="X103" s="0">
        <f>IF(B103="","",IF(ISNUMBER(G103),1,0))</f>
      </c>
      <c r="AB103" s="0">
        <f>IF(AND(ISNUMBER(W103),W103&gt;0),"ID "&amp;B103,"")</f>
      </c>
      <c r="AC103" s="0">
        <f>IF(AND(ISNUMBER(W103),W103&gt;0),C103,"")</f>
      </c>
      <c r="AD103" s="0">
        <f>IF(AND(ISNUMBER(W103),W103&gt;0),D103,"")</f>
      </c>
      <c r="AE103" s="0">
        <f>IF(AND(ISNUMBER(W103),W103&gt;0),IF(INDEX('PEGAR'!$D$13:$D$512,IF(L103&gt;0,L103,K103))="","Sin descripción",INDEX('PEGAR'!$D$13:$D$512,IF(L103&gt;0,L103,K103))),"")</f>
      </c>
      <c r="AF103" s="0">
        <f>IF(AND(ISNUMBER(W103),W103&gt;0),J103,"")</f>
      </c>
      <c r="AG103" s="0" t="n">
        <f>IF(AND(ISNUMBER(W103),W103&gt;0),W103,0)</f>
        <v>0</v>
      </c>
      <c r="AH103" s="0">
        <f>IF(AG103&gt;0,COUNTIFS($AG$13:AG103,"&gt;0"),"")</f>
      </c>
    </row>
    <row r="104" ht="22" customHeight="1">
      <c r="B104" s="27">
        <f>IF(K104="","",INDEX('PEGAR'!$O$13:$O$512,K104))</f>
      </c>
      <c r="C104" s="30">
        <f>IF(B104="","",IF(LEN(TRIM(INDEX('PEGAR'!$B$13:$B$512,IF(L104&gt;0,L104,K104))&amp;""))=0,"Sin capítulo",TRIM(INDEX('PEGAR'!$B$13:$B$512,IF(L104&gt;0,L104,K104))&amp;"")))</f>
      </c>
      <c r="D104" s="27">
        <f>IF(B104="","",IF(LEN(TRIM(INDEX('PEGAR'!$C$13:$C$512,IF(L104&gt;0,L104,K104))&amp;""))=0,"",TRIM(INDEX('PEGAR'!$C$13:$C$512,IF(L104&gt;0,L104,K104))&amp;"")))</f>
      </c>
      <c r="E104" s="27">
        <f>IF(B104="","",INDEX('PEGAR'!$S$13:$S$512,IF(L104&gt;0,L104,K104)))</f>
      </c>
      <c r="F104" s="39">
        <f>IF(B104="","",IF(L104&gt;0,INDEX('PEGAR'!$F$13:$F$512,L104),""))</f>
      </c>
      <c r="G104" s="39">
        <f>IF(B104="","",IF(OR(M104=0,N104&gt;0,O104&gt;0),"",SUMIFS('PEGAR'!$M$13:$M$512,'PEGAR'!$O$13:$O$512,B104)))</f>
      </c>
      <c r="H104" s="39">
        <f>IF(AND(ISNUMBER(F104),ISNUMBER(G104)),G104-F104,"")</f>
      </c>
      <c r="I104" s="27">
        <f>IF(B104="","",IF(W104=2,"ROJO",IF(W104=1,"ÁMBAR","VERDE")))</f>
      </c>
      <c r="J104" s="30">
        <f>IF(B104="","",IF(W104=0,"Sin avisos numéricos. Revisamos el alcance aparte.",IF(L104=0,"Faltan datos completos de partida; no elegimos un total por suposición."&amp;CHAR(10),"")&amp;IF(N104&gt;0,"Hay filas incompletas o contradictorias; las revisamos en PEGAR."&amp;CHAR(10),"")&amp;IF(O104&gt;0,"Faltan las medidas de alguna fila; no cerramos la suma."&amp;CHAR(10),"")&amp;IF(M104=0,"No constan líneas de medición."&amp;CHAR(10),"")&amp;IF(IF(ISNUMBER(H104),ROUND(ABS(H104),8)&gt;$F$6,FALSE),"Las líneas difieren del total en más de 0,01; confirmamos cantidad o exclusión."&amp;CHAR(10),"")&amp;IF(P104&gt;0,"Parece m³: encontramos tres dimensiones bajo m²."&amp;CHAR(10),"")&amp;IF(R104&gt;0,"Código repetido dentro del capítulo; mantenemos sus ID separados."&amp;CHAR(10),"")&amp;IF(S104&gt;0,"Código repetido en otro capítulo; no unimos las partidas."&amp;CHAR(10),"")&amp;IF(T104&gt;0,"Mismo código con unidades distintas; pedimos aclaración."&amp;CHAR(10),"")&amp;IF(Q104&gt;0,"Hay más precisión que los decimales indicados; cotejamos el formato original."&amp;CHAR(10),"")&amp;IF(U104&gt;0,"Unidad sin normalizar; cotejamos su significado antes de sumar unidades."&amp;CHAR(10),"")&amp;IF(V104&gt;0,"Revisamos dimensiones, cantidades directas, ceros o deducciones en PEGAR."&amp;CHAR(10),"")))</f>
      </c>
      <c r="K104" s="0">
        <f>IF(92&gt;'RESUMEN'!$E$6,"",MATCH(92,'PEGAR'!$W$13:$W$512,0))</f>
      </c>
      <c r="L104" s="0">
        <f>IF(K104="","",INDEX('PEGAR'!$R$13:$R$512,K104))</f>
      </c>
      <c r="M104" s="0">
        <f>IF(B104="","",COUNTIFS('PEGAR'!$O$13:$O$512,B104,'PEGAR'!$P$13:$P$512,"DIMENSIONES")+COUNTIFS('PEGAR'!$O$13:$O$512,B104,'PEGAR'!$P$13:$P$512,"DIRECTA"))</f>
      </c>
      <c r="N104" s="0">
        <f>IF(B104="","",COUNTIFS('PEGAR'!$O$13:$O$512,B104,'PEGAR'!$X$13:$X$512,2))</f>
      </c>
      <c r="O104" s="0">
        <f>IF(B104="","",COUNTIFS('PEGAR'!$O$13:$O$512,B104,'PEGAR'!$P$13:$P$512,"SIN LÍNEAS"))</f>
      </c>
      <c r="P104" s="0">
        <f>IF(B104="","",SUMIFS('PEGAR'!$Y$13:$Y$512,'PEGAR'!$O$13:$O$512,B104))</f>
      </c>
      <c r="Q104" s="0">
        <f>IF(B104="","",SUMIFS('PEGAR'!$Z$13:$Z$512,'PEGAR'!$O$13:$O$512,B104))</f>
      </c>
      <c r="R104" s="0" t="n">
        <f>IF(OR(B104="",D104=""),0,SUMPRODUCT(--($B$13:$B$512&lt;&gt;""),--($D$13:$D$512=D104),--($C$13:$C$512=C104))-1)</f>
        <v>0</v>
      </c>
      <c r="S104" s="0" t="n">
        <f>IF(OR(B104="",D104=""),0,SUMPRODUCT(--($B$13:$B$512&lt;&gt;""),--($D$13:$D$512=D104),--($C$13:$C$512&lt;&gt;C104)))</f>
        <v>0</v>
      </c>
      <c r="T104" s="0" t="n">
        <f>IF(OR(B104="",D104=""),0,SUMPRODUCT(--($B$13:$B$512&lt;&gt;""),--($D$13:$D$512=D104),--($E$13:$E$512&lt;&gt;E104)))</f>
        <v>0</v>
      </c>
      <c r="U104" s="0" t="n">
        <f>IF(B104="",0,IF(SUMPRODUCT(--('LÉEME'!$C$65:$C$86=E104))=0,1,0))</f>
        <v>0</v>
      </c>
      <c r="V104" s="0">
        <f>IF(B104="","",SUMIFS('PEGAR'!$AA$13:$AA$512,'PEGAR'!$O$13:$O$512,B104))</f>
      </c>
      <c r="W104" s="0">
        <f>IF(B104="","",IF(OR(L104=0,N104&gt;0,T104&gt;0,IF(ISNUMBER(H104),ROUND(ABS(H104),8)&gt;$F$6,FALSE)),2,IF(OR(M104=0,O104&gt;0,P104&gt;0,Q104&gt;0,R104&gt;0,S104&gt;0,U104&gt;0,V104&gt;0),1,0)))</f>
      </c>
      <c r="X104" s="0">
        <f>IF(B104="","",IF(ISNUMBER(G104),1,0))</f>
      </c>
      <c r="AB104" s="0">
        <f>IF(AND(ISNUMBER(W104),W104&gt;0),"ID "&amp;B104,"")</f>
      </c>
      <c r="AC104" s="0">
        <f>IF(AND(ISNUMBER(W104),W104&gt;0),C104,"")</f>
      </c>
      <c r="AD104" s="0">
        <f>IF(AND(ISNUMBER(W104),W104&gt;0),D104,"")</f>
      </c>
      <c r="AE104" s="0">
        <f>IF(AND(ISNUMBER(W104),W104&gt;0),IF(INDEX('PEGAR'!$D$13:$D$512,IF(L104&gt;0,L104,K104))="","Sin descripción",INDEX('PEGAR'!$D$13:$D$512,IF(L104&gt;0,L104,K104))),"")</f>
      </c>
      <c r="AF104" s="0">
        <f>IF(AND(ISNUMBER(W104),W104&gt;0),J104,"")</f>
      </c>
      <c r="AG104" s="0" t="n">
        <f>IF(AND(ISNUMBER(W104),W104&gt;0),W104,0)</f>
        <v>0</v>
      </c>
      <c r="AH104" s="0">
        <f>IF(AG104&gt;0,COUNTIFS($AG$13:AG104,"&gt;0"),"")</f>
      </c>
    </row>
    <row r="105" ht="22" customHeight="1">
      <c r="B105" s="27">
        <f>IF(K105="","",INDEX('PEGAR'!$O$13:$O$512,K105))</f>
      </c>
      <c r="C105" s="30">
        <f>IF(B105="","",IF(LEN(TRIM(INDEX('PEGAR'!$B$13:$B$512,IF(L105&gt;0,L105,K105))&amp;""))=0,"Sin capítulo",TRIM(INDEX('PEGAR'!$B$13:$B$512,IF(L105&gt;0,L105,K105))&amp;"")))</f>
      </c>
      <c r="D105" s="27">
        <f>IF(B105="","",IF(LEN(TRIM(INDEX('PEGAR'!$C$13:$C$512,IF(L105&gt;0,L105,K105))&amp;""))=0,"",TRIM(INDEX('PEGAR'!$C$13:$C$512,IF(L105&gt;0,L105,K105))&amp;"")))</f>
      </c>
      <c r="E105" s="27">
        <f>IF(B105="","",INDEX('PEGAR'!$S$13:$S$512,IF(L105&gt;0,L105,K105)))</f>
      </c>
      <c r="F105" s="39">
        <f>IF(B105="","",IF(L105&gt;0,INDEX('PEGAR'!$F$13:$F$512,L105),""))</f>
      </c>
      <c r="G105" s="39">
        <f>IF(B105="","",IF(OR(M105=0,N105&gt;0,O105&gt;0),"",SUMIFS('PEGAR'!$M$13:$M$512,'PEGAR'!$O$13:$O$512,B105)))</f>
      </c>
      <c r="H105" s="39">
        <f>IF(AND(ISNUMBER(F105),ISNUMBER(G105)),G105-F105,"")</f>
      </c>
      <c r="I105" s="27">
        <f>IF(B105="","",IF(W105=2,"ROJO",IF(W105=1,"ÁMBAR","VERDE")))</f>
      </c>
      <c r="J105" s="30">
        <f>IF(B105="","",IF(W105=0,"Sin avisos numéricos. Revisamos el alcance aparte.",IF(L105=0,"Faltan datos completos de partida; no elegimos un total por suposición."&amp;CHAR(10),"")&amp;IF(N105&gt;0,"Hay filas incompletas o contradictorias; las revisamos en PEGAR."&amp;CHAR(10),"")&amp;IF(O105&gt;0,"Faltan las medidas de alguna fila; no cerramos la suma."&amp;CHAR(10),"")&amp;IF(M105=0,"No constan líneas de medición."&amp;CHAR(10),"")&amp;IF(IF(ISNUMBER(H105),ROUND(ABS(H105),8)&gt;$F$6,FALSE),"Las líneas difieren del total en más de 0,01; confirmamos cantidad o exclusión."&amp;CHAR(10),"")&amp;IF(P105&gt;0,"Parece m³: encontramos tres dimensiones bajo m²."&amp;CHAR(10),"")&amp;IF(R105&gt;0,"Código repetido dentro del capítulo; mantenemos sus ID separados."&amp;CHAR(10),"")&amp;IF(S105&gt;0,"Código repetido en otro capítulo; no unimos las partidas."&amp;CHAR(10),"")&amp;IF(T105&gt;0,"Mismo código con unidades distintas; pedimos aclaración."&amp;CHAR(10),"")&amp;IF(Q105&gt;0,"Hay más precisión que los decimales indicados; cotejamos el formato original."&amp;CHAR(10),"")&amp;IF(U105&gt;0,"Unidad sin normalizar; cotejamos su significado antes de sumar unidades."&amp;CHAR(10),"")&amp;IF(V105&gt;0,"Revisamos dimensiones, cantidades directas, ceros o deducciones en PEGAR."&amp;CHAR(10),"")))</f>
      </c>
      <c r="K105" s="0">
        <f>IF(93&gt;'RESUMEN'!$E$6,"",MATCH(93,'PEGAR'!$W$13:$W$512,0))</f>
      </c>
      <c r="L105" s="0">
        <f>IF(K105="","",INDEX('PEGAR'!$R$13:$R$512,K105))</f>
      </c>
      <c r="M105" s="0">
        <f>IF(B105="","",COUNTIFS('PEGAR'!$O$13:$O$512,B105,'PEGAR'!$P$13:$P$512,"DIMENSIONES")+COUNTIFS('PEGAR'!$O$13:$O$512,B105,'PEGAR'!$P$13:$P$512,"DIRECTA"))</f>
      </c>
      <c r="N105" s="0">
        <f>IF(B105="","",COUNTIFS('PEGAR'!$O$13:$O$512,B105,'PEGAR'!$X$13:$X$512,2))</f>
      </c>
      <c r="O105" s="0">
        <f>IF(B105="","",COUNTIFS('PEGAR'!$O$13:$O$512,B105,'PEGAR'!$P$13:$P$512,"SIN LÍNEAS"))</f>
      </c>
      <c r="P105" s="0">
        <f>IF(B105="","",SUMIFS('PEGAR'!$Y$13:$Y$512,'PEGAR'!$O$13:$O$512,B105))</f>
      </c>
      <c r="Q105" s="0">
        <f>IF(B105="","",SUMIFS('PEGAR'!$Z$13:$Z$512,'PEGAR'!$O$13:$O$512,B105))</f>
      </c>
      <c r="R105" s="0" t="n">
        <f>IF(OR(B105="",D105=""),0,SUMPRODUCT(--($B$13:$B$512&lt;&gt;""),--($D$13:$D$512=D105),--($C$13:$C$512=C105))-1)</f>
        <v>0</v>
      </c>
      <c r="S105" s="0" t="n">
        <f>IF(OR(B105="",D105=""),0,SUMPRODUCT(--($B$13:$B$512&lt;&gt;""),--($D$13:$D$512=D105),--($C$13:$C$512&lt;&gt;C105)))</f>
        <v>0</v>
      </c>
      <c r="T105" s="0" t="n">
        <f>IF(OR(B105="",D105=""),0,SUMPRODUCT(--($B$13:$B$512&lt;&gt;""),--($D$13:$D$512=D105),--($E$13:$E$512&lt;&gt;E105)))</f>
        <v>0</v>
      </c>
      <c r="U105" s="0" t="n">
        <f>IF(B105="",0,IF(SUMPRODUCT(--('LÉEME'!$C$65:$C$86=E105))=0,1,0))</f>
        <v>0</v>
      </c>
      <c r="V105" s="0">
        <f>IF(B105="","",SUMIFS('PEGAR'!$AA$13:$AA$512,'PEGAR'!$O$13:$O$512,B105))</f>
      </c>
      <c r="W105" s="0">
        <f>IF(B105="","",IF(OR(L105=0,N105&gt;0,T105&gt;0,IF(ISNUMBER(H105),ROUND(ABS(H105),8)&gt;$F$6,FALSE)),2,IF(OR(M105=0,O105&gt;0,P105&gt;0,Q105&gt;0,R105&gt;0,S105&gt;0,U105&gt;0,V105&gt;0),1,0)))</f>
      </c>
      <c r="X105" s="0">
        <f>IF(B105="","",IF(ISNUMBER(G105),1,0))</f>
      </c>
      <c r="AB105" s="0">
        <f>IF(AND(ISNUMBER(W105),W105&gt;0),"ID "&amp;B105,"")</f>
      </c>
      <c r="AC105" s="0">
        <f>IF(AND(ISNUMBER(W105),W105&gt;0),C105,"")</f>
      </c>
      <c r="AD105" s="0">
        <f>IF(AND(ISNUMBER(W105),W105&gt;0),D105,"")</f>
      </c>
      <c r="AE105" s="0">
        <f>IF(AND(ISNUMBER(W105),W105&gt;0),IF(INDEX('PEGAR'!$D$13:$D$512,IF(L105&gt;0,L105,K105))="","Sin descripción",INDEX('PEGAR'!$D$13:$D$512,IF(L105&gt;0,L105,K105))),"")</f>
      </c>
      <c r="AF105" s="0">
        <f>IF(AND(ISNUMBER(W105),W105&gt;0),J105,"")</f>
      </c>
      <c r="AG105" s="0" t="n">
        <f>IF(AND(ISNUMBER(W105),W105&gt;0),W105,0)</f>
        <v>0</v>
      </c>
      <c r="AH105" s="0">
        <f>IF(AG105&gt;0,COUNTIFS($AG$13:AG105,"&gt;0"),"")</f>
      </c>
    </row>
    <row r="106" ht="22" customHeight="1">
      <c r="B106" s="27">
        <f>IF(K106="","",INDEX('PEGAR'!$O$13:$O$512,K106))</f>
      </c>
      <c r="C106" s="30">
        <f>IF(B106="","",IF(LEN(TRIM(INDEX('PEGAR'!$B$13:$B$512,IF(L106&gt;0,L106,K106))&amp;""))=0,"Sin capítulo",TRIM(INDEX('PEGAR'!$B$13:$B$512,IF(L106&gt;0,L106,K106))&amp;"")))</f>
      </c>
      <c r="D106" s="27">
        <f>IF(B106="","",IF(LEN(TRIM(INDEX('PEGAR'!$C$13:$C$512,IF(L106&gt;0,L106,K106))&amp;""))=0,"",TRIM(INDEX('PEGAR'!$C$13:$C$512,IF(L106&gt;0,L106,K106))&amp;"")))</f>
      </c>
      <c r="E106" s="27">
        <f>IF(B106="","",INDEX('PEGAR'!$S$13:$S$512,IF(L106&gt;0,L106,K106)))</f>
      </c>
      <c r="F106" s="39">
        <f>IF(B106="","",IF(L106&gt;0,INDEX('PEGAR'!$F$13:$F$512,L106),""))</f>
      </c>
      <c r="G106" s="39">
        <f>IF(B106="","",IF(OR(M106=0,N106&gt;0,O106&gt;0),"",SUMIFS('PEGAR'!$M$13:$M$512,'PEGAR'!$O$13:$O$512,B106)))</f>
      </c>
      <c r="H106" s="39">
        <f>IF(AND(ISNUMBER(F106),ISNUMBER(G106)),G106-F106,"")</f>
      </c>
      <c r="I106" s="27">
        <f>IF(B106="","",IF(W106=2,"ROJO",IF(W106=1,"ÁMBAR","VERDE")))</f>
      </c>
      <c r="J106" s="30">
        <f>IF(B106="","",IF(W106=0,"Sin avisos numéricos. Revisamos el alcance aparte.",IF(L106=0,"Faltan datos completos de partida; no elegimos un total por suposición."&amp;CHAR(10),"")&amp;IF(N106&gt;0,"Hay filas incompletas o contradictorias; las revisamos en PEGAR."&amp;CHAR(10),"")&amp;IF(O106&gt;0,"Faltan las medidas de alguna fila; no cerramos la suma."&amp;CHAR(10),"")&amp;IF(M106=0,"No constan líneas de medición."&amp;CHAR(10),"")&amp;IF(IF(ISNUMBER(H106),ROUND(ABS(H106),8)&gt;$F$6,FALSE),"Las líneas difieren del total en más de 0,01; confirmamos cantidad o exclusión."&amp;CHAR(10),"")&amp;IF(P106&gt;0,"Parece m³: encontramos tres dimensiones bajo m²."&amp;CHAR(10),"")&amp;IF(R106&gt;0,"Código repetido dentro del capítulo; mantenemos sus ID separados."&amp;CHAR(10),"")&amp;IF(S106&gt;0,"Código repetido en otro capítulo; no unimos las partidas."&amp;CHAR(10),"")&amp;IF(T106&gt;0,"Mismo código con unidades distintas; pedimos aclaración."&amp;CHAR(10),"")&amp;IF(Q106&gt;0,"Hay más precisión que los decimales indicados; cotejamos el formato original."&amp;CHAR(10),"")&amp;IF(U106&gt;0,"Unidad sin normalizar; cotejamos su significado antes de sumar unidades."&amp;CHAR(10),"")&amp;IF(V106&gt;0,"Revisamos dimensiones, cantidades directas, ceros o deducciones en PEGAR."&amp;CHAR(10),"")))</f>
      </c>
      <c r="K106" s="0">
        <f>IF(94&gt;'RESUMEN'!$E$6,"",MATCH(94,'PEGAR'!$W$13:$W$512,0))</f>
      </c>
      <c r="L106" s="0">
        <f>IF(K106="","",INDEX('PEGAR'!$R$13:$R$512,K106))</f>
      </c>
      <c r="M106" s="0">
        <f>IF(B106="","",COUNTIFS('PEGAR'!$O$13:$O$512,B106,'PEGAR'!$P$13:$P$512,"DIMENSIONES")+COUNTIFS('PEGAR'!$O$13:$O$512,B106,'PEGAR'!$P$13:$P$512,"DIRECTA"))</f>
      </c>
      <c r="N106" s="0">
        <f>IF(B106="","",COUNTIFS('PEGAR'!$O$13:$O$512,B106,'PEGAR'!$X$13:$X$512,2))</f>
      </c>
      <c r="O106" s="0">
        <f>IF(B106="","",COUNTIFS('PEGAR'!$O$13:$O$512,B106,'PEGAR'!$P$13:$P$512,"SIN LÍNEAS"))</f>
      </c>
      <c r="P106" s="0">
        <f>IF(B106="","",SUMIFS('PEGAR'!$Y$13:$Y$512,'PEGAR'!$O$13:$O$512,B106))</f>
      </c>
      <c r="Q106" s="0">
        <f>IF(B106="","",SUMIFS('PEGAR'!$Z$13:$Z$512,'PEGAR'!$O$13:$O$512,B106))</f>
      </c>
      <c r="R106" s="0" t="n">
        <f>IF(OR(B106="",D106=""),0,SUMPRODUCT(--($B$13:$B$512&lt;&gt;""),--($D$13:$D$512=D106),--($C$13:$C$512=C106))-1)</f>
        <v>0</v>
      </c>
      <c r="S106" s="0" t="n">
        <f>IF(OR(B106="",D106=""),0,SUMPRODUCT(--($B$13:$B$512&lt;&gt;""),--($D$13:$D$512=D106),--($C$13:$C$512&lt;&gt;C106)))</f>
        <v>0</v>
      </c>
      <c r="T106" s="0" t="n">
        <f>IF(OR(B106="",D106=""),0,SUMPRODUCT(--($B$13:$B$512&lt;&gt;""),--($D$13:$D$512=D106),--($E$13:$E$512&lt;&gt;E106)))</f>
        <v>0</v>
      </c>
      <c r="U106" s="0" t="n">
        <f>IF(B106="",0,IF(SUMPRODUCT(--('LÉEME'!$C$65:$C$86=E106))=0,1,0))</f>
        <v>0</v>
      </c>
      <c r="V106" s="0">
        <f>IF(B106="","",SUMIFS('PEGAR'!$AA$13:$AA$512,'PEGAR'!$O$13:$O$512,B106))</f>
      </c>
      <c r="W106" s="0">
        <f>IF(B106="","",IF(OR(L106=0,N106&gt;0,T106&gt;0,IF(ISNUMBER(H106),ROUND(ABS(H106),8)&gt;$F$6,FALSE)),2,IF(OR(M106=0,O106&gt;0,P106&gt;0,Q106&gt;0,R106&gt;0,S106&gt;0,U106&gt;0,V106&gt;0),1,0)))</f>
      </c>
      <c r="X106" s="0">
        <f>IF(B106="","",IF(ISNUMBER(G106),1,0))</f>
      </c>
      <c r="AB106" s="0">
        <f>IF(AND(ISNUMBER(W106),W106&gt;0),"ID "&amp;B106,"")</f>
      </c>
      <c r="AC106" s="0">
        <f>IF(AND(ISNUMBER(W106),W106&gt;0),C106,"")</f>
      </c>
      <c r="AD106" s="0">
        <f>IF(AND(ISNUMBER(W106),W106&gt;0),D106,"")</f>
      </c>
      <c r="AE106" s="0">
        <f>IF(AND(ISNUMBER(W106),W106&gt;0),IF(INDEX('PEGAR'!$D$13:$D$512,IF(L106&gt;0,L106,K106))="","Sin descripción",INDEX('PEGAR'!$D$13:$D$512,IF(L106&gt;0,L106,K106))),"")</f>
      </c>
      <c r="AF106" s="0">
        <f>IF(AND(ISNUMBER(W106),W106&gt;0),J106,"")</f>
      </c>
      <c r="AG106" s="0" t="n">
        <f>IF(AND(ISNUMBER(W106),W106&gt;0),W106,0)</f>
        <v>0</v>
      </c>
      <c r="AH106" s="0">
        <f>IF(AG106&gt;0,COUNTIFS($AG$13:AG106,"&gt;0"),"")</f>
      </c>
    </row>
    <row r="107" ht="22" customHeight="1">
      <c r="B107" s="27">
        <f>IF(K107="","",INDEX('PEGAR'!$O$13:$O$512,K107))</f>
      </c>
      <c r="C107" s="30">
        <f>IF(B107="","",IF(LEN(TRIM(INDEX('PEGAR'!$B$13:$B$512,IF(L107&gt;0,L107,K107))&amp;""))=0,"Sin capítulo",TRIM(INDEX('PEGAR'!$B$13:$B$512,IF(L107&gt;0,L107,K107))&amp;"")))</f>
      </c>
      <c r="D107" s="27">
        <f>IF(B107="","",IF(LEN(TRIM(INDEX('PEGAR'!$C$13:$C$512,IF(L107&gt;0,L107,K107))&amp;""))=0,"",TRIM(INDEX('PEGAR'!$C$13:$C$512,IF(L107&gt;0,L107,K107))&amp;"")))</f>
      </c>
      <c r="E107" s="27">
        <f>IF(B107="","",INDEX('PEGAR'!$S$13:$S$512,IF(L107&gt;0,L107,K107)))</f>
      </c>
      <c r="F107" s="39">
        <f>IF(B107="","",IF(L107&gt;0,INDEX('PEGAR'!$F$13:$F$512,L107),""))</f>
      </c>
      <c r="G107" s="39">
        <f>IF(B107="","",IF(OR(M107=0,N107&gt;0,O107&gt;0),"",SUMIFS('PEGAR'!$M$13:$M$512,'PEGAR'!$O$13:$O$512,B107)))</f>
      </c>
      <c r="H107" s="39">
        <f>IF(AND(ISNUMBER(F107),ISNUMBER(G107)),G107-F107,"")</f>
      </c>
      <c r="I107" s="27">
        <f>IF(B107="","",IF(W107=2,"ROJO",IF(W107=1,"ÁMBAR","VERDE")))</f>
      </c>
      <c r="J107" s="30">
        <f>IF(B107="","",IF(W107=0,"Sin avisos numéricos. Revisamos el alcance aparte.",IF(L107=0,"Faltan datos completos de partida; no elegimos un total por suposición."&amp;CHAR(10),"")&amp;IF(N107&gt;0,"Hay filas incompletas o contradictorias; las revisamos en PEGAR."&amp;CHAR(10),"")&amp;IF(O107&gt;0,"Faltan las medidas de alguna fila; no cerramos la suma."&amp;CHAR(10),"")&amp;IF(M107=0,"No constan líneas de medición."&amp;CHAR(10),"")&amp;IF(IF(ISNUMBER(H107),ROUND(ABS(H107),8)&gt;$F$6,FALSE),"Las líneas difieren del total en más de 0,01; confirmamos cantidad o exclusión."&amp;CHAR(10),"")&amp;IF(P107&gt;0,"Parece m³: encontramos tres dimensiones bajo m²."&amp;CHAR(10),"")&amp;IF(R107&gt;0,"Código repetido dentro del capítulo; mantenemos sus ID separados."&amp;CHAR(10),"")&amp;IF(S107&gt;0,"Código repetido en otro capítulo; no unimos las partidas."&amp;CHAR(10),"")&amp;IF(T107&gt;0,"Mismo código con unidades distintas; pedimos aclaración."&amp;CHAR(10),"")&amp;IF(Q107&gt;0,"Hay más precisión que los decimales indicados; cotejamos el formato original."&amp;CHAR(10),"")&amp;IF(U107&gt;0,"Unidad sin normalizar; cotejamos su significado antes de sumar unidades."&amp;CHAR(10),"")&amp;IF(V107&gt;0,"Revisamos dimensiones, cantidades directas, ceros o deducciones en PEGAR."&amp;CHAR(10),"")))</f>
      </c>
      <c r="K107" s="0">
        <f>IF(95&gt;'RESUMEN'!$E$6,"",MATCH(95,'PEGAR'!$W$13:$W$512,0))</f>
      </c>
      <c r="L107" s="0">
        <f>IF(K107="","",INDEX('PEGAR'!$R$13:$R$512,K107))</f>
      </c>
      <c r="M107" s="0">
        <f>IF(B107="","",COUNTIFS('PEGAR'!$O$13:$O$512,B107,'PEGAR'!$P$13:$P$512,"DIMENSIONES")+COUNTIFS('PEGAR'!$O$13:$O$512,B107,'PEGAR'!$P$13:$P$512,"DIRECTA"))</f>
      </c>
      <c r="N107" s="0">
        <f>IF(B107="","",COUNTIFS('PEGAR'!$O$13:$O$512,B107,'PEGAR'!$X$13:$X$512,2))</f>
      </c>
      <c r="O107" s="0">
        <f>IF(B107="","",COUNTIFS('PEGAR'!$O$13:$O$512,B107,'PEGAR'!$P$13:$P$512,"SIN LÍNEAS"))</f>
      </c>
      <c r="P107" s="0">
        <f>IF(B107="","",SUMIFS('PEGAR'!$Y$13:$Y$512,'PEGAR'!$O$13:$O$512,B107))</f>
      </c>
      <c r="Q107" s="0">
        <f>IF(B107="","",SUMIFS('PEGAR'!$Z$13:$Z$512,'PEGAR'!$O$13:$O$512,B107))</f>
      </c>
      <c r="R107" s="0" t="n">
        <f>IF(OR(B107="",D107=""),0,SUMPRODUCT(--($B$13:$B$512&lt;&gt;""),--($D$13:$D$512=D107),--($C$13:$C$512=C107))-1)</f>
        <v>0</v>
      </c>
      <c r="S107" s="0" t="n">
        <f>IF(OR(B107="",D107=""),0,SUMPRODUCT(--($B$13:$B$512&lt;&gt;""),--($D$13:$D$512=D107),--($C$13:$C$512&lt;&gt;C107)))</f>
        <v>0</v>
      </c>
      <c r="T107" s="0" t="n">
        <f>IF(OR(B107="",D107=""),0,SUMPRODUCT(--($B$13:$B$512&lt;&gt;""),--($D$13:$D$512=D107),--($E$13:$E$512&lt;&gt;E107)))</f>
        <v>0</v>
      </c>
      <c r="U107" s="0" t="n">
        <f>IF(B107="",0,IF(SUMPRODUCT(--('LÉEME'!$C$65:$C$86=E107))=0,1,0))</f>
        <v>0</v>
      </c>
      <c r="V107" s="0">
        <f>IF(B107="","",SUMIFS('PEGAR'!$AA$13:$AA$512,'PEGAR'!$O$13:$O$512,B107))</f>
      </c>
      <c r="W107" s="0">
        <f>IF(B107="","",IF(OR(L107=0,N107&gt;0,T107&gt;0,IF(ISNUMBER(H107),ROUND(ABS(H107),8)&gt;$F$6,FALSE)),2,IF(OR(M107=0,O107&gt;0,P107&gt;0,Q107&gt;0,R107&gt;0,S107&gt;0,U107&gt;0,V107&gt;0),1,0)))</f>
      </c>
      <c r="X107" s="0">
        <f>IF(B107="","",IF(ISNUMBER(G107),1,0))</f>
      </c>
      <c r="AB107" s="0">
        <f>IF(AND(ISNUMBER(W107),W107&gt;0),"ID "&amp;B107,"")</f>
      </c>
      <c r="AC107" s="0">
        <f>IF(AND(ISNUMBER(W107),W107&gt;0),C107,"")</f>
      </c>
      <c r="AD107" s="0">
        <f>IF(AND(ISNUMBER(W107),W107&gt;0),D107,"")</f>
      </c>
      <c r="AE107" s="0">
        <f>IF(AND(ISNUMBER(W107),W107&gt;0),IF(INDEX('PEGAR'!$D$13:$D$512,IF(L107&gt;0,L107,K107))="","Sin descripción",INDEX('PEGAR'!$D$13:$D$512,IF(L107&gt;0,L107,K107))),"")</f>
      </c>
      <c r="AF107" s="0">
        <f>IF(AND(ISNUMBER(W107),W107&gt;0),J107,"")</f>
      </c>
      <c r="AG107" s="0" t="n">
        <f>IF(AND(ISNUMBER(W107),W107&gt;0),W107,0)</f>
        <v>0</v>
      </c>
      <c r="AH107" s="0">
        <f>IF(AG107&gt;0,COUNTIFS($AG$13:AG107,"&gt;0"),"")</f>
      </c>
    </row>
    <row r="108" ht="22" customHeight="1">
      <c r="B108" s="27">
        <f>IF(K108="","",INDEX('PEGAR'!$O$13:$O$512,K108))</f>
      </c>
      <c r="C108" s="30">
        <f>IF(B108="","",IF(LEN(TRIM(INDEX('PEGAR'!$B$13:$B$512,IF(L108&gt;0,L108,K108))&amp;""))=0,"Sin capítulo",TRIM(INDEX('PEGAR'!$B$13:$B$512,IF(L108&gt;0,L108,K108))&amp;"")))</f>
      </c>
      <c r="D108" s="27">
        <f>IF(B108="","",IF(LEN(TRIM(INDEX('PEGAR'!$C$13:$C$512,IF(L108&gt;0,L108,K108))&amp;""))=0,"",TRIM(INDEX('PEGAR'!$C$13:$C$512,IF(L108&gt;0,L108,K108))&amp;"")))</f>
      </c>
      <c r="E108" s="27">
        <f>IF(B108="","",INDEX('PEGAR'!$S$13:$S$512,IF(L108&gt;0,L108,K108)))</f>
      </c>
      <c r="F108" s="39">
        <f>IF(B108="","",IF(L108&gt;0,INDEX('PEGAR'!$F$13:$F$512,L108),""))</f>
      </c>
      <c r="G108" s="39">
        <f>IF(B108="","",IF(OR(M108=0,N108&gt;0,O108&gt;0),"",SUMIFS('PEGAR'!$M$13:$M$512,'PEGAR'!$O$13:$O$512,B108)))</f>
      </c>
      <c r="H108" s="39">
        <f>IF(AND(ISNUMBER(F108),ISNUMBER(G108)),G108-F108,"")</f>
      </c>
      <c r="I108" s="27">
        <f>IF(B108="","",IF(W108=2,"ROJO",IF(W108=1,"ÁMBAR","VERDE")))</f>
      </c>
      <c r="J108" s="30">
        <f>IF(B108="","",IF(W108=0,"Sin avisos numéricos. Revisamos el alcance aparte.",IF(L108=0,"Faltan datos completos de partida; no elegimos un total por suposición."&amp;CHAR(10),"")&amp;IF(N108&gt;0,"Hay filas incompletas o contradictorias; las revisamos en PEGAR."&amp;CHAR(10),"")&amp;IF(O108&gt;0,"Faltan las medidas de alguna fila; no cerramos la suma."&amp;CHAR(10),"")&amp;IF(M108=0,"No constan líneas de medición."&amp;CHAR(10),"")&amp;IF(IF(ISNUMBER(H108),ROUND(ABS(H108),8)&gt;$F$6,FALSE),"Las líneas difieren del total en más de 0,01; confirmamos cantidad o exclusión."&amp;CHAR(10),"")&amp;IF(P108&gt;0,"Parece m³: encontramos tres dimensiones bajo m²."&amp;CHAR(10),"")&amp;IF(R108&gt;0,"Código repetido dentro del capítulo; mantenemos sus ID separados."&amp;CHAR(10),"")&amp;IF(S108&gt;0,"Código repetido en otro capítulo; no unimos las partidas."&amp;CHAR(10),"")&amp;IF(T108&gt;0,"Mismo código con unidades distintas; pedimos aclaración."&amp;CHAR(10),"")&amp;IF(Q108&gt;0,"Hay más precisión que los decimales indicados; cotejamos el formato original."&amp;CHAR(10),"")&amp;IF(U108&gt;0,"Unidad sin normalizar; cotejamos su significado antes de sumar unidades."&amp;CHAR(10),"")&amp;IF(V108&gt;0,"Revisamos dimensiones, cantidades directas, ceros o deducciones en PEGAR."&amp;CHAR(10),"")))</f>
      </c>
      <c r="K108" s="0">
        <f>IF(96&gt;'RESUMEN'!$E$6,"",MATCH(96,'PEGAR'!$W$13:$W$512,0))</f>
      </c>
      <c r="L108" s="0">
        <f>IF(K108="","",INDEX('PEGAR'!$R$13:$R$512,K108))</f>
      </c>
      <c r="M108" s="0">
        <f>IF(B108="","",COUNTIFS('PEGAR'!$O$13:$O$512,B108,'PEGAR'!$P$13:$P$512,"DIMENSIONES")+COUNTIFS('PEGAR'!$O$13:$O$512,B108,'PEGAR'!$P$13:$P$512,"DIRECTA"))</f>
      </c>
      <c r="N108" s="0">
        <f>IF(B108="","",COUNTIFS('PEGAR'!$O$13:$O$512,B108,'PEGAR'!$X$13:$X$512,2))</f>
      </c>
      <c r="O108" s="0">
        <f>IF(B108="","",COUNTIFS('PEGAR'!$O$13:$O$512,B108,'PEGAR'!$P$13:$P$512,"SIN LÍNEAS"))</f>
      </c>
      <c r="P108" s="0">
        <f>IF(B108="","",SUMIFS('PEGAR'!$Y$13:$Y$512,'PEGAR'!$O$13:$O$512,B108))</f>
      </c>
      <c r="Q108" s="0">
        <f>IF(B108="","",SUMIFS('PEGAR'!$Z$13:$Z$512,'PEGAR'!$O$13:$O$512,B108))</f>
      </c>
      <c r="R108" s="0" t="n">
        <f>IF(OR(B108="",D108=""),0,SUMPRODUCT(--($B$13:$B$512&lt;&gt;""),--($D$13:$D$512=D108),--($C$13:$C$512=C108))-1)</f>
        <v>0</v>
      </c>
      <c r="S108" s="0" t="n">
        <f>IF(OR(B108="",D108=""),0,SUMPRODUCT(--($B$13:$B$512&lt;&gt;""),--($D$13:$D$512=D108),--($C$13:$C$512&lt;&gt;C108)))</f>
        <v>0</v>
      </c>
      <c r="T108" s="0" t="n">
        <f>IF(OR(B108="",D108=""),0,SUMPRODUCT(--($B$13:$B$512&lt;&gt;""),--($D$13:$D$512=D108),--($E$13:$E$512&lt;&gt;E108)))</f>
        <v>0</v>
      </c>
      <c r="U108" s="0" t="n">
        <f>IF(B108="",0,IF(SUMPRODUCT(--('LÉEME'!$C$65:$C$86=E108))=0,1,0))</f>
        <v>0</v>
      </c>
      <c r="V108" s="0">
        <f>IF(B108="","",SUMIFS('PEGAR'!$AA$13:$AA$512,'PEGAR'!$O$13:$O$512,B108))</f>
      </c>
      <c r="W108" s="0">
        <f>IF(B108="","",IF(OR(L108=0,N108&gt;0,T108&gt;0,IF(ISNUMBER(H108),ROUND(ABS(H108),8)&gt;$F$6,FALSE)),2,IF(OR(M108=0,O108&gt;0,P108&gt;0,Q108&gt;0,R108&gt;0,S108&gt;0,U108&gt;0,V108&gt;0),1,0)))</f>
      </c>
      <c r="X108" s="0">
        <f>IF(B108="","",IF(ISNUMBER(G108),1,0))</f>
      </c>
      <c r="AB108" s="0">
        <f>IF(AND(ISNUMBER(W108),W108&gt;0),"ID "&amp;B108,"")</f>
      </c>
      <c r="AC108" s="0">
        <f>IF(AND(ISNUMBER(W108),W108&gt;0),C108,"")</f>
      </c>
      <c r="AD108" s="0">
        <f>IF(AND(ISNUMBER(W108),W108&gt;0),D108,"")</f>
      </c>
      <c r="AE108" s="0">
        <f>IF(AND(ISNUMBER(W108),W108&gt;0),IF(INDEX('PEGAR'!$D$13:$D$512,IF(L108&gt;0,L108,K108))="","Sin descripción",INDEX('PEGAR'!$D$13:$D$512,IF(L108&gt;0,L108,K108))),"")</f>
      </c>
      <c r="AF108" s="0">
        <f>IF(AND(ISNUMBER(W108),W108&gt;0),J108,"")</f>
      </c>
      <c r="AG108" s="0" t="n">
        <f>IF(AND(ISNUMBER(W108),W108&gt;0),W108,0)</f>
        <v>0</v>
      </c>
      <c r="AH108" s="0">
        <f>IF(AG108&gt;0,COUNTIFS($AG$13:AG108,"&gt;0"),"")</f>
      </c>
    </row>
    <row r="109" ht="22" customHeight="1">
      <c r="B109" s="27">
        <f>IF(K109="","",INDEX('PEGAR'!$O$13:$O$512,K109))</f>
      </c>
      <c r="C109" s="30">
        <f>IF(B109="","",IF(LEN(TRIM(INDEX('PEGAR'!$B$13:$B$512,IF(L109&gt;0,L109,K109))&amp;""))=0,"Sin capítulo",TRIM(INDEX('PEGAR'!$B$13:$B$512,IF(L109&gt;0,L109,K109))&amp;"")))</f>
      </c>
      <c r="D109" s="27">
        <f>IF(B109="","",IF(LEN(TRIM(INDEX('PEGAR'!$C$13:$C$512,IF(L109&gt;0,L109,K109))&amp;""))=0,"",TRIM(INDEX('PEGAR'!$C$13:$C$512,IF(L109&gt;0,L109,K109))&amp;"")))</f>
      </c>
      <c r="E109" s="27">
        <f>IF(B109="","",INDEX('PEGAR'!$S$13:$S$512,IF(L109&gt;0,L109,K109)))</f>
      </c>
      <c r="F109" s="39">
        <f>IF(B109="","",IF(L109&gt;0,INDEX('PEGAR'!$F$13:$F$512,L109),""))</f>
      </c>
      <c r="G109" s="39">
        <f>IF(B109="","",IF(OR(M109=0,N109&gt;0,O109&gt;0),"",SUMIFS('PEGAR'!$M$13:$M$512,'PEGAR'!$O$13:$O$512,B109)))</f>
      </c>
      <c r="H109" s="39">
        <f>IF(AND(ISNUMBER(F109),ISNUMBER(G109)),G109-F109,"")</f>
      </c>
      <c r="I109" s="27">
        <f>IF(B109="","",IF(W109=2,"ROJO",IF(W109=1,"ÁMBAR","VERDE")))</f>
      </c>
      <c r="J109" s="30">
        <f>IF(B109="","",IF(W109=0,"Sin avisos numéricos. Revisamos el alcance aparte.",IF(L109=0,"Faltan datos completos de partida; no elegimos un total por suposición."&amp;CHAR(10),"")&amp;IF(N109&gt;0,"Hay filas incompletas o contradictorias; las revisamos en PEGAR."&amp;CHAR(10),"")&amp;IF(O109&gt;0,"Faltan las medidas de alguna fila; no cerramos la suma."&amp;CHAR(10),"")&amp;IF(M109=0,"No constan líneas de medición."&amp;CHAR(10),"")&amp;IF(IF(ISNUMBER(H109),ROUND(ABS(H109),8)&gt;$F$6,FALSE),"Las líneas difieren del total en más de 0,01; confirmamos cantidad o exclusión."&amp;CHAR(10),"")&amp;IF(P109&gt;0,"Parece m³: encontramos tres dimensiones bajo m²."&amp;CHAR(10),"")&amp;IF(R109&gt;0,"Código repetido dentro del capítulo; mantenemos sus ID separados."&amp;CHAR(10),"")&amp;IF(S109&gt;0,"Código repetido en otro capítulo; no unimos las partidas."&amp;CHAR(10),"")&amp;IF(T109&gt;0,"Mismo código con unidades distintas; pedimos aclaración."&amp;CHAR(10),"")&amp;IF(Q109&gt;0,"Hay más precisión que los decimales indicados; cotejamos el formato original."&amp;CHAR(10),"")&amp;IF(U109&gt;0,"Unidad sin normalizar; cotejamos su significado antes de sumar unidades."&amp;CHAR(10),"")&amp;IF(V109&gt;0,"Revisamos dimensiones, cantidades directas, ceros o deducciones en PEGAR."&amp;CHAR(10),"")))</f>
      </c>
      <c r="K109" s="0">
        <f>IF(97&gt;'RESUMEN'!$E$6,"",MATCH(97,'PEGAR'!$W$13:$W$512,0))</f>
      </c>
      <c r="L109" s="0">
        <f>IF(K109="","",INDEX('PEGAR'!$R$13:$R$512,K109))</f>
      </c>
      <c r="M109" s="0">
        <f>IF(B109="","",COUNTIFS('PEGAR'!$O$13:$O$512,B109,'PEGAR'!$P$13:$P$512,"DIMENSIONES")+COUNTIFS('PEGAR'!$O$13:$O$512,B109,'PEGAR'!$P$13:$P$512,"DIRECTA"))</f>
      </c>
      <c r="N109" s="0">
        <f>IF(B109="","",COUNTIFS('PEGAR'!$O$13:$O$512,B109,'PEGAR'!$X$13:$X$512,2))</f>
      </c>
      <c r="O109" s="0">
        <f>IF(B109="","",COUNTIFS('PEGAR'!$O$13:$O$512,B109,'PEGAR'!$P$13:$P$512,"SIN LÍNEAS"))</f>
      </c>
      <c r="P109" s="0">
        <f>IF(B109="","",SUMIFS('PEGAR'!$Y$13:$Y$512,'PEGAR'!$O$13:$O$512,B109))</f>
      </c>
      <c r="Q109" s="0">
        <f>IF(B109="","",SUMIFS('PEGAR'!$Z$13:$Z$512,'PEGAR'!$O$13:$O$512,B109))</f>
      </c>
      <c r="R109" s="0" t="n">
        <f>IF(OR(B109="",D109=""),0,SUMPRODUCT(--($B$13:$B$512&lt;&gt;""),--($D$13:$D$512=D109),--($C$13:$C$512=C109))-1)</f>
        <v>0</v>
      </c>
      <c r="S109" s="0" t="n">
        <f>IF(OR(B109="",D109=""),0,SUMPRODUCT(--($B$13:$B$512&lt;&gt;""),--($D$13:$D$512=D109),--($C$13:$C$512&lt;&gt;C109)))</f>
        <v>0</v>
      </c>
      <c r="T109" s="0" t="n">
        <f>IF(OR(B109="",D109=""),0,SUMPRODUCT(--($B$13:$B$512&lt;&gt;""),--($D$13:$D$512=D109),--($E$13:$E$512&lt;&gt;E109)))</f>
        <v>0</v>
      </c>
      <c r="U109" s="0" t="n">
        <f>IF(B109="",0,IF(SUMPRODUCT(--('LÉEME'!$C$65:$C$86=E109))=0,1,0))</f>
        <v>0</v>
      </c>
      <c r="V109" s="0">
        <f>IF(B109="","",SUMIFS('PEGAR'!$AA$13:$AA$512,'PEGAR'!$O$13:$O$512,B109))</f>
      </c>
      <c r="W109" s="0">
        <f>IF(B109="","",IF(OR(L109=0,N109&gt;0,T109&gt;0,IF(ISNUMBER(H109),ROUND(ABS(H109),8)&gt;$F$6,FALSE)),2,IF(OR(M109=0,O109&gt;0,P109&gt;0,Q109&gt;0,R109&gt;0,S109&gt;0,U109&gt;0,V109&gt;0),1,0)))</f>
      </c>
      <c r="X109" s="0">
        <f>IF(B109="","",IF(ISNUMBER(G109),1,0))</f>
      </c>
      <c r="AB109" s="0">
        <f>IF(AND(ISNUMBER(W109),W109&gt;0),"ID "&amp;B109,"")</f>
      </c>
      <c r="AC109" s="0">
        <f>IF(AND(ISNUMBER(W109),W109&gt;0),C109,"")</f>
      </c>
      <c r="AD109" s="0">
        <f>IF(AND(ISNUMBER(W109),W109&gt;0),D109,"")</f>
      </c>
      <c r="AE109" s="0">
        <f>IF(AND(ISNUMBER(W109),W109&gt;0),IF(INDEX('PEGAR'!$D$13:$D$512,IF(L109&gt;0,L109,K109))="","Sin descripción",INDEX('PEGAR'!$D$13:$D$512,IF(L109&gt;0,L109,K109))),"")</f>
      </c>
      <c r="AF109" s="0">
        <f>IF(AND(ISNUMBER(W109),W109&gt;0),J109,"")</f>
      </c>
      <c r="AG109" s="0" t="n">
        <f>IF(AND(ISNUMBER(W109),W109&gt;0),W109,0)</f>
        <v>0</v>
      </c>
      <c r="AH109" s="0">
        <f>IF(AG109&gt;0,COUNTIFS($AG$13:AG109,"&gt;0"),"")</f>
      </c>
    </row>
    <row r="110" ht="22" customHeight="1">
      <c r="B110" s="27">
        <f>IF(K110="","",INDEX('PEGAR'!$O$13:$O$512,K110))</f>
      </c>
      <c r="C110" s="30">
        <f>IF(B110="","",IF(LEN(TRIM(INDEX('PEGAR'!$B$13:$B$512,IF(L110&gt;0,L110,K110))&amp;""))=0,"Sin capítulo",TRIM(INDEX('PEGAR'!$B$13:$B$512,IF(L110&gt;0,L110,K110))&amp;"")))</f>
      </c>
      <c r="D110" s="27">
        <f>IF(B110="","",IF(LEN(TRIM(INDEX('PEGAR'!$C$13:$C$512,IF(L110&gt;0,L110,K110))&amp;""))=0,"",TRIM(INDEX('PEGAR'!$C$13:$C$512,IF(L110&gt;0,L110,K110))&amp;"")))</f>
      </c>
      <c r="E110" s="27">
        <f>IF(B110="","",INDEX('PEGAR'!$S$13:$S$512,IF(L110&gt;0,L110,K110)))</f>
      </c>
      <c r="F110" s="39">
        <f>IF(B110="","",IF(L110&gt;0,INDEX('PEGAR'!$F$13:$F$512,L110),""))</f>
      </c>
      <c r="G110" s="39">
        <f>IF(B110="","",IF(OR(M110=0,N110&gt;0,O110&gt;0),"",SUMIFS('PEGAR'!$M$13:$M$512,'PEGAR'!$O$13:$O$512,B110)))</f>
      </c>
      <c r="H110" s="39">
        <f>IF(AND(ISNUMBER(F110),ISNUMBER(G110)),G110-F110,"")</f>
      </c>
      <c r="I110" s="27">
        <f>IF(B110="","",IF(W110=2,"ROJO",IF(W110=1,"ÁMBAR","VERDE")))</f>
      </c>
      <c r="J110" s="30">
        <f>IF(B110="","",IF(W110=0,"Sin avisos numéricos. Revisamos el alcance aparte.",IF(L110=0,"Faltan datos completos de partida; no elegimos un total por suposición."&amp;CHAR(10),"")&amp;IF(N110&gt;0,"Hay filas incompletas o contradictorias; las revisamos en PEGAR."&amp;CHAR(10),"")&amp;IF(O110&gt;0,"Faltan las medidas de alguna fila; no cerramos la suma."&amp;CHAR(10),"")&amp;IF(M110=0,"No constan líneas de medición."&amp;CHAR(10),"")&amp;IF(IF(ISNUMBER(H110),ROUND(ABS(H110),8)&gt;$F$6,FALSE),"Las líneas difieren del total en más de 0,01; confirmamos cantidad o exclusión."&amp;CHAR(10),"")&amp;IF(P110&gt;0,"Parece m³: encontramos tres dimensiones bajo m²."&amp;CHAR(10),"")&amp;IF(R110&gt;0,"Código repetido dentro del capítulo; mantenemos sus ID separados."&amp;CHAR(10),"")&amp;IF(S110&gt;0,"Código repetido en otro capítulo; no unimos las partidas."&amp;CHAR(10),"")&amp;IF(T110&gt;0,"Mismo código con unidades distintas; pedimos aclaración."&amp;CHAR(10),"")&amp;IF(Q110&gt;0,"Hay más precisión que los decimales indicados; cotejamos el formato original."&amp;CHAR(10),"")&amp;IF(U110&gt;0,"Unidad sin normalizar; cotejamos su significado antes de sumar unidades."&amp;CHAR(10),"")&amp;IF(V110&gt;0,"Revisamos dimensiones, cantidades directas, ceros o deducciones en PEGAR."&amp;CHAR(10),"")))</f>
      </c>
      <c r="K110" s="0">
        <f>IF(98&gt;'RESUMEN'!$E$6,"",MATCH(98,'PEGAR'!$W$13:$W$512,0))</f>
      </c>
      <c r="L110" s="0">
        <f>IF(K110="","",INDEX('PEGAR'!$R$13:$R$512,K110))</f>
      </c>
      <c r="M110" s="0">
        <f>IF(B110="","",COUNTIFS('PEGAR'!$O$13:$O$512,B110,'PEGAR'!$P$13:$P$512,"DIMENSIONES")+COUNTIFS('PEGAR'!$O$13:$O$512,B110,'PEGAR'!$P$13:$P$512,"DIRECTA"))</f>
      </c>
      <c r="N110" s="0">
        <f>IF(B110="","",COUNTIFS('PEGAR'!$O$13:$O$512,B110,'PEGAR'!$X$13:$X$512,2))</f>
      </c>
      <c r="O110" s="0">
        <f>IF(B110="","",COUNTIFS('PEGAR'!$O$13:$O$512,B110,'PEGAR'!$P$13:$P$512,"SIN LÍNEAS"))</f>
      </c>
      <c r="P110" s="0">
        <f>IF(B110="","",SUMIFS('PEGAR'!$Y$13:$Y$512,'PEGAR'!$O$13:$O$512,B110))</f>
      </c>
      <c r="Q110" s="0">
        <f>IF(B110="","",SUMIFS('PEGAR'!$Z$13:$Z$512,'PEGAR'!$O$13:$O$512,B110))</f>
      </c>
      <c r="R110" s="0" t="n">
        <f>IF(OR(B110="",D110=""),0,SUMPRODUCT(--($B$13:$B$512&lt;&gt;""),--($D$13:$D$512=D110),--($C$13:$C$512=C110))-1)</f>
        <v>0</v>
      </c>
      <c r="S110" s="0" t="n">
        <f>IF(OR(B110="",D110=""),0,SUMPRODUCT(--($B$13:$B$512&lt;&gt;""),--($D$13:$D$512=D110),--($C$13:$C$512&lt;&gt;C110)))</f>
        <v>0</v>
      </c>
      <c r="T110" s="0" t="n">
        <f>IF(OR(B110="",D110=""),0,SUMPRODUCT(--($B$13:$B$512&lt;&gt;""),--($D$13:$D$512=D110),--($E$13:$E$512&lt;&gt;E110)))</f>
        <v>0</v>
      </c>
      <c r="U110" s="0" t="n">
        <f>IF(B110="",0,IF(SUMPRODUCT(--('LÉEME'!$C$65:$C$86=E110))=0,1,0))</f>
        <v>0</v>
      </c>
      <c r="V110" s="0">
        <f>IF(B110="","",SUMIFS('PEGAR'!$AA$13:$AA$512,'PEGAR'!$O$13:$O$512,B110))</f>
      </c>
      <c r="W110" s="0">
        <f>IF(B110="","",IF(OR(L110=0,N110&gt;0,T110&gt;0,IF(ISNUMBER(H110),ROUND(ABS(H110),8)&gt;$F$6,FALSE)),2,IF(OR(M110=0,O110&gt;0,P110&gt;0,Q110&gt;0,R110&gt;0,S110&gt;0,U110&gt;0,V110&gt;0),1,0)))</f>
      </c>
      <c r="X110" s="0">
        <f>IF(B110="","",IF(ISNUMBER(G110),1,0))</f>
      </c>
      <c r="AB110" s="0">
        <f>IF(AND(ISNUMBER(W110),W110&gt;0),"ID "&amp;B110,"")</f>
      </c>
      <c r="AC110" s="0">
        <f>IF(AND(ISNUMBER(W110),W110&gt;0),C110,"")</f>
      </c>
      <c r="AD110" s="0">
        <f>IF(AND(ISNUMBER(W110),W110&gt;0),D110,"")</f>
      </c>
      <c r="AE110" s="0">
        <f>IF(AND(ISNUMBER(W110),W110&gt;0),IF(INDEX('PEGAR'!$D$13:$D$512,IF(L110&gt;0,L110,K110))="","Sin descripción",INDEX('PEGAR'!$D$13:$D$512,IF(L110&gt;0,L110,K110))),"")</f>
      </c>
      <c r="AF110" s="0">
        <f>IF(AND(ISNUMBER(W110),W110&gt;0),J110,"")</f>
      </c>
      <c r="AG110" s="0" t="n">
        <f>IF(AND(ISNUMBER(W110),W110&gt;0),W110,0)</f>
        <v>0</v>
      </c>
      <c r="AH110" s="0">
        <f>IF(AG110&gt;0,COUNTIFS($AG$13:AG110,"&gt;0"),"")</f>
      </c>
    </row>
    <row r="111" ht="22" customHeight="1">
      <c r="B111" s="27">
        <f>IF(K111="","",INDEX('PEGAR'!$O$13:$O$512,K111))</f>
      </c>
      <c r="C111" s="30">
        <f>IF(B111="","",IF(LEN(TRIM(INDEX('PEGAR'!$B$13:$B$512,IF(L111&gt;0,L111,K111))&amp;""))=0,"Sin capítulo",TRIM(INDEX('PEGAR'!$B$13:$B$512,IF(L111&gt;0,L111,K111))&amp;"")))</f>
      </c>
      <c r="D111" s="27">
        <f>IF(B111="","",IF(LEN(TRIM(INDEX('PEGAR'!$C$13:$C$512,IF(L111&gt;0,L111,K111))&amp;""))=0,"",TRIM(INDEX('PEGAR'!$C$13:$C$512,IF(L111&gt;0,L111,K111))&amp;"")))</f>
      </c>
      <c r="E111" s="27">
        <f>IF(B111="","",INDEX('PEGAR'!$S$13:$S$512,IF(L111&gt;0,L111,K111)))</f>
      </c>
      <c r="F111" s="39">
        <f>IF(B111="","",IF(L111&gt;0,INDEX('PEGAR'!$F$13:$F$512,L111),""))</f>
      </c>
      <c r="G111" s="39">
        <f>IF(B111="","",IF(OR(M111=0,N111&gt;0,O111&gt;0),"",SUMIFS('PEGAR'!$M$13:$M$512,'PEGAR'!$O$13:$O$512,B111)))</f>
      </c>
      <c r="H111" s="39">
        <f>IF(AND(ISNUMBER(F111),ISNUMBER(G111)),G111-F111,"")</f>
      </c>
      <c r="I111" s="27">
        <f>IF(B111="","",IF(W111=2,"ROJO",IF(W111=1,"ÁMBAR","VERDE")))</f>
      </c>
      <c r="J111" s="30">
        <f>IF(B111="","",IF(W111=0,"Sin avisos numéricos. Revisamos el alcance aparte.",IF(L111=0,"Faltan datos completos de partida; no elegimos un total por suposición."&amp;CHAR(10),"")&amp;IF(N111&gt;0,"Hay filas incompletas o contradictorias; las revisamos en PEGAR."&amp;CHAR(10),"")&amp;IF(O111&gt;0,"Faltan las medidas de alguna fila; no cerramos la suma."&amp;CHAR(10),"")&amp;IF(M111=0,"No constan líneas de medición."&amp;CHAR(10),"")&amp;IF(IF(ISNUMBER(H111),ROUND(ABS(H111),8)&gt;$F$6,FALSE),"Las líneas difieren del total en más de 0,01; confirmamos cantidad o exclusión."&amp;CHAR(10),"")&amp;IF(P111&gt;0,"Parece m³: encontramos tres dimensiones bajo m²."&amp;CHAR(10),"")&amp;IF(R111&gt;0,"Código repetido dentro del capítulo; mantenemos sus ID separados."&amp;CHAR(10),"")&amp;IF(S111&gt;0,"Código repetido en otro capítulo; no unimos las partidas."&amp;CHAR(10),"")&amp;IF(T111&gt;0,"Mismo código con unidades distintas; pedimos aclaración."&amp;CHAR(10),"")&amp;IF(Q111&gt;0,"Hay más precisión que los decimales indicados; cotejamos el formato original."&amp;CHAR(10),"")&amp;IF(U111&gt;0,"Unidad sin normalizar; cotejamos su significado antes de sumar unidades."&amp;CHAR(10),"")&amp;IF(V111&gt;0,"Revisamos dimensiones, cantidades directas, ceros o deducciones en PEGAR."&amp;CHAR(10),"")))</f>
      </c>
      <c r="K111" s="0">
        <f>IF(99&gt;'RESUMEN'!$E$6,"",MATCH(99,'PEGAR'!$W$13:$W$512,0))</f>
      </c>
      <c r="L111" s="0">
        <f>IF(K111="","",INDEX('PEGAR'!$R$13:$R$512,K111))</f>
      </c>
      <c r="M111" s="0">
        <f>IF(B111="","",COUNTIFS('PEGAR'!$O$13:$O$512,B111,'PEGAR'!$P$13:$P$512,"DIMENSIONES")+COUNTIFS('PEGAR'!$O$13:$O$512,B111,'PEGAR'!$P$13:$P$512,"DIRECTA"))</f>
      </c>
      <c r="N111" s="0">
        <f>IF(B111="","",COUNTIFS('PEGAR'!$O$13:$O$512,B111,'PEGAR'!$X$13:$X$512,2))</f>
      </c>
      <c r="O111" s="0">
        <f>IF(B111="","",COUNTIFS('PEGAR'!$O$13:$O$512,B111,'PEGAR'!$P$13:$P$512,"SIN LÍNEAS"))</f>
      </c>
      <c r="P111" s="0">
        <f>IF(B111="","",SUMIFS('PEGAR'!$Y$13:$Y$512,'PEGAR'!$O$13:$O$512,B111))</f>
      </c>
      <c r="Q111" s="0">
        <f>IF(B111="","",SUMIFS('PEGAR'!$Z$13:$Z$512,'PEGAR'!$O$13:$O$512,B111))</f>
      </c>
      <c r="R111" s="0" t="n">
        <f>IF(OR(B111="",D111=""),0,SUMPRODUCT(--($B$13:$B$512&lt;&gt;""),--($D$13:$D$512=D111),--($C$13:$C$512=C111))-1)</f>
        <v>0</v>
      </c>
      <c r="S111" s="0" t="n">
        <f>IF(OR(B111="",D111=""),0,SUMPRODUCT(--($B$13:$B$512&lt;&gt;""),--($D$13:$D$512=D111),--($C$13:$C$512&lt;&gt;C111)))</f>
        <v>0</v>
      </c>
      <c r="T111" s="0" t="n">
        <f>IF(OR(B111="",D111=""),0,SUMPRODUCT(--($B$13:$B$512&lt;&gt;""),--($D$13:$D$512=D111),--($E$13:$E$512&lt;&gt;E111)))</f>
        <v>0</v>
      </c>
      <c r="U111" s="0" t="n">
        <f>IF(B111="",0,IF(SUMPRODUCT(--('LÉEME'!$C$65:$C$86=E111))=0,1,0))</f>
        <v>0</v>
      </c>
      <c r="V111" s="0">
        <f>IF(B111="","",SUMIFS('PEGAR'!$AA$13:$AA$512,'PEGAR'!$O$13:$O$512,B111))</f>
      </c>
      <c r="W111" s="0">
        <f>IF(B111="","",IF(OR(L111=0,N111&gt;0,T111&gt;0,IF(ISNUMBER(H111),ROUND(ABS(H111),8)&gt;$F$6,FALSE)),2,IF(OR(M111=0,O111&gt;0,P111&gt;0,Q111&gt;0,R111&gt;0,S111&gt;0,U111&gt;0,V111&gt;0),1,0)))</f>
      </c>
      <c r="X111" s="0">
        <f>IF(B111="","",IF(ISNUMBER(G111),1,0))</f>
      </c>
      <c r="AB111" s="0">
        <f>IF(AND(ISNUMBER(W111),W111&gt;0),"ID "&amp;B111,"")</f>
      </c>
      <c r="AC111" s="0">
        <f>IF(AND(ISNUMBER(W111),W111&gt;0),C111,"")</f>
      </c>
      <c r="AD111" s="0">
        <f>IF(AND(ISNUMBER(W111),W111&gt;0),D111,"")</f>
      </c>
      <c r="AE111" s="0">
        <f>IF(AND(ISNUMBER(W111),W111&gt;0),IF(INDEX('PEGAR'!$D$13:$D$512,IF(L111&gt;0,L111,K111))="","Sin descripción",INDEX('PEGAR'!$D$13:$D$512,IF(L111&gt;0,L111,K111))),"")</f>
      </c>
      <c r="AF111" s="0">
        <f>IF(AND(ISNUMBER(W111),W111&gt;0),J111,"")</f>
      </c>
      <c r="AG111" s="0" t="n">
        <f>IF(AND(ISNUMBER(W111),W111&gt;0),W111,0)</f>
        <v>0</v>
      </c>
      <c r="AH111" s="0">
        <f>IF(AG111&gt;0,COUNTIFS($AG$13:AG111,"&gt;0"),"")</f>
      </c>
    </row>
    <row r="112" ht="22" customHeight="1">
      <c r="B112" s="27">
        <f>IF(K112="","",INDEX('PEGAR'!$O$13:$O$512,K112))</f>
      </c>
      <c r="C112" s="30">
        <f>IF(B112="","",IF(LEN(TRIM(INDEX('PEGAR'!$B$13:$B$512,IF(L112&gt;0,L112,K112))&amp;""))=0,"Sin capítulo",TRIM(INDEX('PEGAR'!$B$13:$B$512,IF(L112&gt;0,L112,K112))&amp;"")))</f>
      </c>
      <c r="D112" s="27">
        <f>IF(B112="","",IF(LEN(TRIM(INDEX('PEGAR'!$C$13:$C$512,IF(L112&gt;0,L112,K112))&amp;""))=0,"",TRIM(INDEX('PEGAR'!$C$13:$C$512,IF(L112&gt;0,L112,K112))&amp;"")))</f>
      </c>
      <c r="E112" s="27">
        <f>IF(B112="","",INDEX('PEGAR'!$S$13:$S$512,IF(L112&gt;0,L112,K112)))</f>
      </c>
      <c r="F112" s="39">
        <f>IF(B112="","",IF(L112&gt;0,INDEX('PEGAR'!$F$13:$F$512,L112),""))</f>
      </c>
      <c r="G112" s="39">
        <f>IF(B112="","",IF(OR(M112=0,N112&gt;0,O112&gt;0),"",SUMIFS('PEGAR'!$M$13:$M$512,'PEGAR'!$O$13:$O$512,B112)))</f>
      </c>
      <c r="H112" s="39">
        <f>IF(AND(ISNUMBER(F112),ISNUMBER(G112)),G112-F112,"")</f>
      </c>
      <c r="I112" s="27">
        <f>IF(B112="","",IF(W112=2,"ROJO",IF(W112=1,"ÁMBAR","VERDE")))</f>
      </c>
      <c r="J112" s="30">
        <f>IF(B112="","",IF(W112=0,"Sin avisos numéricos. Revisamos el alcance aparte.",IF(L112=0,"Faltan datos completos de partida; no elegimos un total por suposición."&amp;CHAR(10),"")&amp;IF(N112&gt;0,"Hay filas incompletas o contradictorias; las revisamos en PEGAR."&amp;CHAR(10),"")&amp;IF(O112&gt;0,"Faltan las medidas de alguna fila; no cerramos la suma."&amp;CHAR(10),"")&amp;IF(M112=0,"No constan líneas de medición."&amp;CHAR(10),"")&amp;IF(IF(ISNUMBER(H112),ROUND(ABS(H112),8)&gt;$F$6,FALSE),"Las líneas difieren del total en más de 0,01; confirmamos cantidad o exclusión."&amp;CHAR(10),"")&amp;IF(P112&gt;0,"Parece m³: encontramos tres dimensiones bajo m²."&amp;CHAR(10),"")&amp;IF(R112&gt;0,"Código repetido dentro del capítulo; mantenemos sus ID separados."&amp;CHAR(10),"")&amp;IF(S112&gt;0,"Código repetido en otro capítulo; no unimos las partidas."&amp;CHAR(10),"")&amp;IF(T112&gt;0,"Mismo código con unidades distintas; pedimos aclaración."&amp;CHAR(10),"")&amp;IF(Q112&gt;0,"Hay más precisión que los decimales indicados; cotejamos el formato original."&amp;CHAR(10),"")&amp;IF(U112&gt;0,"Unidad sin normalizar; cotejamos su significado antes de sumar unidades."&amp;CHAR(10),"")&amp;IF(V112&gt;0,"Revisamos dimensiones, cantidades directas, ceros o deducciones en PEGAR."&amp;CHAR(10),"")))</f>
      </c>
      <c r="K112" s="0">
        <f>IF(100&gt;'RESUMEN'!$E$6,"",MATCH(100,'PEGAR'!$W$13:$W$512,0))</f>
      </c>
      <c r="L112" s="0">
        <f>IF(K112="","",INDEX('PEGAR'!$R$13:$R$512,K112))</f>
      </c>
      <c r="M112" s="0">
        <f>IF(B112="","",COUNTIFS('PEGAR'!$O$13:$O$512,B112,'PEGAR'!$P$13:$P$512,"DIMENSIONES")+COUNTIFS('PEGAR'!$O$13:$O$512,B112,'PEGAR'!$P$13:$P$512,"DIRECTA"))</f>
      </c>
      <c r="N112" s="0">
        <f>IF(B112="","",COUNTIFS('PEGAR'!$O$13:$O$512,B112,'PEGAR'!$X$13:$X$512,2))</f>
      </c>
      <c r="O112" s="0">
        <f>IF(B112="","",COUNTIFS('PEGAR'!$O$13:$O$512,B112,'PEGAR'!$P$13:$P$512,"SIN LÍNEAS"))</f>
      </c>
      <c r="P112" s="0">
        <f>IF(B112="","",SUMIFS('PEGAR'!$Y$13:$Y$512,'PEGAR'!$O$13:$O$512,B112))</f>
      </c>
      <c r="Q112" s="0">
        <f>IF(B112="","",SUMIFS('PEGAR'!$Z$13:$Z$512,'PEGAR'!$O$13:$O$512,B112))</f>
      </c>
      <c r="R112" s="0" t="n">
        <f>IF(OR(B112="",D112=""),0,SUMPRODUCT(--($B$13:$B$512&lt;&gt;""),--($D$13:$D$512=D112),--($C$13:$C$512=C112))-1)</f>
        <v>0</v>
      </c>
      <c r="S112" s="0" t="n">
        <f>IF(OR(B112="",D112=""),0,SUMPRODUCT(--($B$13:$B$512&lt;&gt;""),--($D$13:$D$512=D112),--($C$13:$C$512&lt;&gt;C112)))</f>
        <v>0</v>
      </c>
      <c r="T112" s="0" t="n">
        <f>IF(OR(B112="",D112=""),0,SUMPRODUCT(--($B$13:$B$512&lt;&gt;""),--($D$13:$D$512=D112),--($E$13:$E$512&lt;&gt;E112)))</f>
        <v>0</v>
      </c>
      <c r="U112" s="0" t="n">
        <f>IF(B112="",0,IF(SUMPRODUCT(--('LÉEME'!$C$65:$C$86=E112))=0,1,0))</f>
        <v>0</v>
      </c>
      <c r="V112" s="0">
        <f>IF(B112="","",SUMIFS('PEGAR'!$AA$13:$AA$512,'PEGAR'!$O$13:$O$512,B112))</f>
      </c>
      <c r="W112" s="0">
        <f>IF(B112="","",IF(OR(L112=0,N112&gt;0,T112&gt;0,IF(ISNUMBER(H112),ROUND(ABS(H112),8)&gt;$F$6,FALSE)),2,IF(OR(M112=0,O112&gt;0,P112&gt;0,Q112&gt;0,R112&gt;0,S112&gt;0,U112&gt;0,V112&gt;0),1,0)))</f>
      </c>
      <c r="X112" s="0">
        <f>IF(B112="","",IF(ISNUMBER(G112),1,0))</f>
      </c>
      <c r="AB112" s="0">
        <f>IF(AND(ISNUMBER(W112),W112&gt;0),"ID "&amp;B112,"")</f>
      </c>
      <c r="AC112" s="0">
        <f>IF(AND(ISNUMBER(W112),W112&gt;0),C112,"")</f>
      </c>
      <c r="AD112" s="0">
        <f>IF(AND(ISNUMBER(W112),W112&gt;0),D112,"")</f>
      </c>
      <c r="AE112" s="0">
        <f>IF(AND(ISNUMBER(W112),W112&gt;0),IF(INDEX('PEGAR'!$D$13:$D$512,IF(L112&gt;0,L112,K112))="","Sin descripción",INDEX('PEGAR'!$D$13:$D$512,IF(L112&gt;0,L112,K112))),"")</f>
      </c>
      <c r="AF112" s="0">
        <f>IF(AND(ISNUMBER(W112),W112&gt;0),J112,"")</f>
      </c>
      <c r="AG112" s="0" t="n">
        <f>IF(AND(ISNUMBER(W112),W112&gt;0),W112,0)</f>
        <v>0</v>
      </c>
      <c r="AH112" s="0">
        <f>IF(AG112&gt;0,COUNTIFS($AG$13:AG112,"&gt;0"),"")</f>
      </c>
    </row>
    <row r="113" ht="22" customHeight="1">
      <c r="B113" s="27">
        <f>IF(K113="","",INDEX('PEGAR'!$O$13:$O$512,K113))</f>
      </c>
      <c r="C113" s="30">
        <f>IF(B113="","",IF(LEN(TRIM(INDEX('PEGAR'!$B$13:$B$512,IF(L113&gt;0,L113,K113))&amp;""))=0,"Sin capítulo",TRIM(INDEX('PEGAR'!$B$13:$B$512,IF(L113&gt;0,L113,K113))&amp;"")))</f>
      </c>
      <c r="D113" s="27">
        <f>IF(B113="","",IF(LEN(TRIM(INDEX('PEGAR'!$C$13:$C$512,IF(L113&gt;0,L113,K113))&amp;""))=0,"",TRIM(INDEX('PEGAR'!$C$13:$C$512,IF(L113&gt;0,L113,K113))&amp;"")))</f>
      </c>
      <c r="E113" s="27">
        <f>IF(B113="","",INDEX('PEGAR'!$S$13:$S$512,IF(L113&gt;0,L113,K113)))</f>
      </c>
      <c r="F113" s="39">
        <f>IF(B113="","",IF(L113&gt;0,INDEX('PEGAR'!$F$13:$F$512,L113),""))</f>
      </c>
      <c r="G113" s="39">
        <f>IF(B113="","",IF(OR(M113=0,N113&gt;0,O113&gt;0),"",SUMIFS('PEGAR'!$M$13:$M$512,'PEGAR'!$O$13:$O$512,B113)))</f>
      </c>
      <c r="H113" s="39">
        <f>IF(AND(ISNUMBER(F113),ISNUMBER(G113)),G113-F113,"")</f>
      </c>
      <c r="I113" s="27">
        <f>IF(B113="","",IF(W113=2,"ROJO",IF(W113=1,"ÁMBAR","VERDE")))</f>
      </c>
      <c r="J113" s="30">
        <f>IF(B113="","",IF(W113=0,"Sin avisos numéricos. Revisamos el alcance aparte.",IF(L113=0,"Faltan datos completos de partida; no elegimos un total por suposición."&amp;CHAR(10),"")&amp;IF(N113&gt;0,"Hay filas incompletas o contradictorias; las revisamos en PEGAR."&amp;CHAR(10),"")&amp;IF(O113&gt;0,"Faltan las medidas de alguna fila; no cerramos la suma."&amp;CHAR(10),"")&amp;IF(M113=0,"No constan líneas de medición."&amp;CHAR(10),"")&amp;IF(IF(ISNUMBER(H113),ROUND(ABS(H113),8)&gt;$F$6,FALSE),"Las líneas difieren del total en más de 0,01; confirmamos cantidad o exclusión."&amp;CHAR(10),"")&amp;IF(P113&gt;0,"Parece m³: encontramos tres dimensiones bajo m²."&amp;CHAR(10),"")&amp;IF(R113&gt;0,"Código repetido dentro del capítulo; mantenemos sus ID separados."&amp;CHAR(10),"")&amp;IF(S113&gt;0,"Código repetido en otro capítulo; no unimos las partidas."&amp;CHAR(10),"")&amp;IF(T113&gt;0,"Mismo código con unidades distintas; pedimos aclaración."&amp;CHAR(10),"")&amp;IF(Q113&gt;0,"Hay más precisión que los decimales indicados; cotejamos el formato original."&amp;CHAR(10),"")&amp;IF(U113&gt;0,"Unidad sin normalizar; cotejamos su significado antes de sumar unidades."&amp;CHAR(10),"")&amp;IF(V113&gt;0,"Revisamos dimensiones, cantidades directas, ceros o deducciones en PEGAR."&amp;CHAR(10),"")))</f>
      </c>
      <c r="K113" s="0">
        <f>IF(101&gt;'RESUMEN'!$E$6,"",MATCH(101,'PEGAR'!$W$13:$W$512,0))</f>
      </c>
      <c r="L113" s="0">
        <f>IF(K113="","",INDEX('PEGAR'!$R$13:$R$512,K113))</f>
      </c>
      <c r="M113" s="0">
        <f>IF(B113="","",COUNTIFS('PEGAR'!$O$13:$O$512,B113,'PEGAR'!$P$13:$P$512,"DIMENSIONES")+COUNTIFS('PEGAR'!$O$13:$O$512,B113,'PEGAR'!$P$13:$P$512,"DIRECTA"))</f>
      </c>
      <c r="N113" s="0">
        <f>IF(B113="","",COUNTIFS('PEGAR'!$O$13:$O$512,B113,'PEGAR'!$X$13:$X$512,2))</f>
      </c>
      <c r="O113" s="0">
        <f>IF(B113="","",COUNTIFS('PEGAR'!$O$13:$O$512,B113,'PEGAR'!$P$13:$P$512,"SIN LÍNEAS"))</f>
      </c>
      <c r="P113" s="0">
        <f>IF(B113="","",SUMIFS('PEGAR'!$Y$13:$Y$512,'PEGAR'!$O$13:$O$512,B113))</f>
      </c>
      <c r="Q113" s="0">
        <f>IF(B113="","",SUMIFS('PEGAR'!$Z$13:$Z$512,'PEGAR'!$O$13:$O$512,B113))</f>
      </c>
      <c r="R113" s="0" t="n">
        <f>IF(OR(B113="",D113=""),0,SUMPRODUCT(--($B$13:$B$512&lt;&gt;""),--($D$13:$D$512=D113),--($C$13:$C$512=C113))-1)</f>
        <v>0</v>
      </c>
      <c r="S113" s="0" t="n">
        <f>IF(OR(B113="",D113=""),0,SUMPRODUCT(--($B$13:$B$512&lt;&gt;""),--($D$13:$D$512=D113),--($C$13:$C$512&lt;&gt;C113)))</f>
        <v>0</v>
      </c>
      <c r="T113" s="0" t="n">
        <f>IF(OR(B113="",D113=""),0,SUMPRODUCT(--($B$13:$B$512&lt;&gt;""),--($D$13:$D$512=D113),--($E$13:$E$512&lt;&gt;E113)))</f>
        <v>0</v>
      </c>
      <c r="U113" s="0" t="n">
        <f>IF(B113="",0,IF(SUMPRODUCT(--('LÉEME'!$C$65:$C$86=E113))=0,1,0))</f>
        <v>0</v>
      </c>
      <c r="V113" s="0">
        <f>IF(B113="","",SUMIFS('PEGAR'!$AA$13:$AA$512,'PEGAR'!$O$13:$O$512,B113))</f>
      </c>
      <c r="W113" s="0">
        <f>IF(B113="","",IF(OR(L113=0,N113&gt;0,T113&gt;0,IF(ISNUMBER(H113),ROUND(ABS(H113),8)&gt;$F$6,FALSE)),2,IF(OR(M113=0,O113&gt;0,P113&gt;0,Q113&gt;0,R113&gt;0,S113&gt;0,U113&gt;0,V113&gt;0),1,0)))</f>
      </c>
      <c r="X113" s="0">
        <f>IF(B113="","",IF(ISNUMBER(G113),1,0))</f>
      </c>
      <c r="AB113" s="0">
        <f>IF(AND(ISNUMBER(W113),W113&gt;0),"ID "&amp;B113,"")</f>
      </c>
      <c r="AC113" s="0">
        <f>IF(AND(ISNUMBER(W113),W113&gt;0),C113,"")</f>
      </c>
      <c r="AD113" s="0">
        <f>IF(AND(ISNUMBER(W113),W113&gt;0),D113,"")</f>
      </c>
      <c r="AE113" s="0">
        <f>IF(AND(ISNUMBER(W113),W113&gt;0),IF(INDEX('PEGAR'!$D$13:$D$512,IF(L113&gt;0,L113,K113))="","Sin descripción",INDEX('PEGAR'!$D$13:$D$512,IF(L113&gt;0,L113,K113))),"")</f>
      </c>
      <c r="AF113" s="0">
        <f>IF(AND(ISNUMBER(W113),W113&gt;0),J113,"")</f>
      </c>
      <c r="AG113" s="0" t="n">
        <f>IF(AND(ISNUMBER(W113),W113&gt;0),W113,0)</f>
        <v>0</v>
      </c>
      <c r="AH113" s="0">
        <f>IF(AG113&gt;0,COUNTIFS($AG$13:AG113,"&gt;0"),"")</f>
      </c>
    </row>
    <row r="114" ht="22" customHeight="1">
      <c r="B114" s="27">
        <f>IF(K114="","",INDEX('PEGAR'!$O$13:$O$512,K114))</f>
      </c>
      <c r="C114" s="30">
        <f>IF(B114="","",IF(LEN(TRIM(INDEX('PEGAR'!$B$13:$B$512,IF(L114&gt;0,L114,K114))&amp;""))=0,"Sin capítulo",TRIM(INDEX('PEGAR'!$B$13:$B$512,IF(L114&gt;0,L114,K114))&amp;"")))</f>
      </c>
      <c r="D114" s="27">
        <f>IF(B114="","",IF(LEN(TRIM(INDEX('PEGAR'!$C$13:$C$512,IF(L114&gt;0,L114,K114))&amp;""))=0,"",TRIM(INDEX('PEGAR'!$C$13:$C$512,IF(L114&gt;0,L114,K114))&amp;"")))</f>
      </c>
      <c r="E114" s="27">
        <f>IF(B114="","",INDEX('PEGAR'!$S$13:$S$512,IF(L114&gt;0,L114,K114)))</f>
      </c>
      <c r="F114" s="39">
        <f>IF(B114="","",IF(L114&gt;0,INDEX('PEGAR'!$F$13:$F$512,L114),""))</f>
      </c>
      <c r="G114" s="39">
        <f>IF(B114="","",IF(OR(M114=0,N114&gt;0,O114&gt;0),"",SUMIFS('PEGAR'!$M$13:$M$512,'PEGAR'!$O$13:$O$512,B114)))</f>
      </c>
      <c r="H114" s="39">
        <f>IF(AND(ISNUMBER(F114),ISNUMBER(G114)),G114-F114,"")</f>
      </c>
      <c r="I114" s="27">
        <f>IF(B114="","",IF(W114=2,"ROJO",IF(W114=1,"ÁMBAR","VERDE")))</f>
      </c>
      <c r="J114" s="30">
        <f>IF(B114="","",IF(W114=0,"Sin avisos numéricos. Revisamos el alcance aparte.",IF(L114=0,"Faltan datos completos de partida; no elegimos un total por suposición."&amp;CHAR(10),"")&amp;IF(N114&gt;0,"Hay filas incompletas o contradictorias; las revisamos en PEGAR."&amp;CHAR(10),"")&amp;IF(O114&gt;0,"Faltan las medidas de alguna fila; no cerramos la suma."&amp;CHAR(10),"")&amp;IF(M114=0,"No constan líneas de medición."&amp;CHAR(10),"")&amp;IF(IF(ISNUMBER(H114),ROUND(ABS(H114),8)&gt;$F$6,FALSE),"Las líneas difieren del total en más de 0,01; confirmamos cantidad o exclusión."&amp;CHAR(10),"")&amp;IF(P114&gt;0,"Parece m³: encontramos tres dimensiones bajo m²."&amp;CHAR(10),"")&amp;IF(R114&gt;0,"Código repetido dentro del capítulo; mantenemos sus ID separados."&amp;CHAR(10),"")&amp;IF(S114&gt;0,"Código repetido en otro capítulo; no unimos las partidas."&amp;CHAR(10),"")&amp;IF(T114&gt;0,"Mismo código con unidades distintas; pedimos aclaración."&amp;CHAR(10),"")&amp;IF(Q114&gt;0,"Hay más precisión que los decimales indicados; cotejamos el formato original."&amp;CHAR(10),"")&amp;IF(U114&gt;0,"Unidad sin normalizar; cotejamos su significado antes de sumar unidades."&amp;CHAR(10),"")&amp;IF(V114&gt;0,"Revisamos dimensiones, cantidades directas, ceros o deducciones en PEGAR."&amp;CHAR(10),"")))</f>
      </c>
      <c r="K114" s="0">
        <f>IF(102&gt;'RESUMEN'!$E$6,"",MATCH(102,'PEGAR'!$W$13:$W$512,0))</f>
      </c>
      <c r="L114" s="0">
        <f>IF(K114="","",INDEX('PEGAR'!$R$13:$R$512,K114))</f>
      </c>
      <c r="M114" s="0">
        <f>IF(B114="","",COUNTIFS('PEGAR'!$O$13:$O$512,B114,'PEGAR'!$P$13:$P$512,"DIMENSIONES")+COUNTIFS('PEGAR'!$O$13:$O$512,B114,'PEGAR'!$P$13:$P$512,"DIRECTA"))</f>
      </c>
      <c r="N114" s="0">
        <f>IF(B114="","",COUNTIFS('PEGAR'!$O$13:$O$512,B114,'PEGAR'!$X$13:$X$512,2))</f>
      </c>
      <c r="O114" s="0">
        <f>IF(B114="","",COUNTIFS('PEGAR'!$O$13:$O$512,B114,'PEGAR'!$P$13:$P$512,"SIN LÍNEAS"))</f>
      </c>
      <c r="P114" s="0">
        <f>IF(B114="","",SUMIFS('PEGAR'!$Y$13:$Y$512,'PEGAR'!$O$13:$O$512,B114))</f>
      </c>
      <c r="Q114" s="0">
        <f>IF(B114="","",SUMIFS('PEGAR'!$Z$13:$Z$512,'PEGAR'!$O$13:$O$512,B114))</f>
      </c>
      <c r="R114" s="0" t="n">
        <f>IF(OR(B114="",D114=""),0,SUMPRODUCT(--($B$13:$B$512&lt;&gt;""),--($D$13:$D$512=D114),--($C$13:$C$512=C114))-1)</f>
        <v>0</v>
      </c>
      <c r="S114" s="0" t="n">
        <f>IF(OR(B114="",D114=""),0,SUMPRODUCT(--($B$13:$B$512&lt;&gt;""),--($D$13:$D$512=D114),--($C$13:$C$512&lt;&gt;C114)))</f>
        <v>0</v>
      </c>
      <c r="T114" s="0" t="n">
        <f>IF(OR(B114="",D114=""),0,SUMPRODUCT(--($B$13:$B$512&lt;&gt;""),--($D$13:$D$512=D114),--($E$13:$E$512&lt;&gt;E114)))</f>
        <v>0</v>
      </c>
      <c r="U114" s="0" t="n">
        <f>IF(B114="",0,IF(SUMPRODUCT(--('LÉEME'!$C$65:$C$86=E114))=0,1,0))</f>
        <v>0</v>
      </c>
      <c r="V114" s="0">
        <f>IF(B114="","",SUMIFS('PEGAR'!$AA$13:$AA$512,'PEGAR'!$O$13:$O$512,B114))</f>
      </c>
      <c r="W114" s="0">
        <f>IF(B114="","",IF(OR(L114=0,N114&gt;0,T114&gt;0,IF(ISNUMBER(H114),ROUND(ABS(H114),8)&gt;$F$6,FALSE)),2,IF(OR(M114=0,O114&gt;0,P114&gt;0,Q114&gt;0,R114&gt;0,S114&gt;0,U114&gt;0,V114&gt;0),1,0)))</f>
      </c>
      <c r="X114" s="0">
        <f>IF(B114="","",IF(ISNUMBER(G114),1,0))</f>
      </c>
      <c r="AB114" s="0">
        <f>IF(AND(ISNUMBER(W114),W114&gt;0),"ID "&amp;B114,"")</f>
      </c>
      <c r="AC114" s="0">
        <f>IF(AND(ISNUMBER(W114),W114&gt;0),C114,"")</f>
      </c>
      <c r="AD114" s="0">
        <f>IF(AND(ISNUMBER(W114),W114&gt;0),D114,"")</f>
      </c>
      <c r="AE114" s="0">
        <f>IF(AND(ISNUMBER(W114),W114&gt;0),IF(INDEX('PEGAR'!$D$13:$D$512,IF(L114&gt;0,L114,K114))="","Sin descripción",INDEX('PEGAR'!$D$13:$D$512,IF(L114&gt;0,L114,K114))),"")</f>
      </c>
      <c r="AF114" s="0">
        <f>IF(AND(ISNUMBER(W114),W114&gt;0),J114,"")</f>
      </c>
      <c r="AG114" s="0" t="n">
        <f>IF(AND(ISNUMBER(W114),W114&gt;0),W114,0)</f>
        <v>0</v>
      </c>
      <c r="AH114" s="0">
        <f>IF(AG114&gt;0,COUNTIFS($AG$13:AG114,"&gt;0"),"")</f>
      </c>
    </row>
    <row r="115" ht="22" customHeight="1">
      <c r="B115" s="27">
        <f>IF(K115="","",INDEX('PEGAR'!$O$13:$O$512,K115))</f>
      </c>
      <c r="C115" s="30">
        <f>IF(B115="","",IF(LEN(TRIM(INDEX('PEGAR'!$B$13:$B$512,IF(L115&gt;0,L115,K115))&amp;""))=0,"Sin capítulo",TRIM(INDEX('PEGAR'!$B$13:$B$512,IF(L115&gt;0,L115,K115))&amp;"")))</f>
      </c>
      <c r="D115" s="27">
        <f>IF(B115="","",IF(LEN(TRIM(INDEX('PEGAR'!$C$13:$C$512,IF(L115&gt;0,L115,K115))&amp;""))=0,"",TRIM(INDEX('PEGAR'!$C$13:$C$512,IF(L115&gt;0,L115,K115))&amp;"")))</f>
      </c>
      <c r="E115" s="27">
        <f>IF(B115="","",INDEX('PEGAR'!$S$13:$S$512,IF(L115&gt;0,L115,K115)))</f>
      </c>
      <c r="F115" s="39">
        <f>IF(B115="","",IF(L115&gt;0,INDEX('PEGAR'!$F$13:$F$512,L115),""))</f>
      </c>
      <c r="G115" s="39">
        <f>IF(B115="","",IF(OR(M115=0,N115&gt;0,O115&gt;0),"",SUMIFS('PEGAR'!$M$13:$M$512,'PEGAR'!$O$13:$O$512,B115)))</f>
      </c>
      <c r="H115" s="39">
        <f>IF(AND(ISNUMBER(F115),ISNUMBER(G115)),G115-F115,"")</f>
      </c>
      <c r="I115" s="27">
        <f>IF(B115="","",IF(W115=2,"ROJO",IF(W115=1,"ÁMBAR","VERDE")))</f>
      </c>
      <c r="J115" s="30">
        <f>IF(B115="","",IF(W115=0,"Sin avisos numéricos. Revisamos el alcance aparte.",IF(L115=0,"Faltan datos completos de partida; no elegimos un total por suposición."&amp;CHAR(10),"")&amp;IF(N115&gt;0,"Hay filas incompletas o contradictorias; las revisamos en PEGAR."&amp;CHAR(10),"")&amp;IF(O115&gt;0,"Faltan las medidas de alguna fila; no cerramos la suma."&amp;CHAR(10),"")&amp;IF(M115=0,"No constan líneas de medición."&amp;CHAR(10),"")&amp;IF(IF(ISNUMBER(H115),ROUND(ABS(H115),8)&gt;$F$6,FALSE),"Las líneas difieren del total en más de 0,01; confirmamos cantidad o exclusión."&amp;CHAR(10),"")&amp;IF(P115&gt;0,"Parece m³: encontramos tres dimensiones bajo m²."&amp;CHAR(10),"")&amp;IF(R115&gt;0,"Código repetido dentro del capítulo; mantenemos sus ID separados."&amp;CHAR(10),"")&amp;IF(S115&gt;0,"Código repetido en otro capítulo; no unimos las partidas."&amp;CHAR(10),"")&amp;IF(T115&gt;0,"Mismo código con unidades distintas; pedimos aclaración."&amp;CHAR(10),"")&amp;IF(Q115&gt;0,"Hay más precisión que los decimales indicados; cotejamos el formato original."&amp;CHAR(10),"")&amp;IF(U115&gt;0,"Unidad sin normalizar; cotejamos su significado antes de sumar unidades."&amp;CHAR(10),"")&amp;IF(V115&gt;0,"Revisamos dimensiones, cantidades directas, ceros o deducciones en PEGAR."&amp;CHAR(10),"")))</f>
      </c>
      <c r="K115" s="0">
        <f>IF(103&gt;'RESUMEN'!$E$6,"",MATCH(103,'PEGAR'!$W$13:$W$512,0))</f>
      </c>
      <c r="L115" s="0">
        <f>IF(K115="","",INDEX('PEGAR'!$R$13:$R$512,K115))</f>
      </c>
      <c r="M115" s="0">
        <f>IF(B115="","",COUNTIFS('PEGAR'!$O$13:$O$512,B115,'PEGAR'!$P$13:$P$512,"DIMENSIONES")+COUNTIFS('PEGAR'!$O$13:$O$512,B115,'PEGAR'!$P$13:$P$512,"DIRECTA"))</f>
      </c>
      <c r="N115" s="0">
        <f>IF(B115="","",COUNTIFS('PEGAR'!$O$13:$O$512,B115,'PEGAR'!$X$13:$X$512,2))</f>
      </c>
      <c r="O115" s="0">
        <f>IF(B115="","",COUNTIFS('PEGAR'!$O$13:$O$512,B115,'PEGAR'!$P$13:$P$512,"SIN LÍNEAS"))</f>
      </c>
      <c r="P115" s="0">
        <f>IF(B115="","",SUMIFS('PEGAR'!$Y$13:$Y$512,'PEGAR'!$O$13:$O$512,B115))</f>
      </c>
      <c r="Q115" s="0">
        <f>IF(B115="","",SUMIFS('PEGAR'!$Z$13:$Z$512,'PEGAR'!$O$13:$O$512,B115))</f>
      </c>
      <c r="R115" s="0" t="n">
        <f>IF(OR(B115="",D115=""),0,SUMPRODUCT(--($B$13:$B$512&lt;&gt;""),--($D$13:$D$512=D115),--($C$13:$C$512=C115))-1)</f>
        <v>0</v>
      </c>
      <c r="S115" s="0" t="n">
        <f>IF(OR(B115="",D115=""),0,SUMPRODUCT(--($B$13:$B$512&lt;&gt;""),--($D$13:$D$512=D115),--($C$13:$C$512&lt;&gt;C115)))</f>
        <v>0</v>
      </c>
      <c r="T115" s="0" t="n">
        <f>IF(OR(B115="",D115=""),0,SUMPRODUCT(--($B$13:$B$512&lt;&gt;""),--($D$13:$D$512=D115),--($E$13:$E$512&lt;&gt;E115)))</f>
        <v>0</v>
      </c>
      <c r="U115" s="0" t="n">
        <f>IF(B115="",0,IF(SUMPRODUCT(--('LÉEME'!$C$65:$C$86=E115))=0,1,0))</f>
        <v>0</v>
      </c>
      <c r="V115" s="0">
        <f>IF(B115="","",SUMIFS('PEGAR'!$AA$13:$AA$512,'PEGAR'!$O$13:$O$512,B115))</f>
      </c>
      <c r="W115" s="0">
        <f>IF(B115="","",IF(OR(L115=0,N115&gt;0,T115&gt;0,IF(ISNUMBER(H115),ROUND(ABS(H115),8)&gt;$F$6,FALSE)),2,IF(OR(M115=0,O115&gt;0,P115&gt;0,Q115&gt;0,R115&gt;0,S115&gt;0,U115&gt;0,V115&gt;0),1,0)))</f>
      </c>
      <c r="X115" s="0">
        <f>IF(B115="","",IF(ISNUMBER(G115),1,0))</f>
      </c>
      <c r="AB115" s="0">
        <f>IF(AND(ISNUMBER(W115),W115&gt;0),"ID "&amp;B115,"")</f>
      </c>
      <c r="AC115" s="0">
        <f>IF(AND(ISNUMBER(W115),W115&gt;0),C115,"")</f>
      </c>
      <c r="AD115" s="0">
        <f>IF(AND(ISNUMBER(W115),W115&gt;0),D115,"")</f>
      </c>
      <c r="AE115" s="0">
        <f>IF(AND(ISNUMBER(W115),W115&gt;0),IF(INDEX('PEGAR'!$D$13:$D$512,IF(L115&gt;0,L115,K115))="","Sin descripción",INDEX('PEGAR'!$D$13:$D$512,IF(L115&gt;0,L115,K115))),"")</f>
      </c>
      <c r="AF115" s="0">
        <f>IF(AND(ISNUMBER(W115),W115&gt;0),J115,"")</f>
      </c>
      <c r="AG115" s="0" t="n">
        <f>IF(AND(ISNUMBER(W115),W115&gt;0),W115,0)</f>
        <v>0</v>
      </c>
      <c r="AH115" s="0">
        <f>IF(AG115&gt;0,COUNTIFS($AG$13:AG115,"&gt;0"),"")</f>
      </c>
    </row>
    <row r="116" ht="22" customHeight="1">
      <c r="B116" s="27">
        <f>IF(K116="","",INDEX('PEGAR'!$O$13:$O$512,K116))</f>
      </c>
      <c r="C116" s="30">
        <f>IF(B116="","",IF(LEN(TRIM(INDEX('PEGAR'!$B$13:$B$512,IF(L116&gt;0,L116,K116))&amp;""))=0,"Sin capítulo",TRIM(INDEX('PEGAR'!$B$13:$B$512,IF(L116&gt;0,L116,K116))&amp;"")))</f>
      </c>
      <c r="D116" s="27">
        <f>IF(B116="","",IF(LEN(TRIM(INDEX('PEGAR'!$C$13:$C$512,IF(L116&gt;0,L116,K116))&amp;""))=0,"",TRIM(INDEX('PEGAR'!$C$13:$C$512,IF(L116&gt;0,L116,K116))&amp;"")))</f>
      </c>
      <c r="E116" s="27">
        <f>IF(B116="","",INDEX('PEGAR'!$S$13:$S$512,IF(L116&gt;0,L116,K116)))</f>
      </c>
      <c r="F116" s="39">
        <f>IF(B116="","",IF(L116&gt;0,INDEX('PEGAR'!$F$13:$F$512,L116),""))</f>
      </c>
      <c r="G116" s="39">
        <f>IF(B116="","",IF(OR(M116=0,N116&gt;0,O116&gt;0),"",SUMIFS('PEGAR'!$M$13:$M$512,'PEGAR'!$O$13:$O$512,B116)))</f>
      </c>
      <c r="H116" s="39">
        <f>IF(AND(ISNUMBER(F116),ISNUMBER(G116)),G116-F116,"")</f>
      </c>
      <c r="I116" s="27">
        <f>IF(B116="","",IF(W116=2,"ROJO",IF(W116=1,"ÁMBAR","VERDE")))</f>
      </c>
      <c r="J116" s="30">
        <f>IF(B116="","",IF(W116=0,"Sin avisos numéricos. Revisamos el alcance aparte.",IF(L116=0,"Faltan datos completos de partida; no elegimos un total por suposición."&amp;CHAR(10),"")&amp;IF(N116&gt;0,"Hay filas incompletas o contradictorias; las revisamos en PEGAR."&amp;CHAR(10),"")&amp;IF(O116&gt;0,"Faltan las medidas de alguna fila; no cerramos la suma."&amp;CHAR(10),"")&amp;IF(M116=0,"No constan líneas de medición."&amp;CHAR(10),"")&amp;IF(IF(ISNUMBER(H116),ROUND(ABS(H116),8)&gt;$F$6,FALSE),"Las líneas difieren del total en más de 0,01; confirmamos cantidad o exclusión."&amp;CHAR(10),"")&amp;IF(P116&gt;0,"Parece m³: encontramos tres dimensiones bajo m²."&amp;CHAR(10),"")&amp;IF(R116&gt;0,"Código repetido dentro del capítulo; mantenemos sus ID separados."&amp;CHAR(10),"")&amp;IF(S116&gt;0,"Código repetido en otro capítulo; no unimos las partidas."&amp;CHAR(10),"")&amp;IF(T116&gt;0,"Mismo código con unidades distintas; pedimos aclaración."&amp;CHAR(10),"")&amp;IF(Q116&gt;0,"Hay más precisión que los decimales indicados; cotejamos el formato original."&amp;CHAR(10),"")&amp;IF(U116&gt;0,"Unidad sin normalizar; cotejamos su significado antes de sumar unidades."&amp;CHAR(10),"")&amp;IF(V116&gt;0,"Revisamos dimensiones, cantidades directas, ceros o deducciones en PEGAR."&amp;CHAR(10),"")))</f>
      </c>
      <c r="K116" s="0">
        <f>IF(104&gt;'RESUMEN'!$E$6,"",MATCH(104,'PEGAR'!$W$13:$W$512,0))</f>
      </c>
      <c r="L116" s="0">
        <f>IF(K116="","",INDEX('PEGAR'!$R$13:$R$512,K116))</f>
      </c>
      <c r="M116" s="0">
        <f>IF(B116="","",COUNTIFS('PEGAR'!$O$13:$O$512,B116,'PEGAR'!$P$13:$P$512,"DIMENSIONES")+COUNTIFS('PEGAR'!$O$13:$O$512,B116,'PEGAR'!$P$13:$P$512,"DIRECTA"))</f>
      </c>
      <c r="N116" s="0">
        <f>IF(B116="","",COUNTIFS('PEGAR'!$O$13:$O$512,B116,'PEGAR'!$X$13:$X$512,2))</f>
      </c>
      <c r="O116" s="0">
        <f>IF(B116="","",COUNTIFS('PEGAR'!$O$13:$O$512,B116,'PEGAR'!$P$13:$P$512,"SIN LÍNEAS"))</f>
      </c>
      <c r="P116" s="0">
        <f>IF(B116="","",SUMIFS('PEGAR'!$Y$13:$Y$512,'PEGAR'!$O$13:$O$512,B116))</f>
      </c>
      <c r="Q116" s="0">
        <f>IF(B116="","",SUMIFS('PEGAR'!$Z$13:$Z$512,'PEGAR'!$O$13:$O$512,B116))</f>
      </c>
      <c r="R116" s="0" t="n">
        <f>IF(OR(B116="",D116=""),0,SUMPRODUCT(--($B$13:$B$512&lt;&gt;""),--($D$13:$D$512=D116),--($C$13:$C$512=C116))-1)</f>
        <v>0</v>
      </c>
      <c r="S116" s="0" t="n">
        <f>IF(OR(B116="",D116=""),0,SUMPRODUCT(--($B$13:$B$512&lt;&gt;""),--($D$13:$D$512=D116),--($C$13:$C$512&lt;&gt;C116)))</f>
        <v>0</v>
      </c>
      <c r="T116" s="0" t="n">
        <f>IF(OR(B116="",D116=""),0,SUMPRODUCT(--($B$13:$B$512&lt;&gt;""),--($D$13:$D$512=D116),--($E$13:$E$512&lt;&gt;E116)))</f>
        <v>0</v>
      </c>
      <c r="U116" s="0" t="n">
        <f>IF(B116="",0,IF(SUMPRODUCT(--('LÉEME'!$C$65:$C$86=E116))=0,1,0))</f>
        <v>0</v>
      </c>
      <c r="V116" s="0">
        <f>IF(B116="","",SUMIFS('PEGAR'!$AA$13:$AA$512,'PEGAR'!$O$13:$O$512,B116))</f>
      </c>
      <c r="W116" s="0">
        <f>IF(B116="","",IF(OR(L116=0,N116&gt;0,T116&gt;0,IF(ISNUMBER(H116),ROUND(ABS(H116),8)&gt;$F$6,FALSE)),2,IF(OR(M116=0,O116&gt;0,P116&gt;0,Q116&gt;0,R116&gt;0,S116&gt;0,U116&gt;0,V116&gt;0),1,0)))</f>
      </c>
      <c r="X116" s="0">
        <f>IF(B116="","",IF(ISNUMBER(G116),1,0))</f>
      </c>
      <c r="AB116" s="0">
        <f>IF(AND(ISNUMBER(W116),W116&gt;0),"ID "&amp;B116,"")</f>
      </c>
      <c r="AC116" s="0">
        <f>IF(AND(ISNUMBER(W116),W116&gt;0),C116,"")</f>
      </c>
      <c r="AD116" s="0">
        <f>IF(AND(ISNUMBER(W116),W116&gt;0),D116,"")</f>
      </c>
      <c r="AE116" s="0">
        <f>IF(AND(ISNUMBER(W116),W116&gt;0),IF(INDEX('PEGAR'!$D$13:$D$512,IF(L116&gt;0,L116,K116))="","Sin descripción",INDEX('PEGAR'!$D$13:$D$512,IF(L116&gt;0,L116,K116))),"")</f>
      </c>
      <c r="AF116" s="0">
        <f>IF(AND(ISNUMBER(W116),W116&gt;0),J116,"")</f>
      </c>
      <c r="AG116" s="0" t="n">
        <f>IF(AND(ISNUMBER(W116),W116&gt;0),W116,0)</f>
        <v>0</v>
      </c>
      <c r="AH116" s="0">
        <f>IF(AG116&gt;0,COUNTIFS($AG$13:AG116,"&gt;0"),"")</f>
      </c>
    </row>
    <row r="117" ht="22" customHeight="1">
      <c r="B117" s="27">
        <f>IF(K117="","",INDEX('PEGAR'!$O$13:$O$512,K117))</f>
      </c>
      <c r="C117" s="30">
        <f>IF(B117="","",IF(LEN(TRIM(INDEX('PEGAR'!$B$13:$B$512,IF(L117&gt;0,L117,K117))&amp;""))=0,"Sin capítulo",TRIM(INDEX('PEGAR'!$B$13:$B$512,IF(L117&gt;0,L117,K117))&amp;"")))</f>
      </c>
      <c r="D117" s="27">
        <f>IF(B117="","",IF(LEN(TRIM(INDEX('PEGAR'!$C$13:$C$512,IF(L117&gt;0,L117,K117))&amp;""))=0,"",TRIM(INDEX('PEGAR'!$C$13:$C$512,IF(L117&gt;0,L117,K117))&amp;"")))</f>
      </c>
      <c r="E117" s="27">
        <f>IF(B117="","",INDEX('PEGAR'!$S$13:$S$512,IF(L117&gt;0,L117,K117)))</f>
      </c>
      <c r="F117" s="39">
        <f>IF(B117="","",IF(L117&gt;0,INDEX('PEGAR'!$F$13:$F$512,L117),""))</f>
      </c>
      <c r="G117" s="39">
        <f>IF(B117="","",IF(OR(M117=0,N117&gt;0,O117&gt;0),"",SUMIFS('PEGAR'!$M$13:$M$512,'PEGAR'!$O$13:$O$512,B117)))</f>
      </c>
      <c r="H117" s="39">
        <f>IF(AND(ISNUMBER(F117),ISNUMBER(G117)),G117-F117,"")</f>
      </c>
      <c r="I117" s="27">
        <f>IF(B117="","",IF(W117=2,"ROJO",IF(W117=1,"ÁMBAR","VERDE")))</f>
      </c>
      <c r="J117" s="30">
        <f>IF(B117="","",IF(W117=0,"Sin avisos numéricos. Revisamos el alcance aparte.",IF(L117=0,"Faltan datos completos de partida; no elegimos un total por suposición."&amp;CHAR(10),"")&amp;IF(N117&gt;0,"Hay filas incompletas o contradictorias; las revisamos en PEGAR."&amp;CHAR(10),"")&amp;IF(O117&gt;0,"Faltan las medidas de alguna fila; no cerramos la suma."&amp;CHAR(10),"")&amp;IF(M117=0,"No constan líneas de medición."&amp;CHAR(10),"")&amp;IF(IF(ISNUMBER(H117),ROUND(ABS(H117),8)&gt;$F$6,FALSE),"Las líneas difieren del total en más de 0,01; confirmamos cantidad o exclusión."&amp;CHAR(10),"")&amp;IF(P117&gt;0,"Parece m³: encontramos tres dimensiones bajo m²."&amp;CHAR(10),"")&amp;IF(R117&gt;0,"Código repetido dentro del capítulo; mantenemos sus ID separados."&amp;CHAR(10),"")&amp;IF(S117&gt;0,"Código repetido en otro capítulo; no unimos las partidas."&amp;CHAR(10),"")&amp;IF(T117&gt;0,"Mismo código con unidades distintas; pedimos aclaración."&amp;CHAR(10),"")&amp;IF(Q117&gt;0,"Hay más precisión que los decimales indicados; cotejamos el formato original."&amp;CHAR(10),"")&amp;IF(U117&gt;0,"Unidad sin normalizar; cotejamos su significado antes de sumar unidades."&amp;CHAR(10),"")&amp;IF(V117&gt;0,"Revisamos dimensiones, cantidades directas, ceros o deducciones en PEGAR."&amp;CHAR(10),"")))</f>
      </c>
      <c r="K117" s="0">
        <f>IF(105&gt;'RESUMEN'!$E$6,"",MATCH(105,'PEGAR'!$W$13:$W$512,0))</f>
      </c>
      <c r="L117" s="0">
        <f>IF(K117="","",INDEX('PEGAR'!$R$13:$R$512,K117))</f>
      </c>
      <c r="M117" s="0">
        <f>IF(B117="","",COUNTIFS('PEGAR'!$O$13:$O$512,B117,'PEGAR'!$P$13:$P$512,"DIMENSIONES")+COUNTIFS('PEGAR'!$O$13:$O$512,B117,'PEGAR'!$P$13:$P$512,"DIRECTA"))</f>
      </c>
      <c r="N117" s="0">
        <f>IF(B117="","",COUNTIFS('PEGAR'!$O$13:$O$512,B117,'PEGAR'!$X$13:$X$512,2))</f>
      </c>
      <c r="O117" s="0">
        <f>IF(B117="","",COUNTIFS('PEGAR'!$O$13:$O$512,B117,'PEGAR'!$P$13:$P$512,"SIN LÍNEAS"))</f>
      </c>
      <c r="P117" s="0">
        <f>IF(B117="","",SUMIFS('PEGAR'!$Y$13:$Y$512,'PEGAR'!$O$13:$O$512,B117))</f>
      </c>
      <c r="Q117" s="0">
        <f>IF(B117="","",SUMIFS('PEGAR'!$Z$13:$Z$512,'PEGAR'!$O$13:$O$512,B117))</f>
      </c>
      <c r="R117" s="0" t="n">
        <f>IF(OR(B117="",D117=""),0,SUMPRODUCT(--($B$13:$B$512&lt;&gt;""),--($D$13:$D$512=D117),--($C$13:$C$512=C117))-1)</f>
        <v>0</v>
      </c>
      <c r="S117" s="0" t="n">
        <f>IF(OR(B117="",D117=""),0,SUMPRODUCT(--($B$13:$B$512&lt;&gt;""),--($D$13:$D$512=D117),--($C$13:$C$512&lt;&gt;C117)))</f>
        <v>0</v>
      </c>
      <c r="T117" s="0" t="n">
        <f>IF(OR(B117="",D117=""),0,SUMPRODUCT(--($B$13:$B$512&lt;&gt;""),--($D$13:$D$512=D117),--($E$13:$E$512&lt;&gt;E117)))</f>
        <v>0</v>
      </c>
      <c r="U117" s="0" t="n">
        <f>IF(B117="",0,IF(SUMPRODUCT(--('LÉEME'!$C$65:$C$86=E117))=0,1,0))</f>
        <v>0</v>
      </c>
      <c r="V117" s="0">
        <f>IF(B117="","",SUMIFS('PEGAR'!$AA$13:$AA$512,'PEGAR'!$O$13:$O$512,B117))</f>
      </c>
      <c r="W117" s="0">
        <f>IF(B117="","",IF(OR(L117=0,N117&gt;0,T117&gt;0,IF(ISNUMBER(H117),ROUND(ABS(H117),8)&gt;$F$6,FALSE)),2,IF(OR(M117=0,O117&gt;0,P117&gt;0,Q117&gt;0,R117&gt;0,S117&gt;0,U117&gt;0,V117&gt;0),1,0)))</f>
      </c>
      <c r="X117" s="0">
        <f>IF(B117="","",IF(ISNUMBER(G117),1,0))</f>
      </c>
      <c r="AB117" s="0">
        <f>IF(AND(ISNUMBER(W117),W117&gt;0),"ID "&amp;B117,"")</f>
      </c>
      <c r="AC117" s="0">
        <f>IF(AND(ISNUMBER(W117),W117&gt;0),C117,"")</f>
      </c>
      <c r="AD117" s="0">
        <f>IF(AND(ISNUMBER(W117),W117&gt;0),D117,"")</f>
      </c>
      <c r="AE117" s="0">
        <f>IF(AND(ISNUMBER(W117),W117&gt;0),IF(INDEX('PEGAR'!$D$13:$D$512,IF(L117&gt;0,L117,K117))="","Sin descripción",INDEX('PEGAR'!$D$13:$D$512,IF(L117&gt;0,L117,K117))),"")</f>
      </c>
      <c r="AF117" s="0">
        <f>IF(AND(ISNUMBER(W117),W117&gt;0),J117,"")</f>
      </c>
      <c r="AG117" s="0" t="n">
        <f>IF(AND(ISNUMBER(W117),W117&gt;0),W117,0)</f>
        <v>0</v>
      </c>
      <c r="AH117" s="0">
        <f>IF(AG117&gt;0,COUNTIFS($AG$13:AG117,"&gt;0"),"")</f>
      </c>
    </row>
    <row r="118" ht="22" customHeight="1">
      <c r="B118" s="27">
        <f>IF(K118="","",INDEX('PEGAR'!$O$13:$O$512,K118))</f>
      </c>
      <c r="C118" s="30">
        <f>IF(B118="","",IF(LEN(TRIM(INDEX('PEGAR'!$B$13:$B$512,IF(L118&gt;0,L118,K118))&amp;""))=0,"Sin capítulo",TRIM(INDEX('PEGAR'!$B$13:$B$512,IF(L118&gt;0,L118,K118))&amp;"")))</f>
      </c>
      <c r="D118" s="27">
        <f>IF(B118="","",IF(LEN(TRIM(INDEX('PEGAR'!$C$13:$C$512,IF(L118&gt;0,L118,K118))&amp;""))=0,"",TRIM(INDEX('PEGAR'!$C$13:$C$512,IF(L118&gt;0,L118,K118))&amp;"")))</f>
      </c>
      <c r="E118" s="27">
        <f>IF(B118="","",INDEX('PEGAR'!$S$13:$S$512,IF(L118&gt;0,L118,K118)))</f>
      </c>
      <c r="F118" s="39">
        <f>IF(B118="","",IF(L118&gt;0,INDEX('PEGAR'!$F$13:$F$512,L118),""))</f>
      </c>
      <c r="G118" s="39">
        <f>IF(B118="","",IF(OR(M118=0,N118&gt;0,O118&gt;0),"",SUMIFS('PEGAR'!$M$13:$M$512,'PEGAR'!$O$13:$O$512,B118)))</f>
      </c>
      <c r="H118" s="39">
        <f>IF(AND(ISNUMBER(F118),ISNUMBER(G118)),G118-F118,"")</f>
      </c>
      <c r="I118" s="27">
        <f>IF(B118="","",IF(W118=2,"ROJO",IF(W118=1,"ÁMBAR","VERDE")))</f>
      </c>
      <c r="J118" s="30">
        <f>IF(B118="","",IF(W118=0,"Sin avisos numéricos. Revisamos el alcance aparte.",IF(L118=0,"Faltan datos completos de partida; no elegimos un total por suposición."&amp;CHAR(10),"")&amp;IF(N118&gt;0,"Hay filas incompletas o contradictorias; las revisamos en PEGAR."&amp;CHAR(10),"")&amp;IF(O118&gt;0,"Faltan las medidas de alguna fila; no cerramos la suma."&amp;CHAR(10),"")&amp;IF(M118=0,"No constan líneas de medición."&amp;CHAR(10),"")&amp;IF(IF(ISNUMBER(H118),ROUND(ABS(H118),8)&gt;$F$6,FALSE),"Las líneas difieren del total en más de 0,01; confirmamos cantidad o exclusión."&amp;CHAR(10),"")&amp;IF(P118&gt;0,"Parece m³: encontramos tres dimensiones bajo m²."&amp;CHAR(10),"")&amp;IF(R118&gt;0,"Código repetido dentro del capítulo; mantenemos sus ID separados."&amp;CHAR(10),"")&amp;IF(S118&gt;0,"Código repetido en otro capítulo; no unimos las partidas."&amp;CHAR(10),"")&amp;IF(T118&gt;0,"Mismo código con unidades distintas; pedimos aclaración."&amp;CHAR(10),"")&amp;IF(Q118&gt;0,"Hay más precisión que los decimales indicados; cotejamos el formato original."&amp;CHAR(10),"")&amp;IF(U118&gt;0,"Unidad sin normalizar; cotejamos su significado antes de sumar unidades."&amp;CHAR(10),"")&amp;IF(V118&gt;0,"Revisamos dimensiones, cantidades directas, ceros o deducciones en PEGAR."&amp;CHAR(10),"")))</f>
      </c>
      <c r="K118" s="0">
        <f>IF(106&gt;'RESUMEN'!$E$6,"",MATCH(106,'PEGAR'!$W$13:$W$512,0))</f>
      </c>
      <c r="L118" s="0">
        <f>IF(K118="","",INDEX('PEGAR'!$R$13:$R$512,K118))</f>
      </c>
      <c r="M118" s="0">
        <f>IF(B118="","",COUNTIFS('PEGAR'!$O$13:$O$512,B118,'PEGAR'!$P$13:$P$512,"DIMENSIONES")+COUNTIFS('PEGAR'!$O$13:$O$512,B118,'PEGAR'!$P$13:$P$512,"DIRECTA"))</f>
      </c>
      <c r="N118" s="0">
        <f>IF(B118="","",COUNTIFS('PEGAR'!$O$13:$O$512,B118,'PEGAR'!$X$13:$X$512,2))</f>
      </c>
      <c r="O118" s="0">
        <f>IF(B118="","",COUNTIFS('PEGAR'!$O$13:$O$512,B118,'PEGAR'!$P$13:$P$512,"SIN LÍNEAS"))</f>
      </c>
      <c r="P118" s="0">
        <f>IF(B118="","",SUMIFS('PEGAR'!$Y$13:$Y$512,'PEGAR'!$O$13:$O$512,B118))</f>
      </c>
      <c r="Q118" s="0">
        <f>IF(B118="","",SUMIFS('PEGAR'!$Z$13:$Z$512,'PEGAR'!$O$13:$O$512,B118))</f>
      </c>
      <c r="R118" s="0" t="n">
        <f>IF(OR(B118="",D118=""),0,SUMPRODUCT(--($B$13:$B$512&lt;&gt;""),--($D$13:$D$512=D118),--($C$13:$C$512=C118))-1)</f>
        <v>0</v>
      </c>
      <c r="S118" s="0" t="n">
        <f>IF(OR(B118="",D118=""),0,SUMPRODUCT(--($B$13:$B$512&lt;&gt;""),--($D$13:$D$512=D118),--($C$13:$C$512&lt;&gt;C118)))</f>
        <v>0</v>
      </c>
      <c r="T118" s="0" t="n">
        <f>IF(OR(B118="",D118=""),0,SUMPRODUCT(--($B$13:$B$512&lt;&gt;""),--($D$13:$D$512=D118),--($E$13:$E$512&lt;&gt;E118)))</f>
        <v>0</v>
      </c>
      <c r="U118" s="0" t="n">
        <f>IF(B118="",0,IF(SUMPRODUCT(--('LÉEME'!$C$65:$C$86=E118))=0,1,0))</f>
        <v>0</v>
      </c>
      <c r="V118" s="0">
        <f>IF(B118="","",SUMIFS('PEGAR'!$AA$13:$AA$512,'PEGAR'!$O$13:$O$512,B118))</f>
      </c>
      <c r="W118" s="0">
        <f>IF(B118="","",IF(OR(L118=0,N118&gt;0,T118&gt;0,IF(ISNUMBER(H118),ROUND(ABS(H118),8)&gt;$F$6,FALSE)),2,IF(OR(M118=0,O118&gt;0,P118&gt;0,Q118&gt;0,R118&gt;0,S118&gt;0,U118&gt;0,V118&gt;0),1,0)))</f>
      </c>
      <c r="X118" s="0">
        <f>IF(B118="","",IF(ISNUMBER(G118),1,0))</f>
      </c>
      <c r="AB118" s="0">
        <f>IF(AND(ISNUMBER(W118),W118&gt;0),"ID "&amp;B118,"")</f>
      </c>
      <c r="AC118" s="0">
        <f>IF(AND(ISNUMBER(W118),W118&gt;0),C118,"")</f>
      </c>
      <c r="AD118" s="0">
        <f>IF(AND(ISNUMBER(W118),W118&gt;0),D118,"")</f>
      </c>
      <c r="AE118" s="0">
        <f>IF(AND(ISNUMBER(W118),W118&gt;0),IF(INDEX('PEGAR'!$D$13:$D$512,IF(L118&gt;0,L118,K118))="","Sin descripción",INDEX('PEGAR'!$D$13:$D$512,IF(L118&gt;0,L118,K118))),"")</f>
      </c>
      <c r="AF118" s="0">
        <f>IF(AND(ISNUMBER(W118),W118&gt;0),J118,"")</f>
      </c>
      <c r="AG118" s="0" t="n">
        <f>IF(AND(ISNUMBER(W118),W118&gt;0),W118,0)</f>
        <v>0</v>
      </c>
      <c r="AH118" s="0">
        <f>IF(AG118&gt;0,COUNTIFS($AG$13:AG118,"&gt;0"),"")</f>
      </c>
    </row>
    <row r="119" ht="22" customHeight="1">
      <c r="B119" s="27">
        <f>IF(K119="","",INDEX('PEGAR'!$O$13:$O$512,K119))</f>
      </c>
      <c r="C119" s="30">
        <f>IF(B119="","",IF(LEN(TRIM(INDEX('PEGAR'!$B$13:$B$512,IF(L119&gt;0,L119,K119))&amp;""))=0,"Sin capítulo",TRIM(INDEX('PEGAR'!$B$13:$B$512,IF(L119&gt;0,L119,K119))&amp;"")))</f>
      </c>
      <c r="D119" s="27">
        <f>IF(B119="","",IF(LEN(TRIM(INDEX('PEGAR'!$C$13:$C$512,IF(L119&gt;0,L119,K119))&amp;""))=0,"",TRIM(INDEX('PEGAR'!$C$13:$C$512,IF(L119&gt;0,L119,K119))&amp;"")))</f>
      </c>
      <c r="E119" s="27">
        <f>IF(B119="","",INDEX('PEGAR'!$S$13:$S$512,IF(L119&gt;0,L119,K119)))</f>
      </c>
      <c r="F119" s="39">
        <f>IF(B119="","",IF(L119&gt;0,INDEX('PEGAR'!$F$13:$F$512,L119),""))</f>
      </c>
      <c r="G119" s="39">
        <f>IF(B119="","",IF(OR(M119=0,N119&gt;0,O119&gt;0),"",SUMIFS('PEGAR'!$M$13:$M$512,'PEGAR'!$O$13:$O$512,B119)))</f>
      </c>
      <c r="H119" s="39">
        <f>IF(AND(ISNUMBER(F119),ISNUMBER(G119)),G119-F119,"")</f>
      </c>
      <c r="I119" s="27">
        <f>IF(B119="","",IF(W119=2,"ROJO",IF(W119=1,"ÁMBAR","VERDE")))</f>
      </c>
      <c r="J119" s="30">
        <f>IF(B119="","",IF(W119=0,"Sin avisos numéricos. Revisamos el alcance aparte.",IF(L119=0,"Faltan datos completos de partida; no elegimos un total por suposición."&amp;CHAR(10),"")&amp;IF(N119&gt;0,"Hay filas incompletas o contradictorias; las revisamos en PEGAR."&amp;CHAR(10),"")&amp;IF(O119&gt;0,"Faltan las medidas de alguna fila; no cerramos la suma."&amp;CHAR(10),"")&amp;IF(M119=0,"No constan líneas de medición."&amp;CHAR(10),"")&amp;IF(IF(ISNUMBER(H119),ROUND(ABS(H119),8)&gt;$F$6,FALSE),"Las líneas difieren del total en más de 0,01; confirmamos cantidad o exclusión."&amp;CHAR(10),"")&amp;IF(P119&gt;0,"Parece m³: encontramos tres dimensiones bajo m²."&amp;CHAR(10),"")&amp;IF(R119&gt;0,"Código repetido dentro del capítulo; mantenemos sus ID separados."&amp;CHAR(10),"")&amp;IF(S119&gt;0,"Código repetido en otro capítulo; no unimos las partidas."&amp;CHAR(10),"")&amp;IF(T119&gt;0,"Mismo código con unidades distintas; pedimos aclaración."&amp;CHAR(10),"")&amp;IF(Q119&gt;0,"Hay más precisión que los decimales indicados; cotejamos el formato original."&amp;CHAR(10),"")&amp;IF(U119&gt;0,"Unidad sin normalizar; cotejamos su significado antes de sumar unidades."&amp;CHAR(10),"")&amp;IF(V119&gt;0,"Revisamos dimensiones, cantidades directas, ceros o deducciones en PEGAR."&amp;CHAR(10),"")))</f>
      </c>
      <c r="K119" s="0">
        <f>IF(107&gt;'RESUMEN'!$E$6,"",MATCH(107,'PEGAR'!$W$13:$W$512,0))</f>
      </c>
      <c r="L119" s="0">
        <f>IF(K119="","",INDEX('PEGAR'!$R$13:$R$512,K119))</f>
      </c>
      <c r="M119" s="0">
        <f>IF(B119="","",COUNTIFS('PEGAR'!$O$13:$O$512,B119,'PEGAR'!$P$13:$P$512,"DIMENSIONES")+COUNTIFS('PEGAR'!$O$13:$O$512,B119,'PEGAR'!$P$13:$P$512,"DIRECTA"))</f>
      </c>
      <c r="N119" s="0">
        <f>IF(B119="","",COUNTIFS('PEGAR'!$O$13:$O$512,B119,'PEGAR'!$X$13:$X$512,2))</f>
      </c>
      <c r="O119" s="0">
        <f>IF(B119="","",COUNTIFS('PEGAR'!$O$13:$O$512,B119,'PEGAR'!$P$13:$P$512,"SIN LÍNEAS"))</f>
      </c>
      <c r="P119" s="0">
        <f>IF(B119="","",SUMIFS('PEGAR'!$Y$13:$Y$512,'PEGAR'!$O$13:$O$512,B119))</f>
      </c>
      <c r="Q119" s="0">
        <f>IF(B119="","",SUMIFS('PEGAR'!$Z$13:$Z$512,'PEGAR'!$O$13:$O$512,B119))</f>
      </c>
      <c r="R119" s="0" t="n">
        <f>IF(OR(B119="",D119=""),0,SUMPRODUCT(--($B$13:$B$512&lt;&gt;""),--($D$13:$D$512=D119),--($C$13:$C$512=C119))-1)</f>
        <v>0</v>
      </c>
      <c r="S119" s="0" t="n">
        <f>IF(OR(B119="",D119=""),0,SUMPRODUCT(--($B$13:$B$512&lt;&gt;""),--($D$13:$D$512=D119),--($C$13:$C$512&lt;&gt;C119)))</f>
        <v>0</v>
      </c>
      <c r="T119" s="0" t="n">
        <f>IF(OR(B119="",D119=""),0,SUMPRODUCT(--($B$13:$B$512&lt;&gt;""),--($D$13:$D$512=D119),--($E$13:$E$512&lt;&gt;E119)))</f>
        <v>0</v>
      </c>
      <c r="U119" s="0" t="n">
        <f>IF(B119="",0,IF(SUMPRODUCT(--('LÉEME'!$C$65:$C$86=E119))=0,1,0))</f>
        <v>0</v>
      </c>
      <c r="V119" s="0">
        <f>IF(B119="","",SUMIFS('PEGAR'!$AA$13:$AA$512,'PEGAR'!$O$13:$O$512,B119))</f>
      </c>
      <c r="W119" s="0">
        <f>IF(B119="","",IF(OR(L119=0,N119&gt;0,T119&gt;0,IF(ISNUMBER(H119),ROUND(ABS(H119),8)&gt;$F$6,FALSE)),2,IF(OR(M119=0,O119&gt;0,P119&gt;0,Q119&gt;0,R119&gt;0,S119&gt;0,U119&gt;0,V119&gt;0),1,0)))</f>
      </c>
      <c r="X119" s="0">
        <f>IF(B119="","",IF(ISNUMBER(G119),1,0))</f>
      </c>
      <c r="AB119" s="0">
        <f>IF(AND(ISNUMBER(W119),W119&gt;0),"ID "&amp;B119,"")</f>
      </c>
      <c r="AC119" s="0">
        <f>IF(AND(ISNUMBER(W119),W119&gt;0),C119,"")</f>
      </c>
      <c r="AD119" s="0">
        <f>IF(AND(ISNUMBER(W119),W119&gt;0),D119,"")</f>
      </c>
      <c r="AE119" s="0">
        <f>IF(AND(ISNUMBER(W119),W119&gt;0),IF(INDEX('PEGAR'!$D$13:$D$512,IF(L119&gt;0,L119,K119))="","Sin descripción",INDEX('PEGAR'!$D$13:$D$512,IF(L119&gt;0,L119,K119))),"")</f>
      </c>
      <c r="AF119" s="0">
        <f>IF(AND(ISNUMBER(W119),W119&gt;0),J119,"")</f>
      </c>
      <c r="AG119" s="0" t="n">
        <f>IF(AND(ISNUMBER(W119),W119&gt;0),W119,0)</f>
        <v>0</v>
      </c>
      <c r="AH119" s="0">
        <f>IF(AG119&gt;0,COUNTIFS($AG$13:AG119,"&gt;0"),"")</f>
      </c>
    </row>
    <row r="120" ht="22" customHeight="1">
      <c r="B120" s="27">
        <f>IF(K120="","",INDEX('PEGAR'!$O$13:$O$512,K120))</f>
      </c>
      <c r="C120" s="30">
        <f>IF(B120="","",IF(LEN(TRIM(INDEX('PEGAR'!$B$13:$B$512,IF(L120&gt;0,L120,K120))&amp;""))=0,"Sin capítulo",TRIM(INDEX('PEGAR'!$B$13:$B$512,IF(L120&gt;0,L120,K120))&amp;"")))</f>
      </c>
      <c r="D120" s="27">
        <f>IF(B120="","",IF(LEN(TRIM(INDEX('PEGAR'!$C$13:$C$512,IF(L120&gt;0,L120,K120))&amp;""))=0,"",TRIM(INDEX('PEGAR'!$C$13:$C$512,IF(L120&gt;0,L120,K120))&amp;"")))</f>
      </c>
      <c r="E120" s="27">
        <f>IF(B120="","",INDEX('PEGAR'!$S$13:$S$512,IF(L120&gt;0,L120,K120)))</f>
      </c>
      <c r="F120" s="39">
        <f>IF(B120="","",IF(L120&gt;0,INDEX('PEGAR'!$F$13:$F$512,L120),""))</f>
      </c>
      <c r="G120" s="39">
        <f>IF(B120="","",IF(OR(M120=0,N120&gt;0,O120&gt;0),"",SUMIFS('PEGAR'!$M$13:$M$512,'PEGAR'!$O$13:$O$512,B120)))</f>
      </c>
      <c r="H120" s="39">
        <f>IF(AND(ISNUMBER(F120),ISNUMBER(G120)),G120-F120,"")</f>
      </c>
      <c r="I120" s="27">
        <f>IF(B120="","",IF(W120=2,"ROJO",IF(W120=1,"ÁMBAR","VERDE")))</f>
      </c>
      <c r="J120" s="30">
        <f>IF(B120="","",IF(W120=0,"Sin avisos numéricos. Revisamos el alcance aparte.",IF(L120=0,"Faltan datos completos de partida; no elegimos un total por suposición."&amp;CHAR(10),"")&amp;IF(N120&gt;0,"Hay filas incompletas o contradictorias; las revisamos en PEGAR."&amp;CHAR(10),"")&amp;IF(O120&gt;0,"Faltan las medidas de alguna fila; no cerramos la suma."&amp;CHAR(10),"")&amp;IF(M120=0,"No constan líneas de medición."&amp;CHAR(10),"")&amp;IF(IF(ISNUMBER(H120),ROUND(ABS(H120),8)&gt;$F$6,FALSE),"Las líneas difieren del total en más de 0,01; confirmamos cantidad o exclusión."&amp;CHAR(10),"")&amp;IF(P120&gt;0,"Parece m³: encontramos tres dimensiones bajo m²."&amp;CHAR(10),"")&amp;IF(R120&gt;0,"Código repetido dentro del capítulo; mantenemos sus ID separados."&amp;CHAR(10),"")&amp;IF(S120&gt;0,"Código repetido en otro capítulo; no unimos las partidas."&amp;CHAR(10),"")&amp;IF(T120&gt;0,"Mismo código con unidades distintas; pedimos aclaración."&amp;CHAR(10),"")&amp;IF(Q120&gt;0,"Hay más precisión que los decimales indicados; cotejamos el formato original."&amp;CHAR(10),"")&amp;IF(U120&gt;0,"Unidad sin normalizar; cotejamos su significado antes de sumar unidades."&amp;CHAR(10),"")&amp;IF(V120&gt;0,"Revisamos dimensiones, cantidades directas, ceros o deducciones en PEGAR."&amp;CHAR(10),"")))</f>
      </c>
      <c r="K120" s="0">
        <f>IF(108&gt;'RESUMEN'!$E$6,"",MATCH(108,'PEGAR'!$W$13:$W$512,0))</f>
      </c>
      <c r="L120" s="0">
        <f>IF(K120="","",INDEX('PEGAR'!$R$13:$R$512,K120))</f>
      </c>
      <c r="M120" s="0">
        <f>IF(B120="","",COUNTIFS('PEGAR'!$O$13:$O$512,B120,'PEGAR'!$P$13:$P$512,"DIMENSIONES")+COUNTIFS('PEGAR'!$O$13:$O$512,B120,'PEGAR'!$P$13:$P$512,"DIRECTA"))</f>
      </c>
      <c r="N120" s="0">
        <f>IF(B120="","",COUNTIFS('PEGAR'!$O$13:$O$512,B120,'PEGAR'!$X$13:$X$512,2))</f>
      </c>
      <c r="O120" s="0">
        <f>IF(B120="","",COUNTIFS('PEGAR'!$O$13:$O$512,B120,'PEGAR'!$P$13:$P$512,"SIN LÍNEAS"))</f>
      </c>
      <c r="P120" s="0">
        <f>IF(B120="","",SUMIFS('PEGAR'!$Y$13:$Y$512,'PEGAR'!$O$13:$O$512,B120))</f>
      </c>
      <c r="Q120" s="0">
        <f>IF(B120="","",SUMIFS('PEGAR'!$Z$13:$Z$512,'PEGAR'!$O$13:$O$512,B120))</f>
      </c>
      <c r="R120" s="0" t="n">
        <f>IF(OR(B120="",D120=""),0,SUMPRODUCT(--($B$13:$B$512&lt;&gt;""),--($D$13:$D$512=D120),--($C$13:$C$512=C120))-1)</f>
        <v>0</v>
      </c>
      <c r="S120" s="0" t="n">
        <f>IF(OR(B120="",D120=""),0,SUMPRODUCT(--($B$13:$B$512&lt;&gt;""),--($D$13:$D$512=D120),--($C$13:$C$512&lt;&gt;C120)))</f>
        <v>0</v>
      </c>
      <c r="T120" s="0" t="n">
        <f>IF(OR(B120="",D120=""),0,SUMPRODUCT(--($B$13:$B$512&lt;&gt;""),--($D$13:$D$512=D120),--($E$13:$E$512&lt;&gt;E120)))</f>
        <v>0</v>
      </c>
      <c r="U120" s="0" t="n">
        <f>IF(B120="",0,IF(SUMPRODUCT(--('LÉEME'!$C$65:$C$86=E120))=0,1,0))</f>
        <v>0</v>
      </c>
      <c r="V120" s="0">
        <f>IF(B120="","",SUMIFS('PEGAR'!$AA$13:$AA$512,'PEGAR'!$O$13:$O$512,B120))</f>
      </c>
      <c r="W120" s="0">
        <f>IF(B120="","",IF(OR(L120=0,N120&gt;0,T120&gt;0,IF(ISNUMBER(H120),ROUND(ABS(H120),8)&gt;$F$6,FALSE)),2,IF(OR(M120=0,O120&gt;0,P120&gt;0,Q120&gt;0,R120&gt;0,S120&gt;0,U120&gt;0,V120&gt;0),1,0)))</f>
      </c>
      <c r="X120" s="0">
        <f>IF(B120="","",IF(ISNUMBER(G120),1,0))</f>
      </c>
      <c r="AB120" s="0">
        <f>IF(AND(ISNUMBER(W120),W120&gt;0),"ID "&amp;B120,"")</f>
      </c>
      <c r="AC120" s="0">
        <f>IF(AND(ISNUMBER(W120),W120&gt;0),C120,"")</f>
      </c>
      <c r="AD120" s="0">
        <f>IF(AND(ISNUMBER(W120),W120&gt;0),D120,"")</f>
      </c>
      <c r="AE120" s="0">
        <f>IF(AND(ISNUMBER(W120),W120&gt;0),IF(INDEX('PEGAR'!$D$13:$D$512,IF(L120&gt;0,L120,K120))="","Sin descripción",INDEX('PEGAR'!$D$13:$D$512,IF(L120&gt;0,L120,K120))),"")</f>
      </c>
      <c r="AF120" s="0">
        <f>IF(AND(ISNUMBER(W120),W120&gt;0),J120,"")</f>
      </c>
      <c r="AG120" s="0" t="n">
        <f>IF(AND(ISNUMBER(W120),W120&gt;0),W120,0)</f>
        <v>0</v>
      </c>
      <c r="AH120" s="0">
        <f>IF(AG120&gt;0,COUNTIFS($AG$13:AG120,"&gt;0"),"")</f>
      </c>
    </row>
    <row r="121" ht="22" customHeight="1">
      <c r="B121" s="27">
        <f>IF(K121="","",INDEX('PEGAR'!$O$13:$O$512,K121))</f>
      </c>
      <c r="C121" s="30">
        <f>IF(B121="","",IF(LEN(TRIM(INDEX('PEGAR'!$B$13:$B$512,IF(L121&gt;0,L121,K121))&amp;""))=0,"Sin capítulo",TRIM(INDEX('PEGAR'!$B$13:$B$512,IF(L121&gt;0,L121,K121))&amp;"")))</f>
      </c>
      <c r="D121" s="27">
        <f>IF(B121="","",IF(LEN(TRIM(INDEX('PEGAR'!$C$13:$C$512,IF(L121&gt;0,L121,K121))&amp;""))=0,"",TRIM(INDEX('PEGAR'!$C$13:$C$512,IF(L121&gt;0,L121,K121))&amp;"")))</f>
      </c>
      <c r="E121" s="27">
        <f>IF(B121="","",INDEX('PEGAR'!$S$13:$S$512,IF(L121&gt;0,L121,K121)))</f>
      </c>
      <c r="F121" s="39">
        <f>IF(B121="","",IF(L121&gt;0,INDEX('PEGAR'!$F$13:$F$512,L121),""))</f>
      </c>
      <c r="G121" s="39">
        <f>IF(B121="","",IF(OR(M121=0,N121&gt;0,O121&gt;0),"",SUMIFS('PEGAR'!$M$13:$M$512,'PEGAR'!$O$13:$O$512,B121)))</f>
      </c>
      <c r="H121" s="39">
        <f>IF(AND(ISNUMBER(F121),ISNUMBER(G121)),G121-F121,"")</f>
      </c>
      <c r="I121" s="27">
        <f>IF(B121="","",IF(W121=2,"ROJO",IF(W121=1,"ÁMBAR","VERDE")))</f>
      </c>
      <c r="J121" s="30">
        <f>IF(B121="","",IF(W121=0,"Sin avisos numéricos. Revisamos el alcance aparte.",IF(L121=0,"Faltan datos completos de partida; no elegimos un total por suposición."&amp;CHAR(10),"")&amp;IF(N121&gt;0,"Hay filas incompletas o contradictorias; las revisamos en PEGAR."&amp;CHAR(10),"")&amp;IF(O121&gt;0,"Faltan las medidas de alguna fila; no cerramos la suma."&amp;CHAR(10),"")&amp;IF(M121=0,"No constan líneas de medición."&amp;CHAR(10),"")&amp;IF(IF(ISNUMBER(H121),ROUND(ABS(H121),8)&gt;$F$6,FALSE),"Las líneas difieren del total en más de 0,01; confirmamos cantidad o exclusión."&amp;CHAR(10),"")&amp;IF(P121&gt;0,"Parece m³: encontramos tres dimensiones bajo m²."&amp;CHAR(10),"")&amp;IF(R121&gt;0,"Código repetido dentro del capítulo; mantenemos sus ID separados."&amp;CHAR(10),"")&amp;IF(S121&gt;0,"Código repetido en otro capítulo; no unimos las partidas."&amp;CHAR(10),"")&amp;IF(T121&gt;0,"Mismo código con unidades distintas; pedimos aclaración."&amp;CHAR(10),"")&amp;IF(Q121&gt;0,"Hay más precisión que los decimales indicados; cotejamos el formato original."&amp;CHAR(10),"")&amp;IF(U121&gt;0,"Unidad sin normalizar; cotejamos su significado antes de sumar unidades."&amp;CHAR(10),"")&amp;IF(V121&gt;0,"Revisamos dimensiones, cantidades directas, ceros o deducciones en PEGAR."&amp;CHAR(10),"")))</f>
      </c>
      <c r="K121" s="0">
        <f>IF(109&gt;'RESUMEN'!$E$6,"",MATCH(109,'PEGAR'!$W$13:$W$512,0))</f>
      </c>
      <c r="L121" s="0">
        <f>IF(K121="","",INDEX('PEGAR'!$R$13:$R$512,K121))</f>
      </c>
      <c r="M121" s="0">
        <f>IF(B121="","",COUNTIFS('PEGAR'!$O$13:$O$512,B121,'PEGAR'!$P$13:$P$512,"DIMENSIONES")+COUNTIFS('PEGAR'!$O$13:$O$512,B121,'PEGAR'!$P$13:$P$512,"DIRECTA"))</f>
      </c>
      <c r="N121" s="0">
        <f>IF(B121="","",COUNTIFS('PEGAR'!$O$13:$O$512,B121,'PEGAR'!$X$13:$X$512,2))</f>
      </c>
      <c r="O121" s="0">
        <f>IF(B121="","",COUNTIFS('PEGAR'!$O$13:$O$512,B121,'PEGAR'!$P$13:$P$512,"SIN LÍNEAS"))</f>
      </c>
      <c r="P121" s="0">
        <f>IF(B121="","",SUMIFS('PEGAR'!$Y$13:$Y$512,'PEGAR'!$O$13:$O$512,B121))</f>
      </c>
      <c r="Q121" s="0">
        <f>IF(B121="","",SUMIFS('PEGAR'!$Z$13:$Z$512,'PEGAR'!$O$13:$O$512,B121))</f>
      </c>
      <c r="R121" s="0" t="n">
        <f>IF(OR(B121="",D121=""),0,SUMPRODUCT(--($B$13:$B$512&lt;&gt;""),--($D$13:$D$512=D121),--($C$13:$C$512=C121))-1)</f>
        <v>0</v>
      </c>
      <c r="S121" s="0" t="n">
        <f>IF(OR(B121="",D121=""),0,SUMPRODUCT(--($B$13:$B$512&lt;&gt;""),--($D$13:$D$512=D121),--($C$13:$C$512&lt;&gt;C121)))</f>
        <v>0</v>
      </c>
      <c r="T121" s="0" t="n">
        <f>IF(OR(B121="",D121=""),0,SUMPRODUCT(--($B$13:$B$512&lt;&gt;""),--($D$13:$D$512=D121),--($E$13:$E$512&lt;&gt;E121)))</f>
        <v>0</v>
      </c>
      <c r="U121" s="0" t="n">
        <f>IF(B121="",0,IF(SUMPRODUCT(--('LÉEME'!$C$65:$C$86=E121))=0,1,0))</f>
        <v>0</v>
      </c>
      <c r="V121" s="0">
        <f>IF(B121="","",SUMIFS('PEGAR'!$AA$13:$AA$512,'PEGAR'!$O$13:$O$512,B121))</f>
      </c>
      <c r="W121" s="0">
        <f>IF(B121="","",IF(OR(L121=0,N121&gt;0,T121&gt;0,IF(ISNUMBER(H121),ROUND(ABS(H121),8)&gt;$F$6,FALSE)),2,IF(OR(M121=0,O121&gt;0,P121&gt;0,Q121&gt;0,R121&gt;0,S121&gt;0,U121&gt;0,V121&gt;0),1,0)))</f>
      </c>
      <c r="X121" s="0">
        <f>IF(B121="","",IF(ISNUMBER(G121),1,0))</f>
      </c>
      <c r="AB121" s="0">
        <f>IF(AND(ISNUMBER(W121),W121&gt;0),"ID "&amp;B121,"")</f>
      </c>
      <c r="AC121" s="0">
        <f>IF(AND(ISNUMBER(W121),W121&gt;0),C121,"")</f>
      </c>
      <c r="AD121" s="0">
        <f>IF(AND(ISNUMBER(W121),W121&gt;0),D121,"")</f>
      </c>
      <c r="AE121" s="0">
        <f>IF(AND(ISNUMBER(W121),W121&gt;0),IF(INDEX('PEGAR'!$D$13:$D$512,IF(L121&gt;0,L121,K121))="","Sin descripción",INDEX('PEGAR'!$D$13:$D$512,IF(L121&gt;0,L121,K121))),"")</f>
      </c>
      <c r="AF121" s="0">
        <f>IF(AND(ISNUMBER(W121),W121&gt;0),J121,"")</f>
      </c>
      <c r="AG121" s="0" t="n">
        <f>IF(AND(ISNUMBER(W121),W121&gt;0),W121,0)</f>
        <v>0</v>
      </c>
      <c r="AH121" s="0">
        <f>IF(AG121&gt;0,COUNTIFS($AG$13:AG121,"&gt;0"),"")</f>
      </c>
    </row>
    <row r="122" ht="22" customHeight="1">
      <c r="B122" s="27">
        <f>IF(K122="","",INDEX('PEGAR'!$O$13:$O$512,K122))</f>
      </c>
      <c r="C122" s="30">
        <f>IF(B122="","",IF(LEN(TRIM(INDEX('PEGAR'!$B$13:$B$512,IF(L122&gt;0,L122,K122))&amp;""))=0,"Sin capítulo",TRIM(INDEX('PEGAR'!$B$13:$B$512,IF(L122&gt;0,L122,K122))&amp;"")))</f>
      </c>
      <c r="D122" s="27">
        <f>IF(B122="","",IF(LEN(TRIM(INDEX('PEGAR'!$C$13:$C$512,IF(L122&gt;0,L122,K122))&amp;""))=0,"",TRIM(INDEX('PEGAR'!$C$13:$C$512,IF(L122&gt;0,L122,K122))&amp;"")))</f>
      </c>
      <c r="E122" s="27">
        <f>IF(B122="","",INDEX('PEGAR'!$S$13:$S$512,IF(L122&gt;0,L122,K122)))</f>
      </c>
      <c r="F122" s="39">
        <f>IF(B122="","",IF(L122&gt;0,INDEX('PEGAR'!$F$13:$F$512,L122),""))</f>
      </c>
      <c r="G122" s="39">
        <f>IF(B122="","",IF(OR(M122=0,N122&gt;0,O122&gt;0),"",SUMIFS('PEGAR'!$M$13:$M$512,'PEGAR'!$O$13:$O$512,B122)))</f>
      </c>
      <c r="H122" s="39">
        <f>IF(AND(ISNUMBER(F122),ISNUMBER(G122)),G122-F122,"")</f>
      </c>
      <c r="I122" s="27">
        <f>IF(B122="","",IF(W122=2,"ROJO",IF(W122=1,"ÁMBAR","VERDE")))</f>
      </c>
      <c r="J122" s="30">
        <f>IF(B122="","",IF(W122=0,"Sin avisos numéricos. Revisamos el alcance aparte.",IF(L122=0,"Faltan datos completos de partida; no elegimos un total por suposición."&amp;CHAR(10),"")&amp;IF(N122&gt;0,"Hay filas incompletas o contradictorias; las revisamos en PEGAR."&amp;CHAR(10),"")&amp;IF(O122&gt;0,"Faltan las medidas de alguna fila; no cerramos la suma."&amp;CHAR(10),"")&amp;IF(M122=0,"No constan líneas de medición."&amp;CHAR(10),"")&amp;IF(IF(ISNUMBER(H122),ROUND(ABS(H122),8)&gt;$F$6,FALSE),"Las líneas difieren del total en más de 0,01; confirmamos cantidad o exclusión."&amp;CHAR(10),"")&amp;IF(P122&gt;0,"Parece m³: encontramos tres dimensiones bajo m²."&amp;CHAR(10),"")&amp;IF(R122&gt;0,"Código repetido dentro del capítulo; mantenemos sus ID separados."&amp;CHAR(10),"")&amp;IF(S122&gt;0,"Código repetido en otro capítulo; no unimos las partidas."&amp;CHAR(10),"")&amp;IF(T122&gt;0,"Mismo código con unidades distintas; pedimos aclaración."&amp;CHAR(10),"")&amp;IF(Q122&gt;0,"Hay más precisión que los decimales indicados; cotejamos el formato original."&amp;CHAR(10),"")&amp;IF(U122&gt;0,"Unidad sin normalizar; cotejamos su significado antes de sumar unidades."&amp;CHAR(10),"")&amp;IF(V122&gt;0,"Revisamos dimensiones, cantidades directas, ceros o deducciones en PEGAR."&amp;CHAR(10),"")))</f>
      </c>
      <c r="K122" s="0">
        <f>IF(110&gt;'RESUMEN'!$E$6,"",MATCH(110,'PEGAR'!$W$13:$W$512,0))</f>
      </c>
      <c r="L122" s="0">
        <f>IF(K122="","",INDEX('PEGAR'!$R$13:$R$512,K122))</f>
      </c>
      <c r="M122" s="0">
        <f>IF(B122="","",COUNTIFS('PEGAR'!$O$13:$O$512,B122,'PEGAR'!$P$13:$P$512,"DIMENSIONES")+COUNTIFS('PEGAR'!$O$13:$O$512,B122,'PEGAR'!$P$13:$P$512,"DIRECTA"))</f>
      </c>
      <c r="N122" s="0">
        <f>IF(B122="","",COUNTIFS('PEGAR'!$O$13:$O$512,B122,'PEGAR'!$X$13:$X$512,2))</f>
      </c>
      <c r="O122" s="0">
        <f>IF(B122="","",COUNTIFS('PEGAR'!$O$13:$O$512,B122,'PEGAR'!$P$13:$P$512,"SIN LÍNEAS"))</f>
      </c>
      <c r="P122" s="0">
        <f>IF(B122="","",SUMIFS('PEGAR'!$Y$13:$Y$512,'PEGAR'!$O$13:$O$512,B122))</f>
      </c>
      <c r="Q122" s="0">
        <f>IF(B122="","",SUMIFS('PEGAR'!$Z$13:$Z$512,'PEGAR'!$O$13:$O$512,B122))</f>
      </c>
      <c r="R122" s="0" t="n">
        <f>IF(OR(B122="",D122=""),0,SUMPRODUCT(--($B$13:$B$512&lt;&gt;""),--($D$13:$D$512=D122),--($C$13:$C$512=C122))-1)</f>
        <v>0</v>
      </c>
      <c r="S122" s="0" t="n">
        <f>IF(OR(B122="",D122=""),0,SUMPRODUCT(--($B$13:$B$512&lt;&gt;""),--($D$13:$D$512=D122),--($C$13:$C$512&lt;&gt;C122)))</f>
        <v>0</v>
      </c>
      <c r="T122" s="0" t="n">
        <f>IF(OR(B122="",D122=""),0,SUMPRODUCT(--($B$13:$B$512&lt;&gt;""),--($D$13:$D$512=D122),--($E$13:$E$512&lt;&gt;E122)))</f>
        <v>0</v>
      </c>
      <c r="U122" s="0" t="n">
        <f>IF(B122="",0,IF(SUMPRODUCT(--('LÉEME'!$C$65:$C$86=E122))=0,1,0))</f>
        <v>0</v>
      </c>
      <c r="V122" s="0">
        <f>IF(B122="","",SUMIFS('PEGAR'!$AA$13:$AA$512,'PEGAR'!$O$13:$O$512,B122))</f>
      </c>
      <c r="W122" s="0">
        <f>IF(B122="","",IF(OR(L122=0,N122&gt;0,T122&gt;0,IF(ISNUMBER(H122),ROUND(ABS(H122),8)&gt;$F$6,FALSE)),2,IF(OR(M122=0,O122&gt;0,P122&gt;0,Q122&gt;0,R122&gt;0,S122&gt;0,U122&gt;0,V122&gt;0),1,0)))</f>
      </c>
      <c r="X122" s="0">
        <f>IF(B122="","",IF(ISNUMBER(G122),1,0))</f>
      </c>
      <c r="AB122" s="0">
        <f>IF(AND(ISNUMBER(W122),W122&gt;0),"ID "&amp;B122,"")</f>
      </c>
      <c r="AC122" s="0">
        <f>IF(AND(ISNUMBER(W122),W122&gt;0),C122,"")</f>
      </c>
      <c r="AD122" s="0">
        <f>IF(AND(ISNUMBER(W122),W122&gt;0),D122,"")</f>
      </c>
      <c r="AE122" s="0">
        <f>IF(AND(ISNUMBER(W122),W122&gt;0),IF(INDEX('PEGAR'!$D$13:$D$512,IF(L122&gt;0,L122,K122))="","Sin descripción",INDEX('PEGAR'!$D$13:$D$512,IF(L122&gt;0,L122,K122))),"")</f>
      </c>
      <c r="AF122" s="0">
        <f>IF(AND(ISNUMBER(W122),W122&gt;0),J122,"")</f>
      </c>
      <c r="AG122" s="0" t="n">
        <f>IF(AND(ISNUMBER(W122),W122&gt;0),W122,0)</f>
        <v>0</v>
      </c>
      <c r="AH122" s="0">
        <f>IF(AG122&gt;0,COUNTIFS($AG$13:AG122,"&gt;0"),"")</f>
      </c>
    </row>
    <row r="123" ht="22" customHeight="1">
      <c r="B123" s="27">
        <f>IF(K123="","",INDEX('PEGAR'!$O$13:$O$512,K123))</f>
      </c>
      <c r="C123" s="30">
        <f>IF(B123="","",IF(LEN(TRIM(INDEX('PEGAR'!$B$13:$B$512,IF(L123&gt;0,L123,K123))&amp;""))=0,"Sin capítulo",TRIM(INDEX('PEGAR'!$B$13:$B$512,IF(L123&gt;0,L123,K123))&amp;"")))</f>
      </c>
      <c r="D123" s="27">
        <f>IF(B123="","",IF(LEN(TRIM(INDEX('PEGAR'!$C$13:$C$512,IF(L123&gt;0,L123,K123))&amp;""))=0,"",TRIM(INDEX('PEGAR'!$C$13:$C$512,IF(L123&gt;0,L123,K123))&amp;"")))</f>
      </c>
      <c r="E123" s="27">
        <f>IF(B123="","",INDEX('PEGAR'!$S$13:$S$512,IF(L123&gt;0,L123,K123)))</f>
      </c>
      <c r="F123" s="39">
        <f>IF(B123="","",IF(L123&gt;0,INDEX('PEGAR'!$F$13:$F$512,L123),""))</f>
      </c>
      <c r="G123" s="39">
        <f>IF(B123="","",IF(OR(M123=0,N123&gt;0,O123&gt;0),"",SUMIFS('PEGAR'!$M$13:$M$512,'PEGAR'!$O$13:$O$512,B123)))</f>
      </c>
      <c r="H123" s="39">
        <f>IF(AND(ISNUMBER(F123),ISNUMBER(G123)),G123-F123,"")</f>
      </c>
      <c r="I123" s="27">
        <f>IF(B123="","",IF(W123=2,"ROJO",IF(W123=1,"ÁMBAR","VERDE")))</f>
      </c>
      <c r="J123" s="30">
        <f>IF(B123="","",IF(W123=0,"Sin avisos numéricos. Revisamos el alcance aparte.",IF(L123=0,"Faltan datos completos de partida; no elegimos un total por suposición."&amp;CHAR(10),"")&amp;IF(N123&gt;0,"Hay filas incompletas o contradictorias; las revisamos en PEGAR."&amp;CHAR(10),"")&amp;IF(O123&gt;0,"Faltan las medidas de alguna fila; no cerramos la suma."&amp;CHAR(10),"")&amp;IF(M123=0,"No constan líneas de medición."&amp;CHAR(10),"")&amp;IF(IF(ISNUMBER(H123),ROUND(ABS(H123),8)&gt;$F$6,FALSE),"Las líneas difieren del total en más de 0,01; confirmamos cantidad o exclusión."&amp;CHAR(10),"")&amp;IF(P123&gt;0,"Parece m³: encontramos tres dimensiones bajo m²."&amp;CHAR(10),"")&amp;IF(R123&gt;0,"Código repetido dentro del capítulo; mantenemos sus ID separados."&amp;CHAR(10),"")&amp;IF(S123&gt;0,"Código repetido en otro capítulo; no unimos las partidas."&amp;CHAR(10),"")&amp;IF(T123&gt;0,"Mismo código con unidades distintas; pedimos aclaración."&amp;CHAR(10),"")&amp;IF(Q123&gt;0,"Hay más precisión que los decimales indicados; cotejamos el formato original."&amp;CHAR(10),"")&amp;IF(U123&gt;0,"Unidad sin normalizar; cotejamos su significado antes de sumar unidades."&amp;CHAR(10),"")&amp;IF(V123&gt;0,"Revisamos dimensiones, cantidades directas, ceros o deducciones en PEGAR."&amp;CHAR(10),"")))</f>
      </c>
      <c r="K123" s="0">
        <f>IF(111&gt;'RESUMEN'!$E$6,"",MATCH(111,'PEGAR'!$W$13:$W$512,0))</f>
      </c>
      <c r="L123" s="0">
        <f>IF(K123="","",INDEX('PEGAR'!$R$13:$R$512,K123))</f>
      </c>
      <c r="M123" s="0">
        <f>IF(B123="","",COUNTIFS('PEGAR'!$O$13:$O$512,B123,'PEGAR'!$P$13:$P$512,"DIMENSIONES")+COUNTIFS('PEGAR'!$O$13:$O$512,B123,'PEGAR'!$P$13:$P$512,"DIRECTA"))</f>
      </c>
      <c r="N123" s="0">
        <f>IF(B123="","",COUNTIFS('PEGAR'!$O$13:$O$512,B123,'PEGAR'!$X$13:$X$512,2))</f>
      </c>
      <c r="O123" s="0">
        <f>IF(B123="","",COUNTIFS('PEGAR'!$O$13:$O$512,B123,'PEGAR'!$P$13:$P$512,"SIN LÍNEAS"))</f>
      </c>
      <c r="P123" s="0">
        <f>IF(B123="","",SUMIFS('PEGAR'!$Y$13:$Y$512,'PEGAR'!$O$13:$O$512,B123))</f>
      </c>
      <c r="Q123" s="0">
        <f>IF(B123="","",SUMIFS('PEGAR'!$Z$13:$Z$512,'PEGAR'!$O$13:$O$512,B123))</f>
      </c>
      <c r="R123" s="0" t="n">
        <f>IF(OR(B123="",D123=""),0,SUMPRODUCT(--($B$13:$B$512&lt;&gt;""),--($D$13:$D$512=D123),--($C$13:$C$512=C123))-1)</f>
        <v>0</v>
      </c>
      <c r="S123" s="0" t="n">
        <f>IF(OR(B123="",D123=""),0,SUMPRODUCT(--($B$13:$B$512&lt;&gt;""),--($D$13:$D$512=D123),--($C$13:$C$512&lt;&gt;C123)))</f>
        <v>0</v>
      </c>
      <c r="T123" s="0" t="n">
        <f>IF(OR(B123="",D123=""),0,SUMPRODUCT(--($B$13:$B$512&lt;&gt;""),--($D$13:$D$512=D123),--($E$13:$E$512&lt;&gt;E123)))</f>
        <v>0</v>
      </c>
      <c r="U123" s="0" t="n">
        <f>IF(B123="",0,IF(SUMPRODUCT(--('LÉEME'!$C$65:$C$86=E123))=0,1,0))</f>
        <v>0</v>
      </c>
      <c r="V123" s="0">
        <f>IF(B123="","",SUMIFS('PEGAR'!$AA$13:$AA$512,'PEGAR'!$O$13:$O$512,B123))</f>
      </c>
      <c r="W123" s="0">
        <f>IF(B123="","",IF(OR(L123=0,N123&gt;0,T123&gt;0,IF(ISNUMBER(H123),ROUND(ABS(H123),8)&gt;$F$6,FALSE)),2,IF(OR(M123=0,O123&gt;0,P123&gt;0,Q123&gt;0,R123&gt;0,S123&gt;0,U123&gt;0,V123&gt;0),1,0)))</f>
      </c>
      <c r="X123" s="0">
        <f>IF(B123="","",IF(ISNUMBER(G123),1,0))</f>
      </c>
      <c r="AB123" s="0">
        <f>IF(AND(ISNUMBER(W123),W123&gt;0),"ID "&amp;B123,"")</f>
      </c>
      <c r="AC123" s="0">
        <f>IF(AND(ISNUMBER(W123),W123&gt;0),C123,"")</f>
      </c>
      <c r="AD123" s="0">
        <f>IF(AND(ISNUMBER(W123),W123&gt;0),D123,"")</f>
      </c>
      <c r="AE123" s="0">
        <f>IF(AND(ISNUMBER(W123),W123&gt;0),IF(INDEX('PEGAR'!$D$13:$D$512,IF(L123&gt;0,L123,K123))="","Sin descripción",INDEX('PEGAR'!$D$13:$D$512,IF(L123&gt;0,L123,K123))),"")</f>
      </c>
      <c r="AF123" s="0">
        <f>IF(AND(ISNUMBER(W123),W123&gt;0),J123,"")</f>
      </c>
      <c r="AG123" s="0" t="n">
        <f>IF(AND(ISNUMBER(W123),W123&gt;0),W123,0)</f>
        <v>0</v>
      </c>
      <c r="AH123" s="0">
        <f>IF(AG123&gt;0,COUNTIFS($AG$13:AG123,"&gt;0"),"")</f>
      </c>
    </row>
    <row r="124" ht="22" customHeight="1">
      <c r="B124" s="27">
        <f>IF(K124="","",INDEX('PEGAR'!$O$13:$O$512,K124))</f>
      </c>
      <c r="C124" s="30">
        <f>IF(B124="","",IF(LEN(TRIM(INDEX('PEGAR'!$B$13:$B$512,IF(L124&gt;0,L124,K124))&amp;""))=0,"Sin capítulo",TRIM(INDEX('PEGAR'!$B$13:$B$512,IF(L124&gt;0,L124,K124))&amp;"")))</f>
      </c>
      <c r="D124" s="27">
        <f>IF(B124="","",IF(LEN(TRIM(INDEX('PEGAR'!$C$13:$C$512,IF(L124&gt;0,L124,K124))&amp;""))=0,"",TRIM(INDEX('PEGAR'!$C$13:$C$512,IF(L124&gt;0,L124,K124))&amp;"")))</f>
      </c>
      <c r="E124" s="27">
        <f>IF(B124="","",INDEX('PEGAR'!$S$13:$S$512,IF(L124&gt;0,L124,K124)))</f>
      </c>
      <c r="F124" s="39">
        <f>IF(B124="","",IF(L124&gt;0,INDEX('PEGAR'!$F$13:$F$512,L124),""))</f>
      </c>
      <c r="G124" s="39">
        <f>IF(B124="","",IF(OR(M124=0,N124&gt;0,O124&gt;0),"",SUMIFS('PEGAR'!$M$13:$M$512,'PEGAR'!$O$13:$O$512,B124)))</f>
      </c>
      <c r="H124" s="39">
        <f>IF(AND(ISNUMBER(F124),ISNUMBER(G124)),G124-F124,"")</f>
      </c>
      <c r="I124" s="27">
        <f>IF(B124="","",IF(W124=2,"ROJO",IF(W124=1,"ÁMBAR","VERDE")))</f>
      </c>
      <c r="J124" s="30">
        <f>IF(B124="","",IF(W124=0,"Sin avisos numéricos. Revisamos el alcance aparte.",IF(L124=0,"Faltan datos completos de partida; no elegimos un total por suposición."&amp;CHAR(10),"")&amp;IF(N124&gt;0,"Hay filas incompletas o contradictorias; las revisamos en PEGAR."&amp;CHAR(10),"")&amp;IF(O124&gt;0,"Faltan las medidas de alguna fila; no cerramos la suma."&amp;CHAR(10),"")&amp;IF(M124=0,"No constan líneas de medición."&amp;CHAR(10),"")&amp;IF(IF(ISNUMBER(H124),ROUND(ABS(H124),8)&gt;$F$6,FALSE),"Las líneas difieren del total en más de 0,01; confirmamos cantidad o exclusión."&amp;CHAR(10),"")&amp;IF(P124&gt;0,"Parece m³: encontramos tres dimensiones bajo m²."&amp;CHAR(10),"")&amp;IF(R124&gt;0,"Código repetido dentro del capítulo; mantenemos sus ID separados."&amp;CHAR(10),"")&amp;IF(S124&gt;0,"Código repetido en otro capítulo; no unimos las partidas."&amp;CHAR(10),"")&amp;IF(T124&gt;0,"Mismo código con unidades distintas; pedimos aclaración."&amp;CHAR(10),"")&amp;IF(Q124&gt;0,"Hay más precisión que los decimales indicados; cotejamos el formato original."&amp;CHAR(10),"")&amp;IF(U124&gt;0,"Unidad sin normalizar; cotejamos su significado antes de sumar unidades."&amp;CHAR(10),"")&amp;IF(V124&gt;0,"Revisamos dimensiones, cantidades directas, ceros o deducciones en PEGAR."&amp;CHAR(10),"")))</f>
      </c>
      <c r="K124" s="0">
        <f>IF(112&gt;'RESUMEN'!$E$6,"",MATCH(112,'PEGAR'!$W$13:$W$512,0))</f>
      </c>
      <c r="L124" s="0">
        <f>IF(K124="","",INDEX('PEGAR'!$R$13:$R$512,K124))</f>
      </c>
      <c r="M124" s="0">
        <f>IF(B124="","",COUNTIFS('PEGAR'!$O$13:$O$512,B124,'PEGAR'!$P$13:$P$512,"DIMENSIONES")+COUNTIFS('PEGAR'!$O$13:$O$512,B124,'PEGAR'!$P$13:$P$512,"DIRECTA"))</f>
      </c>
      <c r="N124" s="0">
        <f>IF(B124="","",COUNTIFS('PEGAR'!$O$13:$O$512,B124,'PEGAR'!$X$13:$X$512,2))</f>
      </c>
      <c r="O124" s="0">
        <f>IF(B124="","",COUNTIFS('PEGAR'!$O$13:$O$512,B124,'PEGAR'!$P$13:$P$512,"SIN LÍNEAS"))</f>
      </c>
      <c r="P124" s="0">
        <f>IF(B124="","",SUMIFS('PEGAR'!$Y$13:$Y$512,'PEGAR'!$O$13:$O$512,B124))</f>
      </c>
      <c r="Q124" s="0">
        <f>IF(B124="","",SUMIFS('PEGAR'!$Z$13:$Z$512,'PEGAR'!$O$13:$O$512,B124))</f>
      </c>
      <c r="R124" s="0" t="n">
        <f>IF(OR(B124="",D124=""),0,SUMPRODUCT(--($B$13:$B$512&lt;&gt;""),--($D$13:$D$512=D124),--($C$13:$C$512=C124))-1)</f>
        <v>0</v>
      </c>
      <c r="S124" s="0" t="n">
        <f>IF(OR(B124="",D124=""),0,SUMPRODUCT(--($B$13:$B$512&lt;&gt;""),--($D$13:$D$512=D124),--($C$13:$C$512&lt;&gt;C124)))</f>
        <v>0</v>
      </c>
      <c r="T124" s="0" t="n">
        <f>IF(OR(B124="",D124=""),0,SUMPRODUCT(--($B$13:$B$512&lt;&gt;""),--($D$13:$D$512=D124),--($E$13:$E$512&lt;&gt;E124)))</f>
        <v>0</v>
      </c>
      <c r="U124" s="0" t="n">
        <f>IF(B124="",0,IF(SUMPRODUCT(--('LÉEME'!$C$65:$C$86=E124))=0,1,0))</f>
        <v>0</v>
      </c>
      <c r="V124" s="0">
        <f>IF(B124="","",SUMIFS('PEGAR'!$AA$13:$AA$512,'PEGAR'!$O$13:$O$512,B124))</f>
      </c>
      <c r="W124" s="0">
        <f>IF(B124="","",IF(OR(L124=0,N124&gt;0,T124&gt;0,IF(ISNUMBER(H124),ROUND(ABS(H124),8)&gt;$F$6,FALSE)),2,IF(OR(M124=0,O124&gt;0,P124&gt;0,Q124&gt;0,R124&gt;0,S124&gt;0,U124&gt;0,V124&gt;0),1,0)))</f>
      </c>
      <c r="X124" s="0">
        <f>IF(B124="","",IF(ISNUMBER(G124),1,0))</f>
      </c>
      <c r="AB124" s="0">
        <f>IF(AND(ISNUMBER(W124),W124&gt;0),"ID "&amp;B124,"")</f>
      </c>
      <c r="AC124" s="0">
        <f>IF(AND(ISNUMBER(W124),W124&gt;0),C124,"")</f>
      </c>
      <c r="AD124" s="0">
        <f>IF(AND(ISNUMBER(W124),W124&gt;0),D124,"")</f>
      </c>
      <c r="AE124" s="0">
        <f>IF(AND(ISNUMBER(W124),W124&gt;0),IF(INDEX('PEGAR'!$D$13:$D$512,IF(L124&gt;0,L124,K124))="","Sin descripción",INDEX('PEGAR'!$D$13:$D$512,IF(L124&gt;0,L124,K124))),"")</f>
      </c>
      <c r="AF124" s="0">
        <f>IF(AND(ISNUMBER(W124),W124&gt;0),J124,"")</f>
      </c>
      <c r="AG124" s="0" t="n">
        <f>IF(AND(ISNUMBER(W124),W124&gt;0),W124,0)</f>
        <v>0</v>
      </c>
      <c r="AH124" s="0">
        <f>IF(AG124&gt;0,COUNTIFS($AG$13:AG124,"&gt;0"),"")</f>
      </c>
    </row>
    <row r="125" ht="22" customHeight="1">
      <c r="B125" s="27">
        <f>IF(K125="","",INDEX('PEGAR'!$O$13:$O$512,K125))</f>
      </c>
      <c r="C125" s="30">
        <f>IF(B125="","",IF(LEN(TRIM(INDEX('PEGAR'!$B$13:$B$512,IF(L125&gt;0,L125,K125))&amp;""))=0,"Sin capítulo",TRIM(INDEX('PEGAR'!$B$13:$B$512,IF(L125&gt;0,L125,K125))&amp;"")))</f>
      </c>
      <c r="D125" s="27">
        <f>IF(B125="","",IF(LEN(TRIM(INDEX('PEGAR'!$C$13:$C$512,IF(L125&gt;0,L125,K125))&amp;""))=0,"",TRIM(INDEX('PEGAR'!$C$13:$C$512,IF(L125&gt;0,L125,K125))&amp;"")))</f>
      </c>
      <c r="E125" s="27">
        <f>IF(B125="","",INDEX('PEGAR'!$S$13:$S$512,IF(L125&gt;0,L125,K125)))</f>
      </c>
      <c r="F125" s="39">
        <f>IF(B125="","",IF(L125&gt;0,INDEX('PEGAR'!$F$13:$F$512,L125),""))</f>
      </c>
      <c r="G125" s="39">
        <f>IF(B125="","",IF(OR(M125=0,N125&gt;0,O125&gt;0),"",SUMIFS('PEGAR'!$M$13:$M$512,'PEGAR'!$O$13:$O$512,B125)))</f>
      </c>
      <c r="H125" s="39">
        <f>IF(AND(ISNUMBER(F125),ISNUMBER(G125)),G125-F125,"")</f>
      </c>
      <c r="I125" s="27">
        <f>IF(B125="","",IF(W125=2,"ROJO",IF(W125=1,"ÁMBAR","VERDE")))</f>
      </c>
      <c r="J125" s="30">
        <f>IF(B125="","",IF(W125=0,"Sin avisos numéricos. Revisamos el alcance aparte.",IF(L125=0,"Faltan datos completos de partida; no elegimos un total por suposición."&amp;CHAR(10),"")&amp;IF(N125&gt;0,"Hay filas incompletas o contradictorias; las revisamos en PEGAR."&amp;CHAR(10),"")&amp;IF(O125&gt;0,"Faltan las medidas de alguna fila; no cerramos la suma."&amp;CHAR(10),"")&amp;IF(M125=0,"No constan líneas de medición."&amp;CHAR(10),"")&amp;IF(IF(ISNUMBER(H125),ROUND(ABS(H125),8)&gt;$F$6,FALSE),"Las líneas difieren del total en más de 0,01; confirmamos cantidad o exclusión."&amp;CHAR(10),"")&amp;IF(P125&gt;0,"Parece m³: encontramos tres dimensiones bajo m²."&amp;CHAR(10),"")&amp;IF(R125&gt;0,"Código repetido dentro del capítulo; mantenemos sus ID separados."&amp;CHAR(10),"")&amp;IF(S125&gt;0,"Código repetido en otro capítulo; no unimos las partidas."&amp;CHAR(10),"")&amp;IF(T125&gt;0,"Mismo código con unidades distintas; pedimos aclaración."&amp;CHAR(10),"")&amp;IF(Q125&gt;0,"Hay más precisión que los decimales indicados; cotejamos el formato original."&amp;CHAR(10),"")&amp;IF(U125&gt;0,"Unidad sin normalizar; cotejamos su significado antes de sumar unidades."&amp;CHAR(10),"")&amp;IF(V125&gt;0,"Revisamos dimensiones, cantidades directas, ceros o deducciones en PEGAR."&amp;CHAR(10),"")))</f>
      </c>
      <c r="K125" s="0">
        <f>IF(113&gt;'RESUMEN'!$E$6,"",MATCH(113,'PEGAR'!$W$13:$W$512,0))</f>
      </c>
      <c r="L125" s="0">
        <f>IF(K125="","",INDEX('PEGAR'!$R$13:$R$512,K125))</f>
      </c>
      <c r="M125" s="0">
        <f>IF(B125="","",COUNTIFS('PEGAR'!$O$13:$O$512,B125,'PEGAR'!$P$13:$P$512,"DIMENSIONES")+COUNTIFS('PEGAR'!$O$13:$O$512,B125,'PEGAR'!$P$13:$P$512,"DIRECTA"))</f>
      </c>
      <c r="N125" s="0">
        <f>IF(B125="","",COUNTIFS('PEGAR'!$O$13:$O$512,B125,'PEGAR'!$X$13:$X$512,2))</f>
      </c>
      <c r="O125" s="0">
        <f>IF(B125="","",COUNTIFS('PEGAR'!$O$13:$O$512,B125,'PEGAR'!$P$13:$P$512,"SIN LÍNEAS"))</f>
      </c>
      <c r="P125" s="0">
        <f>IF(B125="","",SUMIFS('PEGAR'!$Y$13:$Y$512,'PEGAR'!$O$13:$O$512,B125))</f>
      </c>
      <c r="Q125" s="0">
        <f>IF(B125="","",SUMIFS('PEGAR'!$Z$13:$Z$512,'PEGAR'!$O$13:$O$512,B125))</f>
      </c>
      <c r="R125" s="0" t="n">
        <f>IF(OR(B125="",D125=""),0,SUMPRODUCT(--($B$13:$B$512&lt;&gt;""),--($D$13:$D$512=D125),--($C$13:$C$512=C125))-1)</f>
        <v>0</v>
      </c>
      <c r="S125" s="0" t="n">
        <f>IF(OR(B125="",D125=""),0,SUMPRODUCT(--($B$13:$B$512&lt;&gt;""),--($D$13:$D$512=D125),--($C$13:$C$512&lt;&gt;C125)))</f>
        <v>0</v>
      </c>
      <c r="T125" s="0" t="n">
        <f>IF(OR(B125="",D125=""),0,SUMPRODUCT(--($B$13:$B$512&lt;&gt;""),--($D$13:$D$512=D125),--($E$13:$E$512&lt;&gt;E125)))</f>
        <v>0</v>
      </c>
      <c r="U125" s="0" t="n">
        <f>IF(B125="",0,IF(SUMPRODUCT(--('LÉEME'!$C$65:$C$86=E125))=0,1,0))</f>
        <v>0</v>
      </c>
      <c r="V125" s="0">
        <f>IF(B125="","",SUMIFS('PEGAR'!$AA$13:$AA$512,'PEGAR'!$O$13:$O$512,B125))</f>
      </c>
      <c r="W125" s="0">
        <f>IF(B125="","",IF(OR(L125=0,N125&gt;0,T125&gt;0,IF(ISNUMBER(H125),ROUND(ABS(H125),8)&gt;$F$6,FALSE)),2,IF(OR(M125=0,O125&gt;0,P125&gt;0,Q125&gt;0,R125&gt;0,S125&gt;0,U125&gt;0,V125&gt;0),1,0)))</f>
      </c>
      <c r="X125" s="0">
        <f>IF(B125="","",IF(ISNUMBER(G125),1,0))</f>
      </c>
      <c r="AB125" s="0">
        <f>IF(AND(ISNUMBER(W125),W125&gt;0),"ID "&amp;B125,"")</f>
      </c>
      <c r="AC125" s="0">
        <f>IF(AND(ISNUMBER(W125),W125&gt;0),C125,"")</f>
      </c>
      <c r="AD125" s="0">
        <f>IF(AND(ISNUMBER(W125),W125&gt;0),D125,"")</f>
      </c>
      <c r="AE125" s="0">
        <f>IF(AND(ISNUMBER(W125),W125&gt;0),IF(INDEX('PEGAR'!$D$13:$D$512,IF(L125&gt;0,L125,K125))="","Sin descripción",INDEX('PEGAR'!$D$13:$D$512,IF(L125&gt;0,L125,K125))),"")</f>
      </c>
      <c r="AF125" s="0">
        <f>IF(AND(ISNUMBER(W125),W125&gt;0),J125,"")</f>
      </c>
      <c r="AG125" s="0" t="n">
        <f>IF(AND(ISNUMBER(W125),W125&gt;0),W125,0)</f>
        <v>0</v>
      </c>
      <c r="AH125" s="0">
        <f>IF(AG125&gt;0,COUNTIFS($AG$13:AG125,"&gt;0"),"")</f>
      </c>
    </row>
    <row r="126" ht="22" customHeight="1">
      <c r="B126" s="27">
        <f>IF(K126="","",INDEX('PEGAR'!$O$13:$O$512,K126))</f>
      </c>
      <c r="C126" s="30">
        <f>IF(B126="","",IF(LEN(TRIM(INDEX('PEGAR'!$B$13:$B$512,IF(L126&gt;0,L126,K126))&amp;""))=0,"Sin capítulo",TRIM(INDEX('PEGAR'!$B$13:$B$512,IF(L126&gt;0,L126,K126))&amp;"")))</f>
      </c>
      <c r="D126" s="27">
        <f>IF(B126="","",IF(LEN(TRIM(INDEX('PEGAR'!$C$13:$C$512,IF(L126&gt;0,L126,K126))&amp;""))=0,"",TRIM(INDEX('PEGAR'!$C$13:$C$512,IF(L126&gt;0,L126,K126))&amp;"")))</f>
      </c>
      <c r="E126" s="27">
        <f>IF(B126="","",INDEX('PEGAR'!$S$13:$S$512,IF(L126&gt;0,L126,K126)))</f>
      </c>
      <c r="F126" s="39">
        <f>IF(B126="","",IF(L126&gt;0,INDEX('PEGAR'!$F$13:$F$512,L126),""))</f>
      </c>
      <c r="G126" s="39">
        <f>IF(B126="","",IF(OR(M126=0,N126&gt;0,O126&gt;0),"",SUMIFS('PEGAR'!$M$13:$M$512,'PEGAR'!$O$13:$O$512,B126)))</f>
      </c>
      <c r="H126" s="39">
        <f>IF(AND(ISNUMBER(F126),ISNUMBER(G126)),G126-F126,"")</f>
      </c>
      <c r="I126" s="27">
        <f>IF(B126="","",IF(W126=2,"ROJO",IF(W126=1,"ÁMBAR","VERDE")))</f>
      </c>
      <c r="J126" s="30">
        <f>IF(B126="","",IF(W126=0,"Sin avisos numéricos. Revisamos el alcance aparte.",IF(L126=0,"Faltan datos completos de partida; no elegimos un total por suposición."&amp;CHAR(10),"")&amp;IF(N126&gt;0,"Hay filas incompletas o contradictorias; las revisamos en PEGAR."&amp;CHAR(10),"")&amp;IF(O126&gt;0,"Faltan las medidas de alguna fila; no cerramos la suma."&amp;CHAR(10),"")&amp;IF(M126=0,"No constan líneas de medición."&amp;CHAR(10),"")&amp;IF(IF(ISNUMBER(H126),ROUND(ABS(H126),8)&gt;$F$6,FALSE),"Las líneas difieren del total en más de 0,01; confirmamos cantidad o exclusión."&amp;CHAR(10),"")&amp;IF(P126&gt;0,"Parece m³: encontramos tres dimensiones bajo m²."&amp;CHAR(10),"")&amp;IF(R126&gt;0,"Código repetido dentro del capítulo; mantenemos sus ID separados."&amp;CHAR(10),"")&amp;IF(S126&gt;0,"Código repetido en otro capítulo; no unimos las partidas."&amp;CHAR(10),"")&amp;IF(T126&gt;0,"Mismo código con unidades distintas; pedimos aclaración."&amp;CHAR(10),"")&amp;IF(Q126&gt;0,"Hay más precisión que los decimales indicados; cotejamos el formato original."&amp;CHAR(10),"")&amp;IF(U126&gt;0,"Unidad sin normalizar; cotejamos su significado antes de sumar unidades."&amp;CHAR(10),"")&amp;IF(V126&gt;0,"Revisamos dimensiones, cantidades directas, ceros o deducciones en PEGAR."&amp;CHAR(10),"")))</f>
      </c>
      <c r="K126" s="0">
        <f>IF(114&gt;'RESUMEN'!$E$6,"",MATCH(114,'PEGAR'!$W$13:$W$512,0))</f>
      </c>
      <c r="L126" s="0">
        <f>IF(K126="","",INDEX('PEGAR'!$R$13:$R$512,K126))</f>
      </c>
      <c r="M126" s="0">
        <f>IF(B126="","",COUNTIFS('PEGAR'!$O$13:$O$512,B126,'PEGAR'!$P$13:$P$512,"DIMENSIONES")+COUNTIFS('PEGAR'!$O$13:$O$512,B126,'PEGAR'!$P$13:$P$512,"DIRECTA"))</f>
      </c>
      <c r="N126" s="0">
        <f>IF(B126="","",COUNTIFS('PEGAR'!$O$13:$O$512,B126,'PEGAR'!$X$13:$X$512,2))</f>
      </c>
      <c r="O126" s="0">
        <f>IF(B126="","",COUNTIFS('PEGAR'!$O$13:$O$512,B126,'PEGAR'!$P$13:$P$512,"SIN LÍNEAS"))</f>
      </c>
      <c r="P126" s="0">
        <f>IF(B126="","",SUMIFS('PEGAR'!$Y$13:$Y$512,'PEGAR'!$O$13:$O$512,B126))</f>
      </c>
      <c r="Q126" s="0">
        <f>IF(B126="","",SUMIFS('PEGAR'!$Z$13:$Z$512,'PEGAR'!$O$13:$O$512,B126))</f>
      </c>
      <c r="R126" s="0" t="n">
        <f>IF(OR(B126="",D126=""),0,SUMPRODUCT(--($B$13:$B$512&lt;&gt;""),--($D$13:$D$512=D126),--($C$13:$C$512=C126))-1)</f>
        <v>0</v>
      </c>
      <c r="S126" s="0" t="n">
        <f>IF(OR(B126="",D126=""),0,SUMPRODUCT(--($B$13:$B$512&lt;&gt;""),--($D$13:$D$512=D126),--($C$13:$C$512&lt;&gt;C126)))</f>
        <v>0</v>
      </c>
      <c r="T126" s="0" t="n">
        <f>IF(OR(B126="",D126=""),0,SUMPRODUCT(--($B$13:$B$512&lt;&gt;""),--($D$13:$D$512=D126),--($E$13:$E$512&lt;&gt;E126)))</f>
        <v>0</v>
      </c>
      <c r="U126" s="0" t="n">
        <f>IF(B126="",0,IF(SUMPRODUCT(--('LÉEME'!$C$65:$C$86=E126))=0,1,0))</f>
        <v>0</v>
      </c>
      <c r="V126" s="0">
        <f>IF(B126="","",SUMIFS('PEGAR'!$AA$13:$AA$512,'PEGAR'!$O$13:$O$512,B126))</f>
      </c>
      <c r="W126" s="0">
        <f>IF(B126="","",IF(OR(L126=0,N126&gt;0,T126&gt;0,IF(ISNUMBER(H126),ROUND(ABS(H126),8)&gt;$F$6,FALSE)),2,IF(OR(M126=0,O126&gt;0,P126&gt;0,Q126&gt;0,R126&gt;0,S126&gt;0,U126&gt;0,V126&gt;0),1,0)))</f>
      </c>
      <c r="X126" s="0">
        <f>IF(B126="","",IF(ISNUMBER(G126),1,0))</f>
      </c>
      <c r="AB126" s="0">
        <f>IF(AND(ISNUMBER(W126),W126&gt;0),"ID "&amp;B126,"")</f>
      </c>
      <c r="AC126" s="0">
        <f>IF(AND(ISNUMBER(W126),W126&gt;0),C126,"")</f>
      </c>
      <c r="AD126" s="0">
        <f>IF(AND(ISNUMBER(W126),W126&gt;0),D126,"")</f>
      </c>
      <c r="AE126" s="0">
        <f>IF(AND(ISNUMBER(W126),W126&gt;0),IF(INDEX('PEGAR'!$D$13:$D$512,IF(L126&gt;0,L126,K126))="","Sin descripción",INDEX('PEGAR'!$D$13:$D$512,IF(L126&gt;0,L126,K126))),"")</f>
      </c>
      <c r="AF126" s="0">
        <f>IF(AND(ISNUMBER(W126),W126&gt;0),J126,"")</f>
      </c>
      <c r="AG126" s="0" t="n">
        <f>IF(AND(ISNUMBER(W126),W126&gt;0),W126,0)</f>
        <v>0</v>
      </c>
      <c r="AH126" s="0">
        <f>IF(AG126&gt;0,COUNTIFS($AG$13:AG126,"&gt;0"),"")</f>
      </c>
    </row>
    <row r="127" ht="22" customHeight="1">
      <c r="B127" s="27">
        <f>IF(K127="","",INDEX('PEGAR'!$O$13:$O$512,K127))</f>
      </c>
      <c r="C127" s="30">
        <f>IF(B127="","",IF(LEN(TRIM(INDEX('PEGAR'!$B$13:$B$512,IF(L127&gt;0,L127,K127))&amp;""))=0,"Sin capítulo",TRIM(INDEX('PEGAR'!$B$13:$B$512,IF(L127&gt;0,L127,K127))&amp;"")))</f>
      </c>
      <c r="D127" s="27">
        <f>IF(B127="","",IF(LEN(TRIM(INDEX('PEGAR'!$C$13:$C$512,IF(L127&gt;0,L127,K127))&amp;""))=0,"",TRIM(INDEX('PEGAR'!$C$13:$C$512,IF(L127&gt;0,L127,K127))&amp;"")))</f>
      </c>
      <c r="E127" s="27">
        <f>IF(B127="","",INDEX('PEGAR'!$S$13:$S$512,IF(L127&gt;0,L127,K127)))</f>
      </c>
      <c r="F127" s="39">
        <f>IF(B127="","",IF(L127&gt;0,INDEX('PEGAR'!$F$13:$F$512,L127),""))</f>
      </c>
      <c r="G127" s="39">
        <f>IF(B127="","",IF(OR(M127=0,N127&gt;0,O127&gt;0),"",SUMIFS('PEGAR'!$M$13:$M$512,'PEGAR'!$O$13:$O$512,B127)))</f>
      </c>
      <c r="H127" s="39">
        <f>IF(AND(ISNUMBER(F127),ISNUMBER(G127)),G127-F127,"")</f>
      </c>
      <c r="I127" s="27">
        <f>IF(B127="","",IF(W127=2,"ROJO",IF(W127=1,"ÁMBAR","VERDE")))</f>
      </c>
      <c r="J127" s="30">
        <f>IF(B127="","",IF(W127=0,"Sin avisos numéricos. Revisamos el alcance aparte.",IF(L127=0,"Faltan datos completos de partida; no elegimos un total por suposición."&amp;CHAR(10),"")&amp;IF(N127&gt;0,"Hay filas incompletas o contradictorias; las revisamos en PEGAR."&amp;CHAR(10),"")&amp;IF(O127&gt;0,"Faltan las medidas de alguna fila; no cerramos la suma."&amp;CHAR(10),"")&amp;IF(M127=0,"No constan líneas de medición."&amp;CHAR(10),"")&amp;IF(IF(ISNUMBER(H127),ROUND(ABS(H127),8)&gt;$F$6,FALSE),"Las líneas difieren del total en más de 0,01; confirmamos cantidad o exclusión."&amp;CHAR(10),"")&amp;IF(P127&gt;0,"Parece m³: encontramos tres dimensiones bajo m²."&amp;CHAR(10),"")&amp;IF(R127&gt;0,"Código repetido dentro del capítulo; mantenemos sus ID separados."&amp;CHAR(10),"")&amp;IF(S127&gt;0,"Código repetido en otro capítulo; no unimos las partidas."&amp;CHAR(10),"")&amp;IF(T127&gt;0,"Mismo código con unidades distintas; pedimos aclaración."&amp;CHAR(10),"")&amp;IF(Q127&gt;0,"Hay más precisión que los decimales indicados; cotejamos el formato original."&amp;CHAR(10),"")&amp;IF(U127&gt;0,"Unidad sin normalizar; cotejamos su significado antes de sumar unidades."&amp;CHAR(10),"")&amp;IF(V127&gt;0,"Revisamos dimensiones, cantidades directas, ceros o deducciones en PEGAR."&amp;CHAR(10),"")))</f>
      </c>
      <c r="K127" s="0">
        <f>IF(115&gt;'RESUMEN'!$E$6,"",MATCH(115,'PEGAR'!$W$13:$W$512,0))</f>
      </c>
      <c r="L127" s="0">
        <f>IF(K127="","",INDEX('PEGAR'!$R$13:$R$512,K127))</f>
      </c>
      <c r="M127" s="0">
        <f>IF(B127="","",COUNTIFS('PEGAR'!$O$13:$O$512,B127,'PEGAR'!$P$13:$P$512,"DIMENSIONES")+COUNTIFS('PEGAR'!$O$13:$O$512,B127,'PEGAR'!$P$13:$P$512,"DIRECTA"))</f>
      </c>
      <c r="N127" s="0">
        <f>IF(B127="","",COUNTIFS('PEGAR'!$O$13:$O$512,B127,'PEGAR'!$X$13:$X$512,2))</f>
      </c>
      <c r="O127" s="0">
        <f>IF(B127="","",COUNTIFS('PEGAR'!$O$13:$O$512,B127,'PEGAR'!$P$13:$P$512,"SIN LÍNEAS"))</f>
      </c>
      <c r="P127" s="0">
        <f>IF(B127="","",SUMIFS('PEGAR'!$Y$13:$Y$512,'PEGAR'!$O$13:$O$512,B127))</f>
      </c>
      <c r="Q127" s="0">
        <f>IF(B127="","",SUMIFS('PEGAR'!$Z$13:$Z$512,'PEGAR'!$O$13:$O$512,B127))</f>
      </c>
      <c r="R127" s="0" t="n">
        <f>IF(OR(B127="",D127=""),0,SUMPRODUCT(--($B$13:$B$512&lt;&gt;""),--($D$13:$D$512=D127),--($C$13:$C$512=C127))-1)</f>
        <v>0</v>
      </c>
      <c r="S127" s="0" t="n">
        <f>IF(OR(B127="",D127=""),0,SUMPRODUCT(--($B$13:$B$512&lt;&gt;""),--($D$13:$D$512=D127),--($C$13:$C$512&lt;&gt;C127)))</f>
        <v>0</v>
      </c>
      <c r="T127" s="0" t="n">
        <f>IF(OR(B127="",D127=""),0,SUMPRODUCT(--($B$13:$B$512&lt;&gt;""),--($D$13:$D$512=D127),--($E$13:$E$512&lt;&gt;E127)))</f>
        <v>0</v>
      </c>
      <c r="U127" s="0" t="n">
        <f>IF(B127="",0,IF(SUMPRODUCT(--('LÉEME'!$C$65:$C$86=E127))=0,1,0))</f>
        <v>0</v>
      </c>
      <c r="V127" s="0">
        <f>IF(B127="","",SUMIFS('PEGAR'!$AA$13:$AA$512,'PEGAR'!$O$13:$O$512,B127))</f>
      </c>
      <c r="W127" s="0">
        <f>IF(B127="","",IF(OR(L127=0,N127&gt;0,T127&gt;0,IF(ISNUMBER(H127),ROUND(ABS(H127),8)&gt;$F$6,FALSE)),2,IF(OR(M127=0,O127&gt;0,P127&gt;0,Q127&gt;0,R127&gt;0,S127&gt;0,U127&gt;0,V127&gt;0),1,0)))</f>
      </c>
      <c r="X127" s="0">
        <f>IF(B127="","",IF(ISNUMBER(G127),1,0))</f>
      </c>
      <c r="AB127" s="0">
        <f>IF(AND(ISNUMBER(W127),W127&gt;0),"ID "&amp;B127,"")</f>
      </c>
      <c r="AC127" s="0">
        <f>IF(AND(ISNUMBER(W127),W127&gt;0),C127,"")</f>
      </c>
      <c r="AD127" s="0">
        <f>IF(AND(ISNUMBER(W127),W127&gt;0),D127,"")</f>
      </c>
      <c r="AE127" s="0">
        <f>IF(AND(ISNUMBER(W127),W127&gt;0),IF(INDEX('PEGAR'!$D$13:$D$512,IF(L127&gt;0,L127,K127))="","Sin descripción",INDEX('PEGAR'!$D$13:$D$512,IF(L127&gt;0,L127,K127))),"")</f>
      </c>
      <c r="AF127" s="0">
        <f>IF(AND(ISNUMBER(W127),W127&gt;0),J127,"")</f>
      </c>
      <c r="AG127" s="0" t="n">
        <f>IF(AND(ISNUMBER(W127),W127&gt;0),W127,0)</f>
        <v>0</v>
      </c>
      <c r="AH127" s="0">
        <f>IF(AG127&gt;0,COUNTIFS($AG$13:AG127,"&gt;0"),"")</f>
      </c>
    </row>
    <row r="128" ht="22" customHeight="1">
      <c r="B128" s="27">
        <f>IF(K128="","",INDEX('PEGAR'!$O$13:$O$512,K128))</f>
      </c>
      <c r="C128" s="30">
        <f>IF(B128="","",IF(LEN(TRIM(INDEX('PEGAR'!$B$13:$B$512,IF(L128&gt;0,L128,K128))&amp;""))=0,"Sin capítulo",TRIM(INDEX('PEGAR'!$B$13:$B$512,IF(L128&gt;0,L128,K128))&amp;"")))</f>
      </c>
      <c r="D128" s="27">
        <f>IF(B128="","",IF(LEN(TRIM(INDEX('PEGAR'!$C$13:$C$512,IF(L128&gt;0,L128,K128))&amp;""))=0,"",TRIM(INDEX('PEGAR'!$C$13:$C$512,IF(L128&gt;0,L128,K128))&amp;"")))</f>
      </c>
      <c r="E128" s="27">
        <f>IF(B128="","",INDEX('PEGAR'!$S$13:$S$512,IF(L128&gt;0,L128,K128)))</f>
      </c>
      <c r="F128" s="39">
        <f>IF(B128="","",IF(L128&gt;0,INDEX('PEGAR'!$F$13:$F$512,L128),""))</f>
      </c>
      <c r="G128" s="39">
        <f>IF(B128="","",IF(OR(M128=0,N128&gt;0,O128&gt;0),"",SUMIFS('PEGAR'!$M$13:$M$512,'PEGAR'!$O$13:$O$512,B128)))</f>
      </c>
      <c r="H128" s="39">
        <f>IF(AND(ISNUMBER(F128),ISNUMBER(G128)),G128-F128,"")</f>
      </c>
      <c r="I128" s="27">
        <f>IF(B128="","",IF(W128=2,"ROJO",IF(W128=1,"ÁMBAR","VERDE")))</f>
      </c>
      <c r="J128" s="30">
        <f>IF(B128="","",IF(W128=0,"Sin avisos numéricos. Revisamos el alcance aparte.",IF(L128=0,"Faltan datos completos de partida; no elegimos un total por suposición."&amp;CHAR(10),"")&amp;IF(N128&gt;0,"Hay filas incompletas o contradictorias; las revisamos en PEGAR."&amp;CHAR(10),"")&amp;IF(O128&gt;0,"Faltan las medidas de alguna fila; no cerramos la suma."&amp;CHAR(10),"")&amp;IF(M128=0,"No constan líneas de medición."&amp;CHAR(10),"")&amp;IF(IF(ISNUMBER(H128),ROUND(ABS(H128),8)&gt;$F$6,FALSE),"Las líneas difieren del total en más de 0,01; confirmamos cantidad o exclusión."&amp;CHAR(10),"")&amp;IF(P128&gt;0,"Parece m³: encontramos tres dimensiones bajo m²."&amp;CHAR(10),"")&amp;IF(R128&gt;0,"Código repetido dentro del capítulo; mantenemos sus ID separados."&amp;CHAR(10),"")&amp;IF(S128&gt;0,"Código repetido en otro capítulo; no unimos las partidas."&amp;CHAR(10),"")&amp;IF(T128&gt;0,"Mismo código con unidades distintas; pedimos aclaración."&amp;CHAR(10),"")&amp;IF(Q128&gt;0,"Hay más precisión que los decimales indicados; cotejamos el formato original."&amp;CHAR(10),"")&amp;IF(U128&gt;0,"Unidad sin normalizar; cotejamos su significado antes de sumar unidades."&amp;CHAR(10),"")&amp;IF(V128&gt;0,"Revisamos dimensiones, cantidades directas, ceros o deducciones en PEGAR."&amp;CHAR(10),"")))</f>
      </c>
      <c r="K128" s="0">
        <f>IF(116&gt;'RESUMEN'!$E$6,"",MATCH(116,'PEGAR'!$W$13:$W$512,0))</f>
      </c>
      <c r="L128" s="0">
        <f>IF(K128="","",INDEX('PEGAR'!$R$13:$R$512,K128))</f>
      </c>
      <c r="M128" s="0">
        <f>IF(B128="","",COUNTIFS('PEGAR'!$O$13:$O$512,B128,'PEGAR'!$P$13:$P$512,"DIMENSIONES")+COUNTIFS('PEGAR'!$O$13:$O$512,B128,'PEGAR'!$P$13:$P$512,"DIRECTA"))</f>
      </c>
      <c r="N128" s="0">
        <f>IF(B128="","",COUNTIFS('PEGAR'!$O$13:$O$512,B128,'PEGAR'!$X$13:$X$512,2))</f>
      </c>
      <c r="O128" s="0">
        <f>IF(B128="","",COUNTIFS('PEGAR'!$O$13:$O$512,B128,'PEGAR'!$P$13:$P$512,"SIN LÍNEAS"))</f>
      </c>
      <c r="P128" s="0">
        <f>IF(B128="","",SUMIFS('PEGAR'!$Y$13:$Y$512,'PEGAR'!$O$13:$O$512,B128))</f>
      </c>
      <c r="Q128" s="0">
        <f>IF(B128="","",SUMIFS('PEGAR'!$Z$13:$Z$512,'PEGAR'!$O$13:$O$512,B128))</f>
      </c>
      <c r="R128" s="0" t="n">
        <f>IF(OR(B128="",D128=""),0,SUMPRODUCT(--($B$13:$B$512&lt;&gt;""),--($D$13:$D$512=D128),--($C$13:$C$512=C128))-1)</f>
        <v>0</v>
      </c>
      <c r="S128" s="0" t="n">
        <f>IF(OR(B128="",D128=""),0,SUMPRODUCT(--($B$13:$B$512&lt;&gt;""),--($D$13:$D$512=D128),--($C$13:$C$512&lt;&gt;C128)))</f>
        <v>0</v>
      </c>
      <c r="T128" s="0" t="n">
        <f>IF(OR(B128="",D128=""),0,SUMPRODUCT(--($B$13:$B$512&lt;&gt;""),--($D$13:$D$512=D128),--($E$13:$E$512&lt;&gt;E128)))</f>
        <v>0</v>
      </c>
      <c r="U128" s="0" t="n">
        <f>IF(B128="",0,IF(SUMPRODUCT(--('LÉEME'!$C$65:$C$86=E128))=0,1,0))</f>
        <v>0</v>
      </c>
      <c r="V128" s="0">
        <f>IF(B128="","",SUMIFS('PEGAR'!$AA$13:$AA$512,'PEGAR'!$O$13:$O$512,B128))</f>
      </c>
      <c r="W128" s="0">
        <f>IF(B128="","",IF(OR(L128=0,N128&gt;0,T128&gt;0,IF(ISNUMBER(H128),ROUND(ABS(H128),8)&gt;$F$6,FALSE)),2,IF(OR(M128=0,O128&gt;0,P128&gt;0,Q128&gt;0,R128&gt;0,S128&gt;0,U128&gt;0,V128&gt;0),1,0)))</f>
      </c>
      <c r="X128" s="0">
        <f>IF(B128="","",IF(ISNUMBER(G128),1,0))</f>
      </c>
      <c r="AB128" s="0">
        <f>IF(AND(ISNUMBER(W128),W128&gt;0),"ID "&amp;B128,"")</f>
      </c>
      <c r="AC128" s="0">
        <f>IF(AND(ISNUMBER(W128),W128&gt;0),C128,"")</f>
      </c>
      <c r="AD128" s="0">
        <f>IF(AND(ISNUMBER(W128),W128&gt;0),D128,"")</f>
      </c>
      <c r="AE128" s="0">
        <f>IF(AND(ISNUMBER(W128),W128&gt;0),IF(INDEX('PEGAR'!$D$13:$D$512,IF(L128&gt;0,L128,K128))="","Sin descripción",INDEX('PEGAR'!$D$13:$D$512,IF(L128&gt;0,L128,K128))),"")</f>
      </c>
      <c r="AF128" s="0">
        <f>IF(AND(ISNUMBER(W128),W128&gt;0),J128,"")</f>
      </c>
      <c r="AG128" s="0" t="n">
        <f>IF(AND(ISNUMBER(W128),W128&gt;0),W128,0)</f>
        <v>0</v>
      </c>
      <c r="AH128" s="0">
        <f>IF(AG128&gt;0,COUNTIFS($AG$13:AG128,"&gt;0"),"")</f>
      </c>
    </row>
    <row r="129" ht="22" customHeight="1">
      <c r="B129" s="27">
        <f>IF(K129="","",INDEX('PEGAR'!$O$13:$O$512,K129))</f>
      </c>
      <c r="C129" s="30">
        <f>IF(B129="","",IF(LEN(TRIM(INDEX('PEGAR'!$B$13:$B$512,IF(L129&gt;0,L129,K129))&amp;""))=0,"Sin capítulo",TRIM(INDEX('PEGAR'!$B$13:$B$512,IF(L129&gt;0,L129,K129))&amp;"")))</f>
      </c>
      <c r="D129" s="27">
        <f>IF(B129="","",IF(LEN(TRIM(INDEX('PEGAR'!$C$13:$C$512,IF(L129&gt;0,L129,K129))&amp;""))=0,"",TRIM(INDEX('PEGAR'!$C$13:$C$512,IF(L129&gt;0,L129,K129))&amp;"")))</f>
      </c>
      <c r="E129" s="27">
        <f>IF(B129="","",INDEX('PEGAR'!$S$13:$S$512,IF(L129&gt;0,L129,K129)))</f>
      </c>
      <c r="F129" s="39">
        <f>IF(B129="","",IF(L129&gt;0,INDEX('PEGAR'!$F$13:$F$512,L129),""))</f>
      </c>
      <c r="G129" s="39">
        <f>IF(B129="","",IF(OR(M129=0,N129&gt;0,O129&gt;0),"",SUMIFS('PEGAR'!$M$13:$M$512,'PEGAR'!$O$13:$O$512,B129)))</f>
      </c>
      <c r="H129" s="39">
        <f>IF(AND(ISNUMBER(F129),ISNUMBER(G129)),G129-F129,"")</f>
      </c>
      <c r="I129" s="27">
        <f>IF(B129="","",IF(W129=2,"ROJO",IF(W129=1,"ÁMBAR","VERDE")))</f>
      </c>
      <c r="J129" s="30">
        <f>IF(B129="","",IF(W129=0,"Sin avisos numéricos. Revisamos el alcance aparte.",IF(L129=0,"Faltan datos completos de partida; no elegimos un total por suposición."&amp;CHAR(10),"")&amp;IF(N129&gt;0,"Hay filas incompletas o contradictorias; las revisamos en PEGAR."&amp;CHAR(10),"")&amp;IF(O129&gt;0,"Faltan las medidas de alguna fila; no cerramos la suma."&amp;CHAR(10),"")&amp;IF(M129=0,"No constan líneas de medición."&amp;CHAR(10),"")&amp;IF(IF(ISNUMBER(H129),ROUND(ABS(H129),8)&gt;$F$6,FALSE),"Las líneas difieren del total en más de 0,01; confirmamos cantidad o exclusión."&amp;CHAR(10),"")&amp;IF(P129&gt;0,"Parece m³: encontramos tres dimensiones bajo m²."&amp;CHAR(10),"")&amp;IF(R129&gt;0,"Código repetido dentro del capítulo; mantenemos sus ID separados."&amp;CHAR(10),"")&amp;IF(S129&gt;0,"Código repetido en otro capítulo; no unimos las partidas."&amp;CHAR(10),"")&amp;IF(T129&gt;0,"Mismo código con unidades distintas; pedimos aclaración."&amp;CHAR(10),"")&amp;IF(Q129&gt;0,"Hay más precisión que los decimales indicados; cotejamos el formato original."&amp;CHAR(10),"")&amp;IF(U129&gt;0,"Unidad sin normalizar; cotejamos su significado antes de sumar unidades."&amp;CHAR(10),"")&amp;IF(V129&gt;0,"Revisamos dimensiones, cantidades directas, ceros o deducciones en PEGAR."&amp;CHAR(10),"")))</f>
      </c>
      <c r="K129" s="0">
        <f>IF(117&gt;'RESUMEN'!$E$6,"",MATCH(117,'PEGAR'!$W$13:$W$512,0))</f>
      </c>
      <c r="L129" s="0">
        <f>IF(K129="","",INDEX('PEGAR'!$R$13:$R$512,K129))</f>
      </c>
      <c r="M129" s="0">
        <f>IF(B129="","",COUNTIFS('PEGAR'!$O$13:$O$512,B129,'PEGAR'!$P$13:$P$512,"DIMENSIONES")+COUNTIFS('PEGAR'!$O$13:$O$512,B129,'PEGAR'!$P$13:$P$512,"DIRECTA"))</f>
      </c>
      <c r="N129" s="0">
        <f>IF(B129="","",COUNTIFS('PEGAR'!$O$13:$O$512,B129,'PEGAR'!$X$13:$X$512,2))</f>
      </c>
      <c r="O129" s="0">
        <f>IF(B129="","",COUNTIFS('PEGAR'!$O$13:$O$512,B129,'PEGAR'!$P$13:$P$512,"SIN LÍNEAS"))</f>
      </c>
      <c r="P129" s="0">
        <f>IF(B129="","",SUMIFS('PEGAR'!$Y$13:$Y$512,'PEGAR'!$O$13:$O$512,B129))</f>
      </c>
      <c r="Q129" s="0">
        <f>IF(B129="","",SUMIFS('PEGAR'!$Z$13:$Z$512,'PEGAR'!$O$13:$O$512,B129))</f>
      </c>
      <c r="R129" s="0" t="n">
        <f>IF(OR(B129="",D129=""),0,SUMPRODUCT(--($B$13:$B$512&lt;&gt;""),--($D$13:$D$512=D129),--($C$13:$C$512=C129))-1)</f>
        <v>0</v>
      </c>
      <c r="S129" s="0" t="n">
        <f>IF(OR(B129="",D129=""),0,SUMPRODUCT(--($B$13:$B$512&lt;&gt;""),--($D$13:$D$512=D129),--($C$13:$C$512&lt;&gt;C129)))</f>
        <v>0</v>
      </c>
      <c r="T129" s="0" t="n">
        <f>IF(OR(B129="",D129=""),0,SUMPRODUCT(--($B$13:$B$512&lt;&gt;""),--($D$13:$D$512=D129),--($E$13:$E$512&lt;&gt;E129)))</f>
        <v>0</v>
      </c>
      <c r="U129" s="0" t="n">
        <f>IF(B129="",0,IF(SUMPRODUCT(--('LÉEME'!$C$65:$C$86=E129))=0,1,0))</f>
        <v>0</v>
      </c>
      <c r="V129" s="0">
        <f>IF(B129="","",SUMIFS('PEGAR'!$AA$13:$AA$512,'PEGAR'!$O$13:$O$512,B129))</f>
      </c>
      <c r="W129" s="0">
        <f>IF(B129="","",IF(OR(L129=0,N129&gt;0,T129&gt;0,IF(ISNUMBER(H129),ROUND(ABS(H129),8)&gt;$F$6,FALSE)),2,IF(OR(M129=0,O129&gt;0,P129&gt;0,Q129&gt;0,R129&gt;0,S129&gt;0,U129&gt;0,V129&gt;0),1,0)))</f>
      </c>
      <c r="X129" s="0">
        <f>IF(B129="","",IF(ISNUMBER(G129),1,0))</f>
      </c>
      <c r="AB129" s="0">
        <f>IF(AND(ISNUMBER(W129),W129&gt;0),"ID "&amp;B129,"")</f>
      </c>
      <c r="AC129" s="0">
        <f>IF(AND(ISNUMBER(W129),W129&gt;0),C129,"")</f>
      </c>
      <c r="AD129" s="0">
        <f>IF(AND(ISNUMBER(W129),W129&gt;0),D129,"")</f>
      </c>
      <c r="AE129" s="0">
        <f>IF(AND(ISNUMBER(W129),W129&gt;0),IF(INDEX('PEGAR'!$D$13:$D$512,IF(L129&gt;0,L129,K129))="","Sin descripción",INDEX('PEGAR'!$D$13:$D$512,IF(L129&gt;0,L129,K129))),"")</f>
      </c>
      <c r="AF129" s="0">
        <f>IF(AND(ISNUMBER(W129),W129&gt;0),J129,"")</f>
      </c>
      <c r="AG129" s="0" t="n">
        <f>IF(AND(ISNUMBER(W129),W129&gt;0),W129,0)</f>
        <v>0</v>
      </c>
      <c r="AH129" s="0">
        <f>IF(AG129&gt;0,COUNTIFS($AG$13:AG129,"&gt;0"),"")</f>
      </c>
    </row>
    <row r="130" ht="22" customHeight="1">
      <c r="B130" s="27">
        <f>IF(K130="","",INDEX('PEGAR'!$O$13:$O$512,K130))</f>
      </c>
      <c r="C130" s="30">
        <f>IF(B130="","",IF(LEN(TRIM(INDEX('PEGAR'!$B$13:$B$512,IF(L130&gt;0,L130,K130))&amp;""))=0,"Sin capítulo",TRIM(INDEX('PEGAR'!$B$13:$B$512,IF(L130&gt;0,L130,K130))&amp;"")))</f>
      </c>
      <c r="D130" s="27">
        <f>IF(B130="","",IF(LEN(TRIM(INDEX('PEGAR'!$C$13:$C$512,IF(L130&gt;0,L130,K130))&amp;""))=0,"",TRIM(INDEX('PEGAR'!$C$13:$C$512,IF(L130&gt;0,L130,K130))&amp;"")))</f>
      </c>
      <c r="E130" s="27">
        <f>IF(B130="","",INDEX('PEGAR'!$S$13:$S$512,IF(L130&gt;0,L130,K130)))</f>
      </c>
      <c r="F130" s="39">
        <f>IF(B130="","",IF(L130&gt;0,INDEX('PEGAR'!$F$13:$F$512,L130),""))</f>
      </c>
      <c r="G130" s="39">
        <f>IF(B130="","",IF(OR(M130=0,N130&gt;0,O130&gt;0),"",SUMIFS('PEGAR'!$M$13:$M$512,'PEGAR'!$O$13:$O$512,B130)))</f>
      </c>
      <c r="H130" s="39">
        <f>IF(AND(ISNUMBER(F130),ISNUMBER(G130)),G130-F130,"")</f>
      </c>
      <c r="I130" s="27">
        <f>IF(B130="","",IF(W130=2,"ROJO",IF(W130=1,"ÁMBAR","VERDE")))</f>
      </c>
      <c r="J130" s="30">
        <f>IF(B130="","",IF(W130=0,"Sin avisos numéricos. Revisamos el alcance aparte.",IF(L130=0,"Faltan datos completos de partida; no elegimos un total por suposición."&amp;CHAR(10),"")&amp;IF(N130&gt;0,"Hay filas incompletas o contradictorias; las revisamos en PEGAR."&amp;CHAR(10),"")&amp;IF(O130&gt;0,"Faltan las medidas de alguna fila; no cerramos la suma."&amp;CHAR(10),"")&amp;IF(M130=0,"No constan líneas de medición."&amp;CHAR(10),"")&amp;IF(IF(ISNUMBER(H130),ROUND(ABS(H130),8)&gt;$F$6,FALSE),"Las líneas difieren del total en más de 0,01; confirmamos cantidad o exclusión."&amp;CHAR(10),"")&amp;IF(P130&gt;0,"Parece m³: encontramos tres dimensiones bajo m²."&amp;CHAR(10),"")&amp;IF(R130&gt;0,"Código repetido dentro del capítulo; mantenemos sus ID separados."&amp;CHAR(10),"")&amp;IF(S130&gt;0,"Código repetido en otro capítulo; no unimos las partidas."&amp;CHAR(10),"")&amp;IF(T130&gt;0,"Mismo código con unidades distintas; pedimos aclaración."&amp;CHAR(10),"")&amp;IF(Q130&gt;0,"Hay más precisión que los decimales indicados; cotejamos el formato original."&amp;CHAR(10),"")&amp;IF(U130&gt;0,"Unidad sin normalizar; cotejamos su significado antes de sumar unidades."&amp;CHAR(10),"")&amp;IF(V130&gt;0,"Revisamos dimensiones, cantidades directas, ceros o deducciones en PEGAR."&amp;CHAR(10),"")))</f>
      </c>
      <c r="K130" s="0">
        <f>IF(118&gt;'RESUMEN'!$E$6,"",MATCH(118,'PEGAR'!$W$13:$W$512,0))</f>
      </c>
      <c r="L130" s="0">
        <f>IF(K130="","",INDEX('PEGAR'!$R$13:$R$512,K130))</f>
      </c>
      <c r="M130" s="0">
        <f>IF(B130="","",COUNTIFS('PEGAR'!$O$13:$O$512,B130,'PEGAR'!$P$13:$P$512,"DIMENSIONES")+COUNTIFS('PEGAR'!$O$13:$O$512,B130,'PEGAR'!$P$13:$P$512,"DIRECTA"))</f>
      </c>
      <c r="N130" s="0">
        <f>IF(B130="","",COUNTIFS('PEGAR'!$O$13:$O$512,B130,'PEGAR'!$X$13:$X$512,2))</f>
      </c>
      <c r="O130" s="0">
        <f>IF(B130="","",COUNTIFS('PEGAR'!$O$13:$O$512,B130,'PEGAR'!$P$13:$P$512,"SIN LÍNEAS"))</f>
      </c>
      <c r="P130" s="0">
        <f>IF(B130="","",SUMIFS('PEGAR'!$Y$13:$Y$512,'PEGAR'!$O$13:$O$512,B130))</f>
      </c>
      <c r="Q130" s="0">
        <f>IF(B130="","",SUMIFS('PEGAR'!$Z$13:$Z$512,'PEGAR'!$O$13:$O$512,B130))</f>
      </c>
      <c r="R130" s="0" t="n">
        <f>IF(OR(B130="",D130=""),0,SUMPRODUCT(--($B$13:$B$512&lt;&gt;""),--($D$13:$D$512=D130),--($C$13:$C$512=C130))-1)</f>
        <v>0</v>
      </c>
      <c r="S130" s="0" t="n">
        <f>IF(OR(B130="",D130=""),0,SUMPRODUCT(--($B$13:$B$512&lt;&gt;""),--($D$13:$D$512=D130),--($C$13:$C$512&lt;&gt;C130)))</f>
        <v>0</v>
      </c>
      <c r="T130" s="0" t="n">
        <f>IF(OR(B130="",D130=""),0,SUMPRODUCT(--($B$13:$B$512&lt;&gt;""),--($D$13:$D$512=D130),--($E$13:$E$512&lt;&gt;E130)))</f>
        <v>0</v>
      </c>
      <c r="U130" s="0" t="n">
        <f>IF(B130="",0,IF(SUMPRODUCT(--('LÉEME'!$C$65:$C$86=E130))=0,1,0))</f>
        <v>0</v>
      </c>
      <c r="V130" s="0">
        <f>IF(B130="","",SUMIFS('PEGAR'!$AA$13:$AA$512,'PEGAR'!$O$13:$O$512,B130))</f>
      </c>
      <c r="W130" s="0">
        <f>IF(B130="","",IF(OR(L130=0,N130&gt;0,T130&gt;0,IF(ISNUMBER(H130),ROUND(ABS(H130),8)&gt;$F$6,FALSE)),2,IF(OR(M130=0,O130&gt;0,P130&gt;0,Q130&gt;0,R130&gt;0,S130&gt;0,U130&gt;0,V130&gt;0),1,0)))</f>
      </c>
      <c r="X130" s="0">
        <f>IF(B130="","",IF(ISNUMBER(G130),1,0))</f>
      </c>
      <c r="AB130" s="0">
        <f>IF(AND(ISNUMBER(W130),W130&gt;0),"ID "&amp;B130,"")</f>
      </c>
      <c r="AC130" s="0">
        <f>IF(AND(ISNUMBER(W130),W130&gt;0),C130,"")</f>
      </c>
      <c r="AD130" s="0">
        <f>IF(AND(ISNUMBER(W130),W130&gt;0),D130,"")</f>
      </c>
      <c r="AE130" s="0">
        <f>IF(AND(ISNUMBER(W130),W130&gt;0),IF(INDEX('PEGAR'!$D$13:$D$512,IF(L130&gt;0,L130,K130))="","Sin descripción",INDEX('PEGAR'!$D$13:$D$512,IF(L130&gt;0,L130,K130))),"")</f>
      </c>
      <c r="AF130" s="0">
        <f>IF(AND(ISNUMBER(W130),W130&gt;0),J130,"")</f>
      </c>
      <c r="AG130" s="0" t="n">
        <f>IF(AND(ISNUMBER(W130),W130&gt;0),W130,0)</f>
        <v>0</v>
      </c>
      <c r="AH130" s="0">
        <f>IF(AG130&gt;0,COUNTIFS($AG$13:AG130,"&gt;0"),"")</f>
      </c>
    </row>
    <row r="131" ht="22" customHeight="1">
      <c r="B131" s="27">
        <f>IF(K131="","",INDEX('PEGAR'!$O$13:$O$512,K131))</f>
      </c>
      <c r="C131" s="30">
        <f>IF(B131="","",IF(LEN(TRIM(INDEX('PEGAR'!$B$13:$B$512,IF(L131&gt;0,L131,K131))&amp;""))=0,"Sin capítulo",TRIM(INDEX('PEGAR'!$B$13:$B$512,IF(L131&gt;0,L131,K131))&amp;"")))</f>
      </c>
      <c r="D131" s="27">
        <f>IF(B131="","",IF(LEN(TRIM(INDEX('PEGAR'!$C$13:$C$512,IF(L131&gt;0,L131,K131))&amp;""))=0,"",TRIM(INDEX('PEGAR'!$C$13:$C$512,IF(L131&gt;0,L131,K131))&amp;"")))</f>
      </c>
      <c r="E131" s="27">
        <f>IF(B131="","",INDEX('PEGAR'!$S$13:$S$512,IF(L131&gt;0,L131,K131)))</f>
      </c>
      <c r="F131" s="39">
        <f>IF(B131="","",IF(L131&gt;0,INDEX('PEGAR'!$F$13:$F$512,L131),""))</f>
      </c>
      <c r="G131" s="39">
        <f>IF(B131="","",IF(OR(M131=0,N131&gt;0,O131&gt;0),"",SUMIFS('PEGAR'!$M$13:$M$512,'PEGAR'!$O$13:$O$512,B131)))</f>
      </c>
      <c r="H131" s="39">
        <f>IF(AND(ISNUMBER(F131),ISNUMBER(G131)),G131-F131,"")</f>
      </c>
      <c r="I131" s="27">
        <f>IF(B131="","",IF(W131=2,"ROJO",IF(W131=1,"ÁMBAR","VERDE")))</f>
      </c>
      <c r="J131" s="30">
        <f>IF(B131="","",IF(W131=0,"Sin avisos numéricos. Revisamos el alcance aparte.",IF(L131=0,"Faltan datos completos de partida; no elegimos un total por suposición."&amp;CHAR(10),"")&amp;IF(N131&gt;0,"Hay filas incompletas o contradictorias; las revisamos en PEGAR."&amp;CHAR(10),"")&amp;IF(O131&gt;0,"Faltan las medidas de alguna fila; no cerramos la suma."&amp;CHAR(10),"")&amp;IF(M131=0,"No constan líneas de medición."&amp;CHAR(10),"")&amp;IF(IF(ISNUMBER(H131),ROUND(ABS(H131),8)&gt;$F$6,FALSE),"Las líneas difieren del total en más de 0,01; confirmamos cantidad o exclusión."&amp;CHAR(10),"")&amp;IF(P131&gt;0,"Parece m³: encontramos tres dimensiones bajo m²."&amp;CHAR(10),"")&amp;IF(R131&gt;0,"Código repetido dentro del capítulo; mantenemos sus ID separados."&amp;CHAR(10),"")&amp;IF(S131&gt;0,"Código repetido en otro capítulo; no unimos las partidas."&amp;CHAR(10),"")&amp;IF(T131&gt;0,"Mismo código con unidades distintas; pedimos aclaración."&amp;CHAR(10),"")&amp;IF(Q131&gt;0,"Hay más precisión que los decimales indicados; cotejamos el formato original."&amp;CHAR(10),"")&amp;IF(U131&gt;0,"Unidad sin normalizar; cotejamos su significado antes de sumar unidades."&amp;CHAR(10),"")&amp;IF(V131&gt;0,"Revisamos dimensiones, cantidades directas, ceros o deducciones en PEGAR."&amp;CHAR(10),"")))</f>
      </c>
      <c r="K131" s="0">
        <f>IF(119&gt;'RESUMEN'!$E$6,"",MATCH(119,'PEGAR'!$W$13:$W$512,0))</f>
      </c>
      <c r="L131" s="0">
        <f>IF(K131="","",INDEX('PEGAR'!$R$13:$R$512,K131))</f>
      </c>
      <c r="M131" s="0">
        <f>IF(B131="","",COUNTIFS('PEGAR'!$O$13:$O$512,B131,'PEGAR'!$P$13:$P$512,"DIMENSIONES")+COUNTIFS('PEGAR'!$O$13:$O$512,B131,'PEGAR'!$P$13:$P$512,"DIRECTA"))</f>
      </c>
      <c r="N131" s="0">
        <f>IF(B131="","",COUNTIFS('PEGAR'!$O$13:$O$512,B131,'PEGAR'!$X$13:$X$512,2))</f>
      </c>
      <c r="O131" s="0">
        <f>IF(B131="","",COUNTIFS('PEGAR'!$O$13:$O$512,B131,'PEGAR'!$P$13:$P$512,"SIN LÍNEAS"))</f>
      </c>
      <c r="P131" s="0">
        <f>IF(B131="","",SUMIFS('PEGAR'!$Y$13:$Y$512,'PEGAR'!$O$13:$O$512,B131))</f>
      </c>
      <c r="Q131" s="0">
        <f>IF(B131="","",SUMIFS('PEGAR'!$Z$13:$Z$512,'PEGAR'!$O$13:$O$512,B131))</f>
      </c>
      <c r="R131" s="0" t="n">
        <f>IF(OR(B131="",D131=""),0,SUMPRODUCT(--($B$13:$B$512&lt;&gt;""),--($D$13:$D$512=D131),--($C$13:$C$512=C131))-1)</f>
        <v>0</v>
      </c>
      <c r="S131" s="0" t="n">
        <f>IF(OR(B131="",D131=""),0,SUMPRODUCT(--($B$13:$B$512&lt;&gt;""),--($D$13:$D$512=D131),--($C$13:$C$512&lt;&gt;C131)))</f>
        <v>0</v>
      </c>
      <c r="T131" s="0" t="n">
        <f>IF(OR(B131="",D131=""),0,SUMPRODUCT(--($B$13:$B$512&lt;&gt;""),--($D$13:$D$512=D131),--($E$13:$E$512&lt;&gt;E131)))</f>
        <v>0</v>
      </c>
      <c r="U131" s="0" t="n">
        <f>IF(B131="",0,IF(SUMPRODUCT(--('LÉEME'!$C$65:$C$86=E131))=0,1,0))</f>
        <v>0</v>
      </c>
      <c r="V131" s="0">
        <f>IF(B131="","",SUMIFS('PEGAR'!$AA$13:$AA$512,'PEGAR'!$O$13:$O$512,B131))</f>
      </c>
      <c r="W131" s="0">
        <f>IF(B131="","",IF(OR(L131=0,N131&gt;0,T131&gt;0,IF(ISNUMBER(H131),ROUND(ABS(H131),8)&gt;$F$6,FALSE)),2,IF(OR(M131=0,O131&gt;0,P131&gt;0,Q131&gt;0,R131&gt;0,S131&gt;0,U131&gt;0,V131&gt;0),1,0)))</f>
      </c>
      <c r="X131" s="0">
        <f>IF(B131="","",IF(ISNUMBER(G131),1,0))</f>
      </c>
      <c r="AB131" s="0">
        <f>IF(AND(ISNUMBER(W131),W131&gt;0),"ID "&amp;B131,"")</f>
      </c>
      <c r="AC131" s="0">
        <f>IF(AND(ISNUMBER(W131),W131&gt;0),C131,"")</f>
      </c>
      <c r="AD131" s="0">
        <f>IF(AND(ISNUMBER(W131),W131&gt;0),D131,"")</f>
      </c>
      <c r="AE131" s="0">
        <f>IF(AND(ISNUMBER(W131),W131&gt;0),IF(INDEX('PEGAR'!$D$13:$D$512,IF(L131&gt;0,L131,K131))="","Sin descripción",INDEX('PEGAR'!$D$13:$D$512,IF(L131&gt;0,L131,K131))),"")</f>
      </c>
      <c r="AF131" s="0">
        <f>IF(AND(ISNUMBER(W131),W131&gt;0),J131,"")</f>
      </c>
      <c r="AG131" s="0" t="n">
        <f>IF(AND(ISNUMBER(W131),W131&gt;0),W131,0)</f>
        <v>0</v>
      </c>
      <c r="AH131" s="0">
        <f>IF(AG131&gt;0,COUNTIFS($AG$13:AG131,"&gt;0"),"")</f>
      </c>
    </row>
    <row r="132" ht="22" customHeight="1">
      <c r="B132" s="27">
        <f>IF(K132="","",INDEX('PEGAR'!$O$13:$O$512,K132))</f>
      </c>
      <c r="C132" s="30">
        <f>IF(B132="","",IF(LEN(TRIM(INDEX('PEGAR'!$B$13:$B$512,IF(L132&gt;0,L132,K132))&amp;""))=0,"Sin capítulo",TRIM(INDEX('PEGAR'!$B$13:$B$512,IF(L132&gt;0,L132,K132))&amp;"")))</f>
      </c>
      <c r="D132" s="27">
        <f>IF(B132="","",IF(LEN(TRIM(INDEX('PEGAR'!$C$13:$C$512,IF(L132&gt;0,L132,K132))&amp;""))=0,"",TRIM(INDEX('PEGAR'!$C$13:$C$512,IF(L132&gt;0,L132,K132))&amp;"")))</f>
      </c>
      <c r="E132" s="27">
        <f>IF(B132="","",INDEX('PEGAR'!$S$13:$S$512,IF(L132&gt;0,L132,K132)))</f>
      </c>
      <c r="F132" s="39">
        <f>IF(B132="","",IF(L132&gt;0,INDEX('PEGAR'!$F$13:$F$512,L132),""))</f>
      </c>
      <c r="G132" s="39">
        <f>IF(B132="","",IF(OR(M132=0,N132&gt;0,O132&gt;0),"",SUMIFS('PEGAR'!$M$13:$M$512,'PEGAR'!$O$13:$O$512,B132)))</f>
      </c>
      <c r="H132" s="39">
        <f>IF(AND(ISNUMBER(F132),ISNUMBER(G132)),G132-F132,"")</f>
      </c>
      <c r="I132" s="27">
        <f>IF(B132="","",IF(W132=2,"ROJO",IF(W132=1,"ÁMBAR","VERDE")))</f>
      </c>
      <c r="J132" s="30">
        <f>IF(B132="","",IF(W132=0,"Sin avisos numéricos. Revisamos el alcance aparte.",IF(L132=0,"Faltan datos completos de partida; no elegimos un total por suposición."&amp;CHAR(10),"")&amp;IF(N132&gt;0,"Hay filas incompletas o contradictorias; las revisamos en PEGAR."&amp;CHAR(10),"")&amp;IF(O132&gt;0,"Faltan las medidas de alguna fila; no cerramos la suma."&amp;CHAR(10),"")&amp;IF(M132=0,"No constan líneas de medición."&amp;CHAR(10),"")&amp;IF(IF(ISNUMBER(H132),ROUND(ABS(H132),8)&gt;$F$6,FALSE),"Las líneas difieren del total en más de 0,01; confirmamos cantidad o exclusión."&amp;CHAR(10),"")&amp;IF(P132&gt;0,"Parece m³: encontramos tres dimensiones bajo m²."&amp;CHAR(10),"")&amp;IF(R132&gt;0,"Código repetido dentro del capítulo; mantenemos sus ID separados."&amp;CHAR(10),"")&amp;IF(S132&gt;0,"Código repetido en otro capítulo; no unimos las partidas."&amp;CHAR(10),"")&amp;IF(T132&gt;0,"Mismo código con unidades distintas; pedimos aclaración."&amp;CHAR(10),"")&amp;IF(Q132&gt;0,"Hay más precisión que los decimales indicados; cotejamos el formato original."&amp;CHAR(10),"")&amp;IF(U132&gt;0,"Unidad sin normalizar; cotejamos su significado antes de sumar unidades."&amp;CHAR(10),"")&amp;IF(V132&gt;0,"Revisamos dimensiones, cantidades directas, ceros o deducciones en PEGAR."&amp;CHAR(10),"")))</f>
      </c>
      <c r="K132" s="0">
        <f>IF(120&gt;'RESUMEN'!$E$6,"",MATCH(120,'PEGAR'!$W$13:$W$512,0))</f>
      </c>
      <c r="L132" s="0">
        <f>IF(K132="","",INDEX('PEGAR'!$R$13:$R$512,K132))</f>
      </c>
      <c r="M132" s="0">
        <f>IF(B132="","",COUNTIFS('PEGAR'!$O$13:$O$512,B132,'PEGAR'!$P$13:$P$512,"DIMENSIONES")+COUNTIFS('PEGAR'!$O$13:$O$512,B132,'PEGAR'!$P$13:$P$512,"DIRECTA"))</f>
      </c>
      <c r="N132" s="0">
        <f>IF(B132="","",COUNTIFS('PEGAR'!$O$13:$O$512,B132,'PEGAR'!$X$13:$X$512,2))</f>
      </c>
      <c r="O132" s="0">
        <f>IF(B132="","",COUNTIFS('PEGAR'!$O$13:$O$512,B132,'PEGAR'!$P$13:$P$512,"SIN LÍNEAS"))</f>
      </c>
      <c r="P132" s="0">
        <f>IF(B132="","",SUMIFS('PEGAR'!$Y$13:$Y$512,'PEGAR'!$O$13:$O$512,B132))</f>
      </c>
      <c r="Q132" s="0">
        <f>IF(B132="","",SUMIFS('PEGAR'!$Z$13:$Z$512,'PEGAR'!$O$13:$O$512,B132))</f>
      </c>
      <c r="R132" s="0" t="n">
        <f>IF(OR(B132="",D132=""),0,SUMPRODUCT(--($B$13:$B$512&lt;&gt;""),--($D$13:$D$512=D132),--($C$13:$C$512=C132))-1)</f>
        <v>0</v>
      </c>
      <c r="S132" s="0" t="n">
        <f>IF(OR(B132="",D132=""),0,SUMPRODUCT(--($B$13:$B$512&lt;&gt;""),--($D$13:$D$512=D132),--($C$13:$C$512&lt;&gt;C132)))</f>
        <v>0</v>
      </c>
      <c r="T132" s="0" t="n">
        <f>IF(OR(B132="",D132=""),0,SUMPRODUCT(--($B$13:$B$512&lt;&gt;""),--($D$13:$D$512=D132),--($E$13:$E$512&lt;&gt;E132)))</f>
        <v>0</v>
      </c>
      <c r="U132" s="0" t="n">
        <f>IF(B132="",0,IF(SUMPRODUCT(--('LÉEME'!$C$65:$C$86=E132))=0,1,0))</f>
        <v>0</v>
      </c>
      <c r="V132" s="0">
        <f>IF(B132="","",SUMIFS('PEGAR'!$AA$13:$AA$512,'PEGAR'!$O$13:$O$512,B132))</f>
      </c>
      <c r="W132" s="0">
        <f>IF(B132="","",IF(OR(L132=0,N132&gt;0,T132&gt;0,IF(ISNUMBER(H132),ROUND(ABS(H132),8)&gt;$F$6,FALSE)),2,IF(OR(M132=0,O132&gt;0,P132&gt;0,Q132&gt;0,R132&gt;0,S132&gt;0,U132&gt;0,V132&gt;0),1,0)))</f>
      </c>
      <c r="X132" s="0">
        <f>IF(B132="","",IF(ISNUMBER(G132),1,0))</f>
      </c>
      <c r="AB132" s="0">
        <f>IF(AND(ISNUMBER(W132),W132&gt;0),"ID "&amp;B132,"")</f>
      </c>
      <c r="AC132" s="0">
        <f>IF(AND(ISNUMBER(W132),W132&gt;0),C132,"")</f>
      </c>
      <c r="AD132" s="0">
        <f>IF(AND(ISNUMBER(W132),W132&gt;0),D132,"")</f>
      </c>
      <c r="AE132" s="0">
        <f>IF(AND(ISNUMBER(W132),W132&gt;0),IF(INDEX('PEGAR'!$D$13:$D$512,IF(L132&gt;0,L132,K132))="","Sin descripción",INDEX('PEGAR'!$D$13:$D$512,IF(L132&gt;0,L132,K132))),"")</f>
      </c>
      <c r="AF132" s="0">
        <f>IF(AND(ISNUMBER(W132),W132&gt;0),J132,"")</f>
      </c>
      <c r="AG132" s="0" t="n">
        <f>IF(AND(ISNUMBER(W132),W132&gt;0),W132,0)</f>
        <v>0</v>
      </c>
      <c r="AH132" s="0">
        <f>IF(AG132&gt;0,COUNTIFS($AG$13:AG132,"&gt;0"),"")</f>
      </c>
    </row>
    <row r="133" ht="22" customHeight="1">
      <c r="B133" s="27">
        <f>IF(K133="","",INDEX('PEGAR'!$O$13:$O$512,K133))</f>
      </c>
      <c r="C133" s="30">
        <f>IF(B133="","",IF(LEN(TRIM(INDEX('PEGAR'!$B$13:$B$512,IF(L133&gt;0,L133,K133))&amp;""))=0,"Sin capítulo",TRIM(INDEX('PEGAR'!$B$13:$B$512,IF(L133&gt;0,L133,K133))&amp;"")))</f>
      </c>
      <c r="D133" s="27">
        <f>IF(B133="","",IF(LEN(TRIM(INDEX('PEGAR'!$C$13:$C$512,IF(L133&gt;0,L133,K133))&amp;""))=0,"",TRIM(INDEX('PEGAR'!$C$13:$C$512,IF(L133&gt;0,L133,K133))&amp;"")))</f>
      </c>
      <c r="E133" s="27">
        <f>IF(B133="","",INDEX('PEGAR'!$S$13:$S$512,IF(L133&gt;0,L133,K133)))</f>
      </c>
      <c r="F133" s="39">
        <f>IF(B133="","",IF(L133&gt;0,INDEX('PEGAR'!$F$13:$F$512,L133),""))</f>
      </c>
      <c r="G133" s="39">
        <f>IF(B133="","",IF(OR(M133=0,N133&gt;0,O133&gt;0),"",SUMIFS('PEGAR'!$M$13:$M$512,'PEGAR'!$O$13:$O$512,B133)))</f>
      </c>
      <c r="H133" s="39">
        <f>IF(AND(ISNUMBER(F133),ISNUMBER(G133)),G133-F133,"")</f>
      </c>
      <c r="I133" s="27">
        <f>IF(B133="","",IF(W133=2,"ROJO",IF(W133=1,"ÁMBAR","VERDE")))</f>
      </c>
      <c r="J133" s="30">
        <f>IF(B133="","",IF(W133=0,"Sin avisos numéricos. Revisamos el alcance aparte.",IF(L133=0,"Faltan datos completos de partida; no elegimos un total por suposición."&amp;CHAR(10),"")&amp;IF(N133&gt;0,"Hay filas incompletas o contradictorias; las revisamos en PEGAR."&amp;CHAR(10),"")&amp;IF(O133&gt;0,"Faltan las medidas de alguna fila; no cerramos la suma."&amp;CHAR(10),"")&amp;IF(M133=0,"No constan líneas de medición."&amp;CHAR(10),"")&amp;IF(IF(ISNUMBER(H133),ROUND(ABS(H133),8)&gt;$F$6,FALSE),"Las líneas difieren del total en más de 0,01; confirmamos cantidad o exclusión."&amp;CHAR(10),"")&amp;IF(P133&gt;0,"Parece m³: encontramos tres dimensiones bajo m²."&amp;CHAR(10),"")&amp;IF(R133&gt;0,"Código repetido dentro del capítulo; mantenemos sus ID separados."&amp;CHAR(10),"")&amp;IF(S133&gt;0,"Código repetido en otro capítulo; no unimos las partidas."&amp;CHAR(10),"")&amp;IF(T133&gt;0,"Mismo código con unidades distintas; pedimos aclaración."&amp;CHAR(10),"")&amp;IF(Q133&gt;0,"Hay más precisión que los decimales indicados; cotejamos el formato original."&amp;CHAR(10),"")&amp;IF(U133&gt;0,"Unidad sin normalizar; cotejamos su significado antes de sumar unidades."&amp;CHAR(10),"")&amp;IF(V133&gt;0,"Revisamos dimensiones, cantidades directas, ceros o deducciones en PEGAR."&amp;CHAR(10),"")))</f>
      </c>
      <c r="K133" s="0">
        <f>IF(121&gt;'RESUMEN'!$E$6,"",MATCH(121,'PEGAR'!$W$13:$W$512,0))</f>
      </c>
      <c r="L133" s="0">
        <f>IF(K133="","",INDEX('PEGAR'!$R$13:$R$512,K133))</f>
      </c>
      <c r="M133" s="0">
        <f>IF(B133="","",COUNTIFS('PEGAR'!$O$13:$O$512,B133,'PEGAR'!$P$13:$P$512,"DIMENSIONES")+COUNTIFS('PEGAR'!$O$13:$O$512,B133,'PEGAR'!$P$13:$P$512,"DIRECTA"))</f>
      </c>
      <c r="N133" s="0">
        <f>IF(B133="","",COUNTIFS('PEGAR'!$O$13:$O$512,B133,'PEGAR'!$X$13:$X$512,2))</f>
      </c>
      <c r="O133" s="0">
        <f>IF(B133="","",COUNTIFS('PEGAR'!$O$13:$O$512,B133,'PEGAR'!$P$13:$P$512,"SIN LÍNEAS"))</f>
      </c>
      <c r="P133" s="0">
        <f>IF(B133="","",SUMIFS('PEGAR'!$Y$13:$Y$512,'PEGAR'!$O$13:$O$512,B133))</f>
      </c>
      <c r="Q133" s="0">
        <f>IF(B133="","",SUMIFS('PEGAR'!$Z$13:$Z$512,'PEGAR'!$O$13:$O$512,B133))</f>
      </c>
      <c r="R133" s="0" t="n">
        <f>IF(OR(B133="",D133=""),0,SUMPRODUCT(--($B$13:$B$512&lt;&gt;""),--($D$13:$D$512=D133),--($C$13:$C$512=C133))-1)</f>
        <v>0</v>
      </c>
      <c r="S133" s="0" t="n">
        <f>IF(OR(B133="",D133=""),0,SUMPRODUCT(--($B$13:$B$512&lt;&gt;""),--($D$13:$D$512=D133),--($C$13:$C$512&lt;&gt;C133)))</f>
        <v>0</v>
      </c>
      <c r="T133" s="0" t="n">
        <f>IF(OR(B133="",D133=""),0,SUMPRODUCT(--($B$13:$B$512&lt;&gt;""),--($D$13:$D$512=D133),--($E$13:$E$512&lt;&gt;E133)))</f>
        <v>0</v>
      </c>
      <c r="U133" s="0" t="n">
        <f>IF(B133="",0,IF(SUMPRODUCT(--('LÉEME'!$C$65:$C$86=E133))=0,1,0))</f>
        <v>0</v>
      </c>
      <c r="V133" s="0">
        <f>IF(B133="","",SUMIFS('PEGAR'!$AA$13:$AA$512,'PEGAR'!$O$13:$O$512,B133))</f>
      </c>
      <c r="W133" s="0">
        <f>IF(B133="","",IF(OR(L133=0,N133&gt;0,T133&gt;0,IF(ISNUMBER(H133),ROUND(ABS(H133),8)&gt;$F$6,FALSE)),2,IF(OR(M133=0,O133&gt;0,P133&gt;0,Q133&gt;0,R133&gt;0,S133&gt;0,U133&gt;0,V133&gt;0),1,0)))</f>
      </c>
      <c r="X133" s="0">
        <f>IF(B133="","",IF(ISNUMBER(G133),1,0))</f>
      </c>
      <c r="AB133" s="0">
        <f>IF(AND(ISNUMBER(W133),W133&gt;0),"ID "&amp;B133,"")</f>
      </c>
      <c r="AC133" s="0">
        <f>IF(AND(ISNUMBER(W133),W133&gt;0),C133,"")</f>
      </c>
      <c r="AD133" s="0">
        <f>IF(AND(ISNUMBER(W133),W133&gt;0),D133,"")</f>
      </c>
      <c r="AE133" s="0">
        <f>IF(AND(ISNUMBER(W133),W133&gt;0),IF(INDEX('PEGAR'!$D$13:$D$512,IF(L133&gt;0,L133,K133))="","Sin descripción",INDEX('PEGAR'!$D$13:$D$512,IF(L133&gt;0,L133,K133))),"")</f>
      </c>
      <c r="AF133" s="0">
        <f>IF(AND(ISNUMBER(W133),W133&gt;0),J133,"")</f>
      </c>
      <c r="AG133" s="0" t="n">
        <f>IF(AND(ISNUMBER(W133),W133&gt;0),W133,0)</f>
        <v>0</v>
      </c>
      <c r="AH133" s="0">
        <f>IF(AG133&gt;0,COUNTIFS($AG$13:AG133,"&gt;0"),"")</f>
      </c>
    </row>
    <row r="134" ht="22" customHeight="1">
      <c r="B134" s="27">
        <f>IF(K134="","",INDEX('PEGAR'!$O$13:$O$512,K134))</f>
      </c>
      <c r="C134" s="30">
        <f>IF(B134="","",IF(LEN(TRIM(INDEX('PEGAR'!$B$13:$B$512,IF(L134&gt;0,L134,K134))&amp;""))=0,"Sin capítulo",TRIM(INDEX('PEGAR'!$B$13:$B$512,IF(L134&gt;0,L134,K134))&amp;"")))</f>
      </c>
      <c r="D134" s="27">
        <f>IF(B134="","",IF(LEN(TRIM(INDEX('PEGAR'!$C$13:$C$512,IF(L134&gt;0,L134,K134))&amp;""))=0,"",TRIM(INDEX('PEGAR'!$C$13:$C$512,IF(L134&gt;0,L134,K134))&amp;"")))</f>
      </c>
      <c r="E134" s="27">
        <f>IF(B134="","",INDEX('PEGAR'!$S$13:$S$512,IF(L134&gt;0,L134,K134)))</f>
      </c>
      <c r="F134" s="39">
        <f>IF(B134="","",IF(L134&gt;0,INDEX('PEGAR'!$F$13:$F$512,L134),""))</f>
      </c>
      <c r="G134" s="39">
        <f>IF(B134="","",IF(OR(M134=0,N134&gt;0,O134&gt;0),"",SUMIFS('PEGAR'!$M$13:$M$512,'PEGAR'!$O$13:$O$512,B134)))</f>
      </c>
      <c r="H134" s="39">
        <f>IF(AND(ISNUMBER(F134),ISNUMBER(G134)),G134-F134,"")</f>
      </c>
      <c r="I134" s="27">
        <f>IF(B134="","",IF(W134=2,"ROJO",IF(W134=1,"ÁMBAR","VERDE")))</f>
      </c>
      <c r="J134" s="30">
        <f>IF(B134="","",IF(W134=0,"Sin avisos numéricos. Revisamos el alcance aparte.",IF(L134=0,"Faltan datos completos de partida; no elegimos un total por suposición."&amp;CHAR(10),"")&amp;IF(N134&gt;0,"Hay filas incompletas o contradictorias; las revisamos en PEGAR."&amp;CHAR(10),"")&amp;IF(O134&gt;0,"Faltan las medidas de alguna fila; no cerramos la suma."&amp;CHAR(10),"")&amp;IF(M134=0,"No constan líneas de medición."&amp;CHAR(10),"")&amp;IF(IF(ISNUMBER(H134),ROUND(ABS(H134),8)&gt;$F$6,FALSE),"Las líneas difieren del total en más de 0,01; confirmamos cantidad o exclusión."&amp;CHAR(10),"")&amp;IF(P134&gt;0,"Parece m³: encontramos tres dimensiones bajo m²."&amp;CHAR(10),"")&amp;IF(R134&gt;0,"Código repetido dentro del capítulo; mantenemos sus ID separados."&amp;CHAR(10),"")&amp;IF(S134&gt;0,"Código repetido en otro capítulo; no unimos las partidas."&amp;CHAR(10),"")&amp;IF(T134&gt;0,"Mismo código con unidades distintas; pedimos aclaración."&amp;CHAR(10),"")&amp;IF(Q134&gt;0,"Hay más precisión que los decimales indicados; cotejamos el formato original."&amp;CHAR(10),"")&amp;IF(U134&gt;0,"Unidad sin normalizar; cotejamos su significado antes de sumar unidades."&amp;CHAR(10),"")&amp;IF(V134&gt;0,"Revisamos dimensiones, cantidades directas, ceros o deducciones en PEGAR."&amp;CHAR(10),"")))</f>
      </c>
      <c r="K134" s="0">
        <f>IF(122&gt;'RESUMEN'!$E$6,"",MATCH(122,'PEGAR'!$W$13:$W$512,0))</f>
      </c>
      <c r="L134" s="0">
        <f>IF(K134="","",INDEX('PEGAR'!$R$13:$R$512,K134))</f>
      </c>
      <c r="M134" s="0">
        <f>IF(B134="","",COUNTIFS('PEGAR'!$O$13:$O$512,B134,'PEGAR'!$P$13:$P$512,"DIMENSIONES")+COUNTIFS('PEGAR'!$O$13:$O$512,B134,'PEGAR'!$P$13:$P$512,"DIRECTA"))</f>
      </c>
      <c r="N134" s="0">
        <f>IF(B134="","",COUNTIFS('PEGAR'!$O$13:$O$512,B134,'PEGAR'!$X$13:$X$512,2))</f>
      </c>
      <c r="O134" s="0">
        <f>IF(B134="","",COUNTIFS('PEGAR'!$O$13:$O$512,B134,'PEGAR'!$P$13:$P$512,"SIN LÍNEAS"))</f>
      </c>
      <c r="P134" s="0">
        <f>IF(B134="","",SUMIFS('PEGAR'!$Y$13:$Y$512,'PEGAR'!$O$13:$O$512,B134))</f>
      </c>
      <c r="Q134" s="0">
        <f>IF(B134="","",SUMIFS('PEGAR'!$Z$13:$Z$512,'PEGAR'!$O$13:$O$512,B134))</f>
      </c>
      <c r="R134" s="0" t="n">
        <f>IF(OR(B134="",D134=""),0,SUMPRODUCT(--($B$13:$B$512&lt;&gt;""),--($D$13:$D$512=D134),--($C$13:$C$512=C134))-1)</f>
        <v>0</v>
      </c>
      <c r="S134" s="0" t="n">
        <f>IF(OR(B134="",D134=""),0,SUMPRODUCT(--($B$13:$B$512&lt;&gt;""),--($D$13:$D$512=D134),--($C$13:$C$512&lt;&gt;C134)))</f>
        <v>0</v>
      </c>
      <c r="T134" s="0" t="n">
        <f>IF(OR(B134="",D134=""),0,SUMPRODUCT(--($B$13:$B$512&lt;&gt;""),--($D$13:$D$512=D134),--($E$13:$E$512&lt;&gt;E134)))</f>
        <v>0</v>
      </c>
      <c r="U134" s="0" t="n">
        <f>IF(B134="",0,IF(SUMPRODUCT(--('LÉEME'!$C$65:$C$86=E134))=0,1,0))</f>
        <v>0</v>
      </c>
      <c r="V134" s="0">
        <f>IF(B134="","",SUMIFS('PEGAR'!$AA$13:$AA$512,'PEGAR'!$O$13:$O$512,B134))</f>
      </c>
      <c r="W134" s="0">
        <f>IF(B134="","",IF(OR(L134=0,N134&gt;0,T134&gt;0,IF(ISNUMBER(H134),ROUND(ABS(H134),8)&gt;$F$6,FALSE)),2,IF(OR(M134=0,O134&gt;0,P134&gt;0,Q134&gt;0,R134&gt;0,S134&gt;0,U134&gt;0,V134&gt;0),1,0)))</f>
      </c>
      <c r="X134" s="0">
        <f>IF(B134="","",IF(ISNUMBER(G134),1,0))</f>
      </c>
      <c r="AB134" s="0">
        <f>IF(AND(ISNUMBER(W134),W134&gt;0),"ID "&amp;B134,"")</f>
      </c>
      <c r="AC134" s="0">
        <f>IF(AND(ISNUMBER(W134),W134&gt;0),C134,"")</f>
      </c>
      <c r="AD134" s="0">
        <f>IF(AND(ISNUMBER(W134),W134&gt;0),D134,"")</f>
      </c>
      <c r="AE134" s="0">
        <f>IF(AND(ISNUMBER(W134),W134&gt;0),IF(INDEX('PEGAR'!$D$13:$D$512,IF(L134&gt;0,L134,K134))="","Sin descripción",INDEX('PEGAR'!$D$13:$D$512,IF(L134&gt;0,L134,K134))),"")</f>
      </c>
      <c r="AF134" s="0">
        <f>IF(AND(ISNUMBER(W134),W134&gt;0),J134,"")</f>
      </c>
      <c r="AG134" s="0" t="n">
        <f>IF(AND(ISNUMBER(W134),W134&gt;0),W134,0)</f>
        <v>0</v>
      </c>
      <c r="AH134" s="0">
        <f>IF(AG134&gt;0,COUNTIFS($AG$13:AG134,"&gt;0"),"")</f>
      </c>
    </row>
    <row r="135" ht="22" customHeight="1">
      <c r="B135" s="27">
        <f>IF(K135="","",INDEX('PEGAR'!$O$13:$O$512,K135))</f>
      </c>
      <c r="C135" s="30">
        <f>IF(B135="","",IF(LEN(TRIM(INDEX('PEGAR'!$B$13:$B$512,IF(L135&gt;0,L135,K135))&amp;""))=0,"Sin capítulo",TRIM(INDEX('PEGAR'!$B$13:$B$512,IF(L135&gt;0,L135,K135))&amp;"")))</f>
      </c>
      <c r="D135" s="27">
        <f>IF(B135="","",IF(LEN(TRIM(INDEX('PEGAR'!$C$13:$C$512,IF(L135&gt;0,L135,K135))&amp;""))=0,"",TRIM(INDEX('PEGAR'!$C$13:$C$512,IF(L135&gt;0,L135,K135))&amp;"")))</f>
      </c>
      <c r="E135" s="27">
        <f>IF(B135="","",INDEX('PEGAR'!$S$13:$S$512,IF(L135&gt;0,L135,K135)))</f>
      </c>
      <c r="F135" s="39">
        <f>IF(B135="","",IF(L135&gt;0,INDEX('PEGAR'!$F$13:$F$512,L135),""))</f>
      </c>
      <c r="G135" s="39">
        <f>IF(B135="","",IF(OR(M135=0,N135&gt;0,O135&gt;0),"",SUMIFS('PEGAR'!$M$13:$M$512,'PEGAR'!$O$13:$O$512,B135)))</f>
      </c>
      <c r="H135" s="39">
        <f>IF(AND(ISNUMBER(F135),ISNUMBER(G135)),G135-F135,"")</f>
      </c>
      <c r="I135" s="27">
        <f>IF(B135="","",IF(W135=2,"ROJO",IF(W135=1,"ÁMBAR","VERDE")))</f>
      </c>
      <c r="J135" s="30">
        <f>IF(B135="","",IF(W135=0,"Sin avisos numéricos. Revisamos el alcance aparte.",IF(L135=0,"Faltan datos completos de partida; no elegimos un total por suposición."&amp;CHAR(10),"")&amp;IF(N135&gt;0,"Hay filas incompletas o contradictorias; las revisamos en PEGAR."&amp;CHAR(10),"")&amp;IF(O135&gt;0,"Faltan las medidas de alguna fila; no cerramos la suma."&amp;CHAR(10),"")&amp;IF(M135=0,"No constan líneas de medición."&amp;CHAR(10),"")&amp;IF(IF(ISNUMBER(H135),ROUND(ABS(H135),8)&gt;$F$6,FALSE),"Las líneas difieren del total en más de 0,01; confirmamos cantidad o exclusión."&amp;CHAR(10),"")&amp;IF(P135&gt;0,"Parece m³: encontramos tres dimensiones bajo m²."&amp;CHAR(10),"")&amp;IF(R135&gt;0,"Código repetido dentro del capítulo; mantenemos sus ID separados."&amp;CHAR(10),"")&amp;IF(S135&gt;0,"Código repetido en otro capítulo; no unimos las partidas."&amp;CHAR(10),"")&amp;IF(T135&gt;0,"Mismo código con unidades distintas; pedimos aclaración."&amp;CHAR(10),"")&amp;IF(Q135&gt;0,"Hay más precisión que los decimales indicados; cotejamos el formato original."&amp;CHAR(10),"")&amp;IF(U135&gt;0,"Unidad sin normalizar; cotejamos su significado antes de sumar unidades."&amp;CHAR(10),"")&amp;IF(V135&gt;0,"Revisamos dimensiones, cantidades directas, ceros o deducciones en PEGAR."&amp;CHAR(10),"")))</f>
      </c>
      <c r="K135" s="0">
        <f>IF(123&gt;'RESUMEN'!$E$6,"",MATCH(123,'PEGAR'!$W$13:$W$512,0))</f>
      </c>
      <c r="L135" s="0">
        <f>IF(K135="","",INDEX('PEGAR'!$R$13:$R$512,K135))</f>
      </c>
      <c r="M135" s="0">
        <f>IF(B135="","",COUNTIFS('PEGAR'!$O$13:$O$512,B135,'PEGAR'!$P$13:$P$512,"DIMENSIONES")+COUNTIFS('PEGAR'!$O$13:$O$512,B135,'PEGAR'!$P$13:$P$512,"DIRECTA"))</f>
      </c>
      <c r="N135" s="0">
        <f>IF(B135="","",COUNTIFS('PEGAR'!$O$13:$O$512,B135,'PEGAR'!$X$13:$X$512,2))</f>
      </c>
      <c r="O135" s="0">
        <f>IF(B135="","",COUNTIFS('PEGAR'!$O$13:$O$512,B135,'PEGAR'!$P$13:$P$512,"SIN LÍNEAS"))</f>
      </c>
      <c r="P135" s="0">
        <f>IF(B135="","",SUMIFS('PEGAR'!$Y$13:$Y$512,'PEGAR'!$O$13:$O$512,B135))</f>
      </c>
      <c r="Q135" s="0">
        <f>IF(B135="","",SUMIFS('PEGAR'!$Z$13:$Z$512,'PEGAR'!$O$13:$O$512,B135))</f>
      </c>
      <c r="R135" s="0" t="n">
        <f>IF(OR(B135="",D135=""),0,SUMPRODUCT(--($B$13:$B$512&lt;&gt;""),--($D$13:$D$512=D135),--($C$13:$C$512=C135))-1)</f>
        <v>0</v>
      </c>
      <c r="S135" s="0" t="n">
        <f>IF(OR(B135="",D135=""),0,SUMPRODUCT(--($B$13:$B$512&lt;&gt;""),--($D$13:$D$512=D135),--($C$13:$C$512&lt;&gt;C135)))</f>
        <v>0</v>
      </c>
      <c r="T135" s="0" t="n">
        <f>IF(OR(B135="",D135=""),0,SUMPRODUCT(--($B$13:$B$512&lt;&gt;""),--($D$13:$D$512=D135),--($E$13:$E$512&lt;&gt;E135)))</f>
        <v>0</v>
      </c>
      <c r="U135" s="0" t="n">
        <f>IF(B135="",0,IF(SUMPRODUCT(--('LÉEME'!$C$65:$C$86=E135))=0,1,0))</f>
        <v>0</v>
      </c>
      <c r="V135" s="0">
        <f>IF(B135="","",SUMIFS('PEGAR'!$AA$13:$AA$512,'PEGAR'!$O$13:$O$512,B135))</f>
      </c>
      <c r="W135" s="0">
        <f>IF(B135="","",IF(OR(L135=0,N135&gt;0,T135&gt;0,IF(ISNUMBER(H135),ROUND(ABS(H135),8)&gt;$F$6,FALSE)),2,IF(OR(M135=0,O135&gt;0,P135&gt;0,Q135&gt;0,R135&gt;0,S135&gt;0,U135&gt;0,V135&gt;0),1,0)))</f>
      </c>
      <c r="X135" s="0">
        <f>IF(B135="","",IF(ISNUMBER(G135),1,0))</f>
      </c>
      <c r="AB135" s="0">
        <f>IF(AND(ISNUMBER(W135),W135&gt;0),"ID "&amp;B135,"")</f>
      </c>
      <c r="AC135" s="0">
        <f>IF(AND(ISNUMBER(W135),W135&gt;0),C135,"")</f>
      </c>
      <c r="AD135" s="0">
        <f>IF(AND(ISNUMBER(W135),W135&gt;0),D135,"")</f>
      </c>
      <c r="AE135" s="0">
        <f>IF(AND(ISNUMBER(W135),W135&gt;0),IF(INDEX('PEGAR'!$D$13:$D$512,IF(L135&gt;0,L135,K135))="","Sin descripción",INDEX('PEGAR'!$D$13:$D$512,IF(L135&gt;0,L135,K135))),"")</f>
      </c>
      <c r="AF135" s="0">
        <f>IF(AND(ISNUMBER(W135),W135&gt;0),J135,"")</f>
      </c>
      <c r="AG135" s="0" t="n">
        <f>IF(AND(ISNUMBER(W135),W135&gt;0),W135,0)</f>
        <v>0</v>
      </c>
      <c r="AH135" s="0">
        <f>IF(AG135&gt;0,COUNTIFS($AG$13:AG135,"&gt;0"),"")</f>
      </c>
    </row>
    <row r="136" ht="22" customHeight="1">
      <c r="B136" s="27">
        <f>IF(K136="","",INDEX('PEGAR'!$O$13:$O$512,K136))</f>
      </c>
      <c r="C136" s="30">
        <f>IF(B136="","",IF(LEN(TRIM(INDEX('PEGAR'!$B$13:$B$512,IF(L136&gt;0,L136,K136))&amp;""))=0,"Sin capítulo",TRIM(INDEX('PEGAR'!$B$13:$B$512,IF(L136&gt;0,L136,K136))&amp;"")))</f>
      </c>
      <c r="D136" s="27">
        <f>IF(B136="","",IF(LEN(TRIM(INDEX('PEGAR'!$C$13:$C$512,IF(L136&gt;0,L136,K136))&amp;""))=0,"",TRIM(INDEX('PEGAR'!$C$13:$C$512,IF(L136&gt;0,L136,K136))&amp;"")))</f>
      </c>
      <c r="E136" s="27">
        <f>IF(B136="","",INDEX('PEGAR'!$S$13:$S$512,IF(L136&gt;0,L136,K136)))</f>
      </c>
      <c r="F136" s="39">
        <f>IF(B136="","",IF(L136&gt;0,INDEX('PEGAR'!$F$13:$F$512,L136),""))</f>
      </c>
      <c r="G136" s="39">
        <f>IF(B136="","",IF(OR(M136=0,N136&gt;0,O136&gt;0),"",SUMIFS('PEGAR'!$M$13:$M$512,'PEGAR'!$O$13:$O$512,B136)))</f>
      </c>
      <c r="H136" s="39">
        <f>IF(AND(ISNUMBER(F136),ISNUMBER(G136)),G136-F136,"")</f>
      </c>
      <c r="I136" s="27">
        <f>IF(B136="","",IF(W136=2,"ROJO",IF(W136=1,"ÁMBAR","VERDE")))</f>
      </c>
      <c r="J136" s="30">
        <f>IF(B136="","",IF(W136=0,"Sin avisos numéricos. Revisamos el alcance aparte.",IF(L136=0,"Faltan datos completos de partida; no elegimos un total por suposición."&amp;CHAR(10),"")&amp;IF(N136&gt;0,"Hay filas incompletas o contradictorias; las revisamos en PEGAR."&amp;CHAR(10),"")&amp;IF(O136&gt;0,"Faltan las medidas de alguna fila; no cerramos la suma."&amp;CHAR(10),"")&amp;IF(M136=0,"No constan líneas de medición."&amp;CHAR(10),"")&amp;IF(IF(ISNUMBER(H136),ROUND(ABS(H136),8)&gt;$F$6,FALSE),"Las líneas difieren del total en más de 0,01; confirmamos cantidad o exclusión."&amp;CHAR(10),"")&amp;IF(P136&gt;0,"Parece m³: encontramos tres dimensiones bajo m²."&amp;CHAR(10),"")&amp;IF(R136&gt;0,"Código repetido dentro del capítulo; mantenemos sus ID separados."&amp;CHAR(10),"")&amp;IF(S136&gt;0,"Código repetido en otro capítulo; no unimos las partidas."&amp;CHAR(10),"")&amp;IF(T136&gt;0,"Mismo código con unidades distintas; pedimos aclaración."&amp;CHAR(10),"")&amp;IF(Q136&gt;0,"Hay más precisión que los decimales indicados; cotejamos el formato original."&amp;CHAR(10),"")&amp;IF(U136&gt;0,"Unidad sin normalizar; cotejamos su significado antes de sumar unidades."&amp;CHAR(10),"")&amp;IF(V136&gt;0,"Revisamos dimensiones, cantidades directas, ceros o deducciones en PEGAR."&amp;CHAR(10),"")))</f>
      </c>
      <c r="K136" s="0">
        <f>IF(124&gt;'RESUMEN'!$E$6,"",MATCH(124,'PEGAR'!$W$13:$W$512,0))</f>
      </c>
      <c r="L136" s="0">
        <f>IF(K136="","",INDEX('PEGAR'!$R$13:$R$512,K136))</f>
      </c>
      <c r="M136" s="0">
        <f>IF(B136="","",COUNTIFS('PEGAR'!$O$13:$O$512,B136,'PEGAR'!$P$13:$P$512,"DIMENSIONES")+COUNTIFS('PEGAR'!$O$13:$O$512,B136,'PEGAR'!$P$13:$P$512,"DIRECTA"))</f>
      </c>
      <c r="N136" s="0">
        <f>IF(B136="","",COUNTIFS('PEGAR'!$O$13:$O$512,B136,'PEGAR'!$X$13:$X$512,2))</f>
      </c>
      <c r="O136" s="0">
        <f>IF(B136="","",COUNTIFS('PEGAR'!$O$13:$O$512,B136,'PEGAR'!$P$13:$P$512,"SIN LÍNEAS"))</f>
      </c>
      <c r="P136" s="0">
        <f>IF(B136="","",SUMIFS('PEGAR'!$Y$13:$Y$512,'PEGAR'!$O$13:$O$512,B136))</f>
      </c>
      <c r="Q136" s="0">
        <f>IF(B136="","",SUMIFS('PEGAR'!$Z$13:$Z$512,'PEGAR'!$O$13:$O$512,B136))</f>
      </c>
      <c r="R136" s="0" t="n">
        <f>IF(OR(B136="",D136=""),0,SUMPRODUCT(--($B$13:$B$512&lt;&gt;""),--($D$13:$D$512=D136),--($C$13:$C$512=C136))-1)</f>
        <v>0</v>
      </c>
      <c r="S136" s="0" t="n">
        <f>IF(OR(B136="",D136=""),0,SUMPRODUCT(--($B$13:$B$512&lt;&gt;""),--($D$13:$D$512=D136),--($C$13:$C$512&lt;&gt;C136)))</f>
        <v>0</v>
      </c>
      <c r="T136" s="0" t="n">
        <f>IF(OR(B136="",D136=""),0,SUMPRODUCT(--($B$13:$B$512&lt;&gt;""),--($D$13:$D$512=D136),--($E$13:$E$512&lt;&gt;E136)))</f>
        <v>0</v>
      </c>
      <c r="U136" s="0" t="n">
        <f>IF(B136="",0,IF(SUMPRODUCT(--('LÉEME'!$C$65:$C$86=E136))=0,1,0))</f>
        <v>0</v>
      </c>
      <c r="V136" s="0">
        <f>IF(B136="","",SUMIFS('PEGAR'!$AA$13:$AA$512,'PEGAR'!$O$13:$O$512,B136))</f>
      </c>
      <c r="W136" s="0">
        <f>IF(B136="","",IF(OR(L136=0,N136&gt;0,T136&gt;0,IF(ISNUMBER(H136),ROUND(ABS(H136),8)&gt;$F$6,FALSE)),2,IF(OR(M136=0,O136&gt;0,P136&gt;0,Q136&gt;0,R136&gt;0,S136&gt;0,U136&gt;0,V136&gt;0),1,0)))</f>
      </c>
      <c r="X136" s="0">
        <f>IF(B136="","",IF(ISNUMBER(G136),1,0))</f>
      </c>
      <c r="AB136" s="0">
        <f>IF(AND(ISNUMBER(W136),W136&gt;0),"ID "&amp;B136,"")</f>
      </c>
      <c r="AC136" s="0">
        <f>IF(AND(ISNUMBER(W136),W136&gt;0),C136,"")</f>
      </c>
      <c r="AD136" s="0">
        <f>IF(AND(ISNUMBER(W136),W136&gt;0),D136,"")</f>
      </c>
      <c r="AE136" s="0">
        <f>IF(AND(ISNUMBER(W136),W136&gt;0),IF(INDEX('PEGAR'!$D$13:$D$512,IF(L136&gt;0,L136,K136))="","Sin descripción",INDEX('PEGAR'!$D$13:$D$512,IF(L136&gt;0,L136,K136))),"")</f>
      </c>
      <c r="AF136" s="0">
        <f>IF(AND(ISNUMBER(W136),W136&gt;0),J136,"")</f>
      </c>
      <c r="AG136" s="0" t="n">
        <f>IF(AND(ISNUMBER(W136),W136&gt;0),W136,0)</f>
        <v>0</v>
      </c>
      <c r="AH136" s="0">
        <f>IF(AG136&gt;0,COUNTIFS($AG$13:AG136,"&gt;0"),"")</f>
      </c>
    </row>
    <row r="137" ht="22" customHeight="1">
      <c r="B137" s="27">
        <f>IF(K137="","",INDEX('PEGAR'!$O$13:$O$512,K137))</f>
      </c>
      <c r="C137" s="30">
        <f>IF(B137="","",IF(LEN(TRIM(INDEX('PEGAR'!$B$13:$B$512,IF(L137&gt;0,L137,K137))&amp;""))=0,"Sin capítulo",TRIM(INDEX('PEGAR'!$B$13:$B$512,IF(L137&gt;0,L137,K137))&amp;"")))</f>
      </c>
      <c r="D137" s="27">
        <f>IF(B137="","",IF(LEN(TRIM(INDEX('PEGAR'!$C$13:$C$512,IF(L137&gt;0,L137,K137))&amp;""))=0,"",TRIM(INDEX('PEGAR'!$C$13:$C$512,IF(L137&gt;0,L137,K137))&amp;"")))</f>
      </c>
      <c r="E137" s="27">
        <f>IF(B137="","",INDEX('PEGAR'!$S$13:$S$512,IF(L137&gt;0,L137,K137)))</f>
      </c>
      <c r="F137" s="39">
        <f>IF(B137="","",IF(L137&gt;0,INDEX('PEGAR'!$F$13:$F$512,L137),""))</f>
      </c>
      <c r="G137" s="39">
        <f>IF(B137="","",IF(OR(M137=0,N137&gt;0,O137&gt;0),"",SUMIFS('PEGAR'!$M$13:$M$512,'PEGAR'!$O$13:$O$512,B137)))</f>
      </c>
      <c r="H137" s="39">
        <f>IF(AND(ISNUMBER(F137),ISNUMBER(G137)),G137-F137,"")</f>
      </c>
      <c r="I137" s="27">
        <f>IF(B137="","",IF(W137=2,"ROJO",IF(W137=1,"ÁMBAR","VERDE")))</f>
      </c>
      <c r="J137" s="30">
        <f>IF(B137="","",IF(W137=0,"Sin avisos numéricos. Revisamos el alcance aparte.",IF(L137=0,"Faltan datos completos de partida; no elegimos un total por suposición."&amp;CHAR(10),"")&amp;IF(N137&gt;0,"Hay filas incompletas o contradictorias; las revisamos en PEGAR."&amp;CHAR(10),"")&amp;IF(O137&gt;0,"Faltan las medidas de alguna fila; no cerramos la suma."&amp;CHAR(10),"")&amp;IF(M137=0,"No constan líneas de medición."&amp;CHAR(10),"")&amp;IF(IF(ISNUMBER(H137),ROUND(ABS(H137),8)&gt;$F$6,FALSE),"Las líneas difieren del total en más de 0,01; confirmamos cantidad o exclusión."&amp;CHAR(10),"")&amp;IF(P137&gt;0,"Parece m³: encontramos tres dimensiones bajo m²."&amp;CHAR(10),"")&amp;IF(R137&gt;0,"Código repetido dentro del capítulo; mantenemos sus ID separados."&amp;CHAR(10),"")&amp;IF(S137&gt;0,"Código repetido en otro capítulo; no unimos las partidas."&amp;CHAR(10),"")&amp;IF(T137&gt;0,"Mismo código con unidades distintas; pedimos aclaración."&amp;CHAR(10),"")&amp;IF(Q137&gt;0,"Hay más precisión que los decimales indicados; cotejamos el formato original."&amp;CHAR(10),"")&amp;IF(U137&gt;0,"Unidad sin normalizar; cotejamos su significado antes de sumar unidades."&amp;CHAR(10),"")&amp;IF(V137&gt;0,"Revisamos dimensiones, cantidades directas, ceros o deducciones en PEGAR."&amp;CHAR(10),"")))</f>
      </c>
      <c r="K137" s="0">
        <f>IF(125&gt;'RESUMEN'!$E$6,"",MATCH(125,'PEGAR'!$W$13:$W$512,0))</f>
      </c>
      <c r="L137" s="0">
        <f>IF(K137="","",INDEX('PEGAR'!$R$13:$R$512,K137))</f>
      </c>
      <c r="M137" s="0">
        <f>IF(B137="","",COUNTIFS('PEGAR'!$O$13:$O$512,B137,'PEGAR'!$P$13:$P$512,"DIMENSIONES")+COUNTIFS('PEGAR'!$O$13:$O$512,B137,'PEGAR'!$P$13:$P$512,"DIRECTA"))</f>
      </c>
      <c r="N137" s="0">
        <f>IF(B137="","",COUNTIFS('PEGAR'!$O$13:$O$512,B137,'PEGAR'!$X$13:$X$512,2))</f>
      </c>
      <c r="O137" s="0">
        <f>IF(B137="","",COUNTIFS('PEGAR'!$O$13:$O$512,B137,'PEGAR'!$P$13:$P$512,"SIN LÍNEAS"))</f>
      </c>
      <c r="P137" s="0">
        <f>IF(B137="","",SUMIFS('PEGAR'!$Y$13:$Y$512,'PEGAR'!$O$13:$O$512,B137))</f>
      </c>
      <c r="Q137" s="0">
        <f>IF(B137="","",SUMIFS('PEGAR'!$Z$13:$Z$512,'PEGAR'!$O$13:$O$512,B137))</f>
      </c>
      <c r="R137" s="0" t="n">
        <f>IF(OR(B137="",D137=""),0,SUMPRODUCT(--($B$13:$B$512&lt;&gt;""),--($D$13:$D$512=D137),--($C$13:$C$512=C137))-1)</f>
        <v>0</v>
      </c>
      <c r="S137" s="0" t="n">
        <f>IF(OR(B137="",D137=""),0,SUMPRODUCT(--($B$13:$B$512&lt;&gt;""),--($D$13:$D$512=D137),--($C$13:$C$512&lt;&gt;C137)))</f>
        <v>0</v>
      </c>
      <c r="T137" s="0" t="n">
        <f>IF(OR(B137="",D137=""),0,SUMPRODUCT(--($B$13:$B$512&lt;&gt;""),--($D$13:$D$512=D137),--($E$13:$E$512&lt;&gt;E137)))</f>
        <v>0</v>
      </c>
      <c r="U137" s="0" t="n">
        <f>IF(B137="",0,IF(SUMPRODUCT(--('LÉEME'!$C$65:$C$86=E137))=0,1,0))</f>
        <v>0</v>
      </c>
      <c r="V137" s="0">
        <f>IF(B137="","",SUMIFS('PEGAR'!$AA$13:$AA$512,'PEGAR'!$O$13:$O$512,B137))</f>
      </c>
      <c r="W137" s="0">
        <f>IF(B137="","",IF(OR(L137=0,N137&gt;0,T137&gt;0,IF(ISNUMBER(H137),ROUND(ABS(H137),8)&gt;$F$6,FALSE)),2,IF(OR(M137=0,O137&gt;0,P137&gt;0,Q137&gt;0,R137&gt;0,S137&gt;0,U137&gt;0,V137&gt;0),1,0)))</f>
      </c>
      <c r="X137" s="0">
        <f>IF(B137="","",IF(ISNUMBER(G137),1,0))</f>
      </c>
      <c r="AB137" s="0">
        <f>IF(AND(ISNUMBER(W137),W137&gt;0),"ID "&amp;B137,"")</f>
      </c>
      <c r="AC137" s="0">
        <f>IF(AND(ISNUMBER(W137),W137&gt;0),C137,"")</f>
      </c>
      <c r="AD137" s="0">
        <f>IF(AND(ISNUMBER(W137),W137&gt;0),D137,"")</f>
      </c>
      <c r="AE137" s="0">
        <f>IF(AND(ISNUMBER(W137),W137&gt;0),IF(INDEX('PEGAR'!$D$13:$D$512,IF(L137&gt;0,L137,K137))="","Sin descripción",INDEX('PEGAR'!$D$13:$D$512,IF(L137&gt;0,L137,K137))),"")</f>
      </c>
      <c r="AF137" s="0">
        <f>IF(AND(ISNUMBER(W137),W137&gt;0),J137,"")</f>
      </c>
      <c r="AG137" s="0" t="n">
        <f>IF(AND(ISNUMBER(W137),W137&gt;0),W137,0)</f>
        <v>0</v>
      </c>
      <c r="AH137" s="0">
        <f>IF(AG137&gt;0,COUNTIFS($AG$13:AG137,"&gt;0"),"")</f>
      </c>
    </row>
    <row r="138" ht="22" customHeight="1">
      <c r="B138" s="27">
        <f>IF(K138="","",INDEX('PEGAR'!$O$13:$O$512,K138))</f>
      </c>
      <c r="C138" s="30">
        <f>IF(B138="","",IF(LEN(TRIM(INDEX('PEGAR'!$B$13:$B$512,IF(L138&gt;0,L138,K138))&amp;""))=0,"Sin capítulo",TRIM(INDEX('PEGAR'!$B$13:$B$512,IF(L138&gt;0,L138,K138))&amp;"")))</f>
      </c>
      <c r="D138" s="27">
        <f>IF(B138="","",IF(LEN(TRIM(INDEX('PEGAR'!$C$13:$C$512,IF(L138&gt;0,L138,K138))&amp;""))=0,"",TRIM(INDEX('PEGAR'!$C$13:$C$512,IF(L138&gt;0,L138,K138))&amp;"")))</f>
      </c>
      <c r="E138" s="27">
        <f>IF(B138="","",INDEX('PEGAR'!$S$13:$S$512,IF(L138&gt;0,L138,K138)))</f>
      </c>
      <c r="F138" s="39">
        <f>IF(B138="","",IF(L138&gt;0,INDEX('PEGAR'!$F$13:$F$512,L138),""))</f>
      </c>
      <c r="G138" s="39">
        <f>IF(B138="","",IF(OR(M138=0,N138&gt;0,O138&gt;0),"",SUMIFS('PEGAR'!$M$13:$M$512,'PEGAR'!$O$13:$O$512,B138)))</f>
      </c>
      <c r="H138" s="39">
        <f>IF(AND(ISNUMBER(F138),ISNUMBER(G138)),G138-F138,"")</f>
      </c>
      <c r="I138" s="27">
        <f>IF(B138="","",IF(W138=2,"ROJO",IF(W138=1,"ÁMBAR","VERDE")))</f>
      </c>
      <c r="J138" s="30">
        <f>IF(B138="","",IF(W138=0,"Sin avisos numéricos. Revisamos el alcance aparte.",IF(L138=0,"Faltan datos completos de partida; no elegimos un total por suposición."&amp;CHAR(10),"")&amp;IF(N138&gt;0,"Hay filas incompletas o contradictorias; las revisamos en PEGAR."&amp;CHAR(10),"")&amp;IF(O138&gt;0,"Faltan las medidas de alguna fila; no cerramos la suma."&amp;CHAR(10),"")&amp;IF(M138=0,"No constan líneas de medición."&amp;CHAR(10),"")&amp;IF(IF(ISNUMBER(H138),ROUND(ABS(H138),8)&gt;$F$6,FALSE),"Las líneas difieren del total en más de 0,01; confirmamos cantidad o exclusión."&amp;CHAR(10),"")&amp;IF(P138&gt;0,"Parece m³: encontramos tres dimensiones bajo m²."&amp;CHAR(10),"")&amp;IF(R138&gt;0,"Código repetido dentro del capítulo; mantenemos sus ID separados."&amp;CHAR(10),"")&amp;IF(S138&gt;0,"Código repetido en otro capítulo; no unimos las partidas."&amp;CHAR(10),"")&amp;IF(T138&gt;0,"Mismo código con unidades distintas; pedimos aclaración."&amp;CHAR(10),"")&amp;IF(Q138&gt;0,"Hay más precisión que los decimales indicados; cotejamos el formato original."&amp;CHAR(10),"")&amp;IF(U138&gt;0,"Unidad sin normalizar; cotejamos su significado antes de sumar unidades."&amp;CHAR(10),"")&amp;IF(V138&gt;0,"Revisamos dimensiones, cantidades directas, ceros o deducciones en PEGAR."&amp;CHAR(10),"")))</f>
      </c>
      <c r="K138" s="0">
        <f>IF(126&gt;'RESUMEN'!$E$6,"",MATCH(126,'PEGAR'!$W$13:$W$512,0))</f>
      </c>
      <c r="L138" s="0">
        <f>IF(K138="","",INDEX('PEGAR'!$R$13:$R$512,K138))</f>
      </c>
      <c r="M138" s="0">
        <f>IF(B138="","",COUNTIFS('PEGAR'!$O$13:$O$512,B138,'PEGAR'!$P$13:$P$512,"DIMENSIONES")+COUNTIFS('PEGAR'!$O$13:$O$512,B138,'PEGAR'!$P$13:$P$512,"DIRECTA"))</f>
      </c>
      <c r="N138" s="0">
        <f>IF(B138="","",COUNTIFS('PEGAR'!$O$13:$O$512,B138,'PEGAR'!$X$13:$X$512,2))</f>
      </c>
      <c r="O138" s="0">
        <f>IF(B138="","",COUNTIFS('PEGAR'!$O$13:$O$512,B138,'PEGAR'!$P$13:$P$512,"SIN LÍNEAS"))</f>
      </c>
      <c r="P138" s="0">
        <f>IF(B138="","",SUMIFS('PEGAR'!$Y$13:$Y$512,'PEGAR'!$O$13:$O$512,B138))</f>
      </c>
      <c r="Q138" s="0">
        <f>IF(B138="","",SUMIFS('PEGAR'!$Z$13:$Z$512,'PEGAR'!$O$13:$O$512,B138))</f>
      </c>
      <c r="R138" s="0" t="n">
        <f>IF(OR(B138="",D138=""),0,SUMPRODUCT(--($B$13:$B$512&lt;&gt;""),--($D$13:$D$512=D138),--($C$13:$C$512=C138))-1)</f>
        <v>0</v>
      </c>
      <c r="S138" s="0" t="n">
        <f>IF(OR(B138="",D138=""),0,SUMPRODUCT(--($B$13:$B$512&lt;&gt;""),--($D$13:$D$512=D138),--($C$13:$C$512&lt;&gt;C138)))</f>
        <v>0</v>
      </c>
      <c r="T138" s="0" t="n">
        <f>IF(OR(B138="",D138=""),0,SUMPRODUCT(--($B$13:$B$512&lt;&gt;""),--($D$13:$D$512=D138),--($E$13:$E$512&lt;&gt;E138)))</f>
        <v>0</v>
      </c>
      <c r="U138" s="0" t="n">
        <f>IF(B138="",0,IF(SUMPRODUCT(--('LÉEME'!$C$65:$C$86=E138))=0,1,0))</f>
        <v>0</v>
      </c>
      <c r="V138" s="0">
        <f>IF(B138="","",SUMIFS('PEGAR'!$AA$13:$AA$512,'PEGAR'!$O$13:$O$512,B138))</f>
      </c>
      <c r="W138" s="0">
        <f>IF(B138="","",IF(OR(L138=0,N138&gt;0,T138&gt;0,IF(ISNUMBER(H138),ROUND(ABS(H138),8)&gt;$F$6,FALSE)),2,IF(OR(M138=0,O138&gt;0,P138&gt;0,Q138&gt;0,R138&gt;0,S138&gt;0,U138&gt;0,V138&gt;0),1,0)))</f>
      </c>
      <c r="X138" s="0">
        <f>IF(B138="","",IF(ISNUMBER(G138),1,0))</f>
      </c>
      <c r="AB138" s="0">
        <f>IF(AND(ISNUMBER(W138),W138&gt;0),"ID "&amp;B138,"")</f>
      </c>
      <c r="AC138" s="0">
        <f>IF(AND(ISNUMBER(W138),W138&gt;0),C138,"")</f>
      </c>
      <c r="AD138" s="0">
        <f>IF(AND(ISNUMBER(W138),W138&gt;0),D138,"")</f>
      </c>
      <c r="AE138" s="0">
        <f>IF(AND(ISNUMBER(W138),W138&gt;0),IF(INDEX('PEGAR'!$D$13:$D$512,IF(L138&gt;0,L138,K138))="","Sin descripción",INDEX('PEGAR'!$D$13:$D$512,IF(L138&gt;0,L138,K138))),"")</f>
      </c>
      <c r="AF138" s="0">
        <f>IF(AND(ISNUMBER(W138),W138&gt;0),J138,"")</f>
      </c>
      <c r="AG138" s="0" t="n">
        <f>IF(AND(ISNUMBER(W138),W138&gt;0),W138,0)</f>
        <v>0</v>
      </c>
      <c r="AH138" s="0">
        <f>IF(AG138&gt;0,COUNTIFS($AG$13:AG138,"&gt;0"),"")</f>
      </c>
    </row>
    <row r="139" ht="22" customHeight="1">
      <c r="B139" s="27">
        <f>IF(K139="","",INDEX('PEGAR'!$O$13:$O$512,K139))</f>
      </c>
      <c r="C139" s="30">
        <f>IF(B139="","",IF(LEN(TRIM(INDEX('PEGAR'!$B$13:$B$512,IF(L139&gt;0,L139,K139))&amp;""))=0,"Sin capítulo",TRIM(INDEX('PEGAR'!$B$13:$B$512,IF(L139&gt;0,L139,K139))&amp;"")))</f>
      </c>
      <c r="D139" s="27">
        <f>IF(B139="","",IF(LEN(TRIM(INDEX('PEGAR'!$C$13:$C$512,IF(L139&gt;0,L139,K139))&amp;""))=0,"",TRIM(INDEX('PEGAR'!$C$13:$C$512,IF(L139&gt;0,L139,K139))&amp;"")))</f>
      </c>
      <c r="E139" s="27">
        <f>IF(B139="","",INDEX('PEGAR'!$S$13:$S$512,IF(L139&gt;0,L139,K139)))</f>
      </c>
      <c r="F139" s="39">
        <f>IF(B139="","",IF(L139&gt;0,INDEX('PEGAR'!$F$13:$F$512,L139),""))</f>
      </c>
      <c r="G139" s="39">
        <f>IF(B139="","",IF(OR(M139=0,N139&gt;0,O139&gt;0),"",SUMIFS('PEGAR'!$M$13:$M$512,'PEGAR'!$O$13:$O$512,B139)))</f>
      </c>
      <c r="H139" s="39">
        <f>IF(AND(ISNUMBER(F139),ISNUMBER(G139)),G139-F139,"")</f>
      </c>
      <c r="I139" s="27">
        <f>IF(B139="","",IF(W139=2,"ROJO",IF(W139=1,"ÁMBAR","VERDE")))</f>
      </c>
      <c r="J139" s="30">
        <f>IF(B139="","",IF(W139=0,"Sin avisos numéricos. Revisamos el alcance aparte.",IF(L139=0,"Faltan datos completos de partida; no elegimos un total por suposición."&amp;CHAR(10),"")&amp;IF(N139&gt;0,"Hay filas incompletas o contradictorias; las revisamos en PEGAR."&amp;CHAR(10),"")&amp;IF(O139&gt;0,"Faltan las medidas de alguna fila; no cerramos la suma."&amp;CHAR(10),"")&amp;IF(M139=0,"No constan líneas de medición."&amp;CHAR(10),"")&amp;IF(IF(ISNUMBER(H139),ROUND(ABS(H139),8)&gt;$F$6,FALSE),"Las líneas difieren del total en más de 0,01; confirmamos cantidad o exclusión."&amp;CHAR(10),"")&amp;IF(P139&gt;0,"Parece m³: encontramos tres dimensiones bajo m²."&amp;CHAR(10),"")&amp;IF(R139&gt;0,"Código repetido dentro del capítulo; mantenemos sus ID separados."&amp;CHAR(10),"")&amp;IF(S139&gt;0,"Código repetido en otro capítulo; no unimos las partidas."&amp;CHAR(10),"")&amp;IF(T139&gt;0,"Mismo código con unidades distintas; pedimos aclaración."&amp;CHAR(10),"")&amp;IF(Q139&gt;0,"Hay más precisión que los decimales indicados; cotejamos el formato original."&amp;CHAR(10),"")&amp;IF(U139&gt;0,"Unidad sin normalizar; cotejamos su significado antes de sumar unidades."&amp;CHAR(10),"")&amp;IF(V139&gt;0,"Revisamos dimensiones, cantidades directas, ceros o deducciones en PEGAR."&amp;CHAR(10),"")))</f>
      </c>
      <c r="K139" s="0">
        <f>IF(127&gt;'RESUMEN'!$E$6,"",MATCH(127,'PEGAR'!$W$13:$W$512,0))</f>
      </c>
      <c r="L139" s="0">
        <f>IF(K139="","",INDEX('PEGAR'!$R$13:$R$512,K139))</f>
      </c>
      <c r="M139" s="0">
        <f>IF(B139="","",COUNTIFS('PEGAR'!$O$13:$O$512,B139,'PEGAR'!$P$13:$P$512,"DIMENSIONES")+COUNTIFS('PEGAR'!$O$13:$O$512,B139,'PEGAR'!$P$13:$P$512,"DIRECTA"))</f>
      </c>
      <c r="N139" s="0">
        <f>IF(B139="","",COUNTIFS('PEGAR'!$O$13:$O$512,B139,'PEGAR'!$X$13:$X$512,2))</f>
      </c>
      <c r="O139" s="0">
        <f>IF(B139="","",COUNTIFS('PEGAR'!$O$13:$O$512,B139,'PEGAR'!$P$13:$P$512,"SIN LÍNEAS"))</f>
      </c>
      <c r="P139" s="0">
        <f>IF(B139="","",SUMIFS('PEGAR'!$Y$13:$Y$512,'PEGAR'!$O$13:$O$512,B139))</f>
      </c>
      <c r="Q139" s="0">
        <f>IF(B139="","",SUMIFS('PEGAR'!$Z$13:$Z$512,'PEGAR'!$O$13:$O$512,B139))</f>
      </c>
      <c r="R139" s="0" t="n">
        <f>IF(OR(B139="",D139=""),0,SUMPRODUCT(--($B$13:$B$512&lt;&gt;""),--($D$13:$D$512=D139),--($C$13:$C$512=C139))-1)</f>
        <v>0</v>
      </c>
      <c r="S139" s="0" t="n">
        <f>IF(OR(B139="",D139=""),0,SUMPRODUCT(--($B$13:$B$512&lt;&gt;""),--($D$13:$D$512=D139),--($C$13:$C$512&lt;&gt;C139)))</f>
        <v>0</v>
      </c>
      <c r="T139" s="0" t="n">
        <f>IF(OR(B139="",D139=""),0,SUMPRODUCT(--($B$13:$B$512&lt;&gt;""),--($D$13:$D$512=D139),--($E$13:$E$512&lt;&gt;E139)))</f>
        <v>0</v>
      </c>
      <c r="U139" s="0" t="n">
        <f>IF(B139="",0,IF(SUMPRODUCT(--('LÉEME'!$C$65:$C$86=E139))=0,1,0))</f>
        <v>0</v>
      </c>
      <c r="V139" s="0">
        <f>IF(B139="","",SUMIFS('PEGAR'!$AA$13:$AA$512,'PEGAR'!$O$13:$O$512,B139))</f>
      </c>
      <c r="W139" s="0">
        <f>IF(B139="","",IF(OR(L139=0,N139&gt;0,T139&gt;0,IF(ISNUMBER(H139),ROUND(ABS(H139),8)&gt;$F$6,FALSE)),2,IF(OR(M139=0,O139&gt;0,P139&gt;0,Q139&gt;0,R139&gt;0,S139&gt;0,U139&gt;0,V139&gt;0),1,0)))</f>
      </c>
      <c r="X139" s="0">
        <f>IF(B139="","",IF(ISNUMBER(G139),1,0))</f>
      </c>
      <c r="AB139" s="0">
        <f>IF(AND(ISNUMBER(W139),W139&gt;0),"ID "&amp;B139,"")</f>
      </c>
      <c r="AC139" s="0">
        <f>IF(AND(ISNUMBER(W139),W139&gt;0),C139,"")</f>
      </c>
      <c r="AD139" s="0">
        <f>IF(AND(ISNUMBER(W139),W139&gt;0),D139,"")</f>
      </c>
      <c r="AE139" s="0">
        <f>IF(AND(ISNUMBER(W139),W139&gt;0),IF(INDEX('PEGAR'!$D$13:$D$512,IF(L139&gt;0,L139,K139))="","Sin descripción",INDEX('PEGAR'!$D$13:$D$512,IF(L139&gt;0,L139,K139))),"")</f>
      </c>
      <c r="AF139" s="0">
        <f>IF(AND(ISNUMBER(W139),W139&gt;0),J139,"")</f>
      </c>
      <c r="AG139" s="0" t="n">
        <f>IF(AND(ISNUMBER(W139),W139&gt;0),W139,0)</f>
        <v>0</v>
      </c>
      <c r="AH139" s="0">
        <f>IF(AG139&gt;0,COUNTIFS($AG$13:AG139,"&gt;0"),"")</f>
      </c>
    </row>
    <row r="140" ht="22" customHeight="1">
      <c r="B140" s="27">
        <f>IF(K140="","",INDEX('PEGAR'!$O$13:$O$512,K140))</f>
      </c>
      <c r="C140" s="30">
        <f>IF(B140="","",IF(LEN(TRIM(INDEX('PEGAR'!$B$13:$B$512,IF(L140&gt;0,L140,K140))&amp;""))=0,"Sin capítulo",TRIM(INDEX('PEGAR'!$B$13:$B$512,IF(L140&gt;0,L140,K140))&amp;"")))</f>
      </c>
      <c r="D140" s="27">
        <f>IF(B140="","",IF(LEN(TRIM(INDEX('PEGAR'!$C$13:$C$512,IF(L140&gt;0,L140,K140))&amp;""))=0,"",TRIM(INDEX('PEGAR'!$C$13:$C$512,IF(L140&gt;0,L140,K140))&amp;"")))</f>
      </c>
      <c r="E140" s="27">
        <f>IF(B140="","",INDEX('PEGAR'!$S$13:$S$512,IF(L140&gt;0,L140,K140)))</f>
      </c>
      <c r="F140" s="39">
        <f>IF(B140="","",IF(L140&gt;0,INDEX('PEGAR'!$F$13:$F$512,L140),""))</f>
      </c>
      <c r="G140" s="39">
        <f>IF(B140="","",IF(OR(M140=0,N140&gt;0,O140&gt;0),"",SUMIFS('PEGAR'!$M$13:$M$512,'PEGAR'!$O$13:$O$512,B140)))</f>
      </c>
      <c r="H140" s="39">
        <f>IF(AND(ISNUMBER(F140),ISNUMBER(G140)),G140-F140,"")</f>
      </c>
      <c r="I140" s="27">
        <f>IF(B140="","",IF(W140=2,"ROJO",IF(W140=1,"ÁMBAR","VERDE")))</f>
      </c>
      <c r="J140" s="30">
        <f>IF(B140="","",IF(W140=0,"Sin avisos numéricos. Revisamos el alcance aparte.",IF(L140=0,"Faltan datos completos de partida; no elegimos un total por suposición."&amp;CHAR(10),"")&amp;IF(N140&gt;0,"Hay filas incompletas o contradictorias; las revisamos en PEGAR."&amp;CHAR(10),"")&amp;IF(O140&gt;0,"Faltan las medidas de alguna fila; no cerramos la suma."&amp;CHAR(10),"")&amp;IF(M140=0,"No constan líneas de medición."&amp;CHAR(10),"")&amp;IF(IF(ISNUMBER(H140),ROUND(ABS(H140),8)&gt;$F$6,FALSE),"Las líneas difieren del total en más de 0,01; confirmamos cantidad o exclusión."&amp;CHAR(10),"")&amp;IF(P140&gt;0,"Parece m³: encontramos tres dimensiones bajo m²."&amp;CHAR(10),"")&amp;IF(R140&gt;0,"Código repetido dentro del capítulo; mantenemos sus ID separados."&amp;CHAR(10),"")&amp;IF(S140&gt;0,"Código repetido en otro capítulo; no unimos las partidas."&amp;CHAR(10),"")&amp;IF(T140&gt;0,"Mismo código con unidades distintas; pedimos aclaración."&amp;CHAR(10),"")&amp;IF(Q140&gt;0,"Hay más precisión que los decimales indicados; cotejamos el formato original."&amp;CHAR(10),"")&amp;IF(U140&gt;0,"Unidad sin normalizar; cotejamos su significado antes de sumar unidades."&amp;CHAR(10),"")&amp;IF(V140&gt;0,"Revisamos dimensiones, cantidades directas, ceros o deducciones en PEGAR."&amp;CHAR(10),"")))</f>
      </c>
      <c r="K140" s="0">
        <f>IF(128&gt;'RESUMEN'!$E$6,"",MATCH(128,'PEGAR'!$W$13:$W$512,0))</f>
      </c>
      <c r="L140" s="0">
        <f>IF(K140="","",INDEX('PEGAR'!$R$13:$R$512,K140))</f>
      </c>
      <c r="M140" s="0">
        <f>IF(B140="","",COUNTIFS('PEGAR'!$O$13:$O$512,B140,'PEGAR'!$P$13:$P$512,"DIMENSIONES")+COUNTIFS('PEGAR'!$O$13:$O$512,B140,'PEGAR'!$P$13:$P$512,"DIRECTA"))</f>
      </c>
      <c r="N140" s="0">
        <f>IF(B140="","",COUNTIFS('PEGAR'!$O$13:$O$512,B140,'PEGAR'!$X$13:$X$512,2))</f>
      </c>
      <c r="O140" s="0">
        <f>IF(B140="","",COUNTIFS('PEGAR'!$O$13:$O$512,B140,'PEGAR'!$P$13:$P$512,"SIN LÍNEAS"))</f>
      </c>
      <c r="P140" s="0">
        <f>IF(B140="","",SUMIFS('PEGAR'!$Y$13:$Y$512,'PEGAR'!$O$13:$O$512,B140))</f>
      </c>
      <c r="Q140" s="0">
        <f>IF(B140="","",SUMIFS('PEGAR'!$Z$13:$Z$512,'PEGAR'!$O$13:$O$512,B140))</f>
      </c>
      <c r="R140" s="0" t="n">
        <f>IF(OR(B140="",D140=""),0,SUMPRODUCT(--($B$13:$B$512&lt;&gt;""),--($D$13:$D$512=D140),--($C$13:$C$512=C140))-1)</f>
        <v>0</v>
      </c>
      <c r="S140" s="0" t="n">
        <f>IF(OR(B140="",D140=""),0,SUMPRODUCT(--($B$13:$B$512&lt;&gt;""),--($D$13:$D$512=D140),--($C$13:$C$512&lt;&gt;C140)))</f>
        <v>0</v>
      </c>
      <c r="T140" s="0" t="n">
        <f>IF(OR(B140="",D140=""),0,SUMPRODUCT(--($B$13:$B$512&lt;&gt;""),--($D$13:$D$512=D140),--($E$13:$E$512&lt;&gt;E140)))</f>
        <v>0</v>
      </c>
      <c r="U140" s="0" t="n">
        <f>IF(B140="",0,IF(SUMPRODUCT(--('LÉEME'!$C$65:$C$86=E140))=0,1,0))</f>
        <v>0</v>
      </c>
      <c r="V140" s="0">
        <f>IF(B140="","",SUMIFS('PEGAR'!$AA$13:$AA$512,'PEGAR'!$O$13:$O$512,B140))</f>
      </c>
      <c r="W140" s="0">
        <f>IF(B140="","",IF(OR(L140=0,N140&gt;0,T140&gt;0,IF(ISNUMBER(H140),ROUND(ABS(H140),8)&gt;$F$6,FALSE)),2,IF(OR(M140=0,O140&gt;0,P140&gt;0,Q140&gt;0,R140&gt;0,S140&gt;0,U140&gt;0,V140&gt;0),1,0)))</f>
      </c>
      <c r="X140" s="0">
        <f>IF(B140="","",IF(ISNUMBER(G140),1,0))</f>
      </c>
      <c r="AB140" s="0">
        <f>IF(AND(ISNUMBER(W140),W140&gt;0),"ID "&amp;B140,"")</f>
      </c>
      <c r="AC140" s="0">
        <f>IF(AND(ISNUMBER(W140),W140&gt;0),C140,"")</f>
      </c>
      <c r="AD140" s="0">
        <f>IF(AND(ISNUMBER(W140),W140&gt;0),D140,"")</f>
      </c>
      <c r="AE140" s="0">
        <f>IF(AND(ISNUMBER(W140),W140&gt;0),IF(INDEX('PEGAR'!$D$13:$D$512,IF(L140&gt;0,L140,K140))="","Sin descripción",INDEX('PEGAR'!$D$13:$D$512,IF(L140&gt;0,L140,K140))),"")</f>
      </c>
      <c r="AF140" s="0">
        <f>IF(AND(ISNUMBER(W140),W140&gt;0),J140,"")</f>
      </c>
      <c r="AG140" s="0" t="n">
        <f>IF(AND(ISNUMBER(W140),W140&gt;0),W140,0)</f>
        <v>0</v>
      </c>
      <c r="AH140" s="0">
        <f>IF(AG140&gt;0,COUNTIFS($AG$13:AG140,"&gt;0"),"")</f>
      </c>
    </row>
    <row r="141" ht="22" customHeight="1">
      <c r="B141" s="27">
        <f>IF(K141="","",INDEX('PEGAR'!$O$13:$O$512,K141))</f>
      </c>
      <c r="C141" s="30">
        <f>IF(B141="","",IF(LEN(TRIM(INDEX('PEGAR'!$B$13:$B$512,IF(L141&gt;0,L141,K141))&amp;""))=0,"Sin capítulo",TRIM(INDEX('PEGAR'!$B$13:$B$512,IF(L141&gt;0,L141,K141))&amp;"")))</f>
      </c>
      <c r="D141" s="27">
        <f>IF(B141="","",IF(LEN(TRIM(INDEX('PEGAR'!$C$13:$C$512,IF(L141&gt;0,L141,K141))&amp;""))=0,"",TRIM(INDEX('PEGAR'!$C$13:$C$512,IF(L141&gt;0,L141,K141))&amp;"")))</f>
      </c>
      <c r="E141" s="27">
        <f>IF(B141="","",INDEX('PEGAR'!$S$13:$S$512,IF(L141&gt;0,L141,K141)))</f>
      </c>
      <c r="F141" s="39">
        <f>IF(B141="","",IF(L141&gt;0,INDEX('PEGAR'!$F$13:$F$512,L141),""))</f>
      </c>
      <c r="G141" s="39">
        <f>IF(B141="","",IF(OR(M141=0,N141&gt;0,O141&gt;0),"",SUMIFS('PEGAR'!$M$13:$M$512,'PEGAR'!$O$13:$O$512,B141)))</f>
      </c>
      <c r="H141" s="39">
        <f>IF(AND(ISNUMBER(F141),ISNUMBER(G141)),G141-F141,"")</f>
      </c>
      <c r="I141" s="27">
        <f>IF(B141="","",IF(W141=2,"ROJO",IF(W141=1,"ÁMBAR","VERDE")))</f>
      </c>
      <c r="J141" s="30">
        <f>IF(B141="","",IF(W141=0,"Sin avisos numéricos. Revisamos el alcance aparte.",IF(L141=0,"Faltan datos completos de partida; no elegimos un total por suposición."&amp;CHAR(10),"")&amp;IF(N141&gt;0,"Hay filas incompletas o contradictorias; las revisamos en PEGAR."&amp;CHAR(10),"")&amp;IF(O141&gt;0,"Faltan las medidas de alguna fila; no cerramos la suma."&amp;CHAR(10),"")&amp;IF(M141=0,"No constan líneas de medición."&amp;CHAR(10),"")&amp;IF(IF(ISNUMBER(H141),ROUND(ABS(H141),8)&gt;$F$6,FALSE),"Las líneas difieren del total en más de 0,01; confirmamos cantidad o exclusión."&amp;CHAR(10),"")&amp;IF(P141&gt;0,"Parece m³: encontramos tres dimensiones bajo m²."&amp;CHAR(10),"")&amp;IF(R141&gt;0,"Código repetido dentro del capítulo; mantenemos sus ID separados."&amp;CHAR(10),"")&amp;IF(S141&gt;0,"Código repetido en otro capítulo; no unimos las partidas."&amp;CHAR(10),"")&amp;IF(T141&gt;0,"Mismo código con unidades distintas; pedimos aclaración."&amp;CHAR(10),"")&amp;IF(Q141&gt;0,"Hay más precisión que los decimales indicados; cotejamos el formato original."&amp;CHAR(10),"")&amp;IF(U141&gt;0,"Unidad sin normalizar; cotejamos su significado antes de sumar unidades."&amp;CHAR(10),"")&amp;IF(V141&gt;0,"Revisamos dimensiones, cantidades directas, ceros o deducciones en PEGAR."&amp;CHAR(10),"")))</f>
      </c>
      <c r="K141" s="0">
        <f>IF(129&gt;'RESUMEN'!$E$6,"",MATCH(129,'PEGAR'!$W$13:$W$512,0))</f>
      </c>
      <c r="L141" s="0">
        <f>IF(K141="","",INDEX('PEGAR'!$R$13:$R$512,K141))</f>
      </c>
      <c r="M141" s="0">
        <f>IF(B141="","",COUNTIFS('PEGAR'!$O$13:$O$512,B141,'PEGAR'!$P$13:$P$512,"DIMENSIONES")+COUNTIFS('PEGAR'!$O$13:$O$512,B141,'PEGAR'!$P$13:$P$512,"DIRECTA"))</f>
      </c>
      <c r="N141" s="0">
        <f>IF(B141="","",COUNTIFS('PEGAR'!$O$13:$O$512,B141,'PEGAR'!$X$13:$X$512,2))</f>
      </c>
      <c r="O141" s="0">
        <f>IF(B141="","",COUNTIFS('PEGAR'!$O$13:$O$512,B141,'PEGAR'!$P$13:$P$512,"SIN LÍNEAS"))</f>
      </c>
      <c r="P141" s="0">
        <f>IF(B141="","",SUMIFS('PEGAR'!$Y$13:$Y$512,'PEGAR'!$O$13:$O$512,B141))</f>
      </c>
      <c r="Q141" s="0">
        <f>IF(B141="","",SUMIFS('PEGAR'!$Z$13:$Z$512,'PEGAR'!$O$13:$O$512,B141))</f>
      </c>
      <c r="R141" s="0" t="n">
        <f>IF(OR(B141="",D141=""),0,SUMPRODUCT(--($B$13:$B$512&lt;&gt;""),--($D$13:$D$512=D141),--($C$13:$C$512=C141))-1)</f>
        <v>0</v>
      </c>
      <c r="S141" s="0" t="n">
        <f>IF(OR(B141="",D141=""),0,SUMPRODUCT(--($B$13:$B$512&lt;&gt;""),--($D$13:$D$512=D141),--($C$13:$C$512&lt;&gt;C141)))</f>
        <v>0</v>
      </c>
      <c r="T141" s="0" t="n">
        <f>IF(OR(B141="",D141=""),0,SUMPRODUCT(--($B$13:$B$512&lt;&gt;""),--($D$13:$D$512=D141),--($E$13:$E$512&lt;&gt;E141)))</f>
        <v>0</v>
      </c>
      <c r="U141" s="0" t="n">
        <f>IF(B141="",0,IF(SUMPRODUCT(--('LÉEME'!$C$65:$C$86=E141))=0,1,0))</f>
        <v>0</v>
      </c>
      <c r="V141" s="0">
        <f>IF(B141="","",SUMIFS('PEGAR'!$AA$13:$AA$512,'PEGAR'!$O$13:$O$512,B141))</f>
      </c>
      <c r="W141" s="0">
        <f>IF(B141="","",IF(OR(L141=0,N141&gt;0,T141&gt;0,IF(ISNUMBER(H141),ROUND(ABS(H141),8)&gt;$F$6,FALSE)),2,IF(OR(M141=0,O141&gt;0,P141&gt;0,Q141&gt;0,R141&gt;0,S141&gt;0,U141&gt;0,V141&gt;0),1,0)))</f>
      </c>
      <c r="X141" s="0">
        <f>IF(B141="","",IF(ISNUMBER(G141),1,0))</f>
      </c>
      <c r="AB141" s="0">
        <f>IF(AND(ISNUMBER(W141),W141&gt;0),"ID "&amp;B141,"")</f>
      </c>
      <c r="AC141" s="0">
        <f>IF(AND(ISNUMBER(W141),W141&gt;0),C141,"")</f>
      </c>
      <c r="AD141" s="0">
        <f>IF(AND(ISNUMBER(W141),W141&gt;0),D141,"")</f>
      </c>
      <c r="AE141" s="0">
        <f>IF(AND(ISNUMBER(W141),W141&gt;0),IF(INDEX('PEGAR'!$D$13:$D$512,IF(L141&gt;0,L141,K141))="","Sin descripción",INDEX('PEGAR'!$D$13:$D$512,IF(L141&gt;0,L141,K141))),"")</f>
      </c>
      <c r="AF141" s="0">
        <f>IF(AND(ISNUMBER(W141),W141&gt;0),J141,"")</f>
      </c>
      <c r="AG141" s="0" t="n">
        <f>IF(AND(ISNUMBER(W141),W141&gt;0),W141,0)</f>
        <v>0</v>
      </c>
      <c r="AH141" s="0">
        <f>IF(AG141&gt;0,COUNTIFS($AG$13:AG141,"&gt;0"),"")</f>
      </c>
    </row>
    <row r="142" ht="22" customHeight="1">
      <c r="B142" s="27">
        <f>IF(K142="","",INDEX('PEGAR'!$O$13:$O$512,K142))</f>
      </c>
      <c r="C142" s="30">
        <f>IF(B142="","",IF(LEN(TRIM(INDEX('PEGAR'!$B$13:$B$512,IF(L142&gt;0,L142,K142))&amp;""))=0,"Sin capítulo",TRIM(INDEX('PEGAR'!$B$13:$B$512,IF(L142&gt;0,L142,K142))&amp;"")))</f>
      </c>
      <c r="D142" s="27">
        <f>IF(B142="","",IF(LEN(TRIM(INDEX('PEGAR'!$C$13:$C$512,IF(L142&gt;0,L142,K142))&amp;""))=0,"",TRIM(INDEX('PEGAR'!$C$13:$C$512,IF(L142&gt;0,L142,K142))&amp;"")))</f>
      </c>
      <c r="E142" s="27">
        <f>IF(B142="","",INDEX('PEGAR'!$S$13:$S$512,IF(L142&gt;0,L142,K142)))</f>
      </c>
      <c r="F142" s="39">
        <f>IF(B142="","",IF(L142&gt;0,INDEX('PEGAR'!$F$13:$F$512,L142),""))</f>
      </c>
      <c r="G142" s="39">
        <f>IF(B142="","",IF(OR(M142=0,N142&gt;0,O142&gt;0),"",SUMIFS('PEGAR'!$M$13:$M$512,'PEGAR'!$O$13:$O$512,B142)))</f>
      </c>
      <c r="H142" s="39">
        <f>IF(AND(ISNUMBER(F142),ISNUMBER(G142)),G142-F142,"")</f>
      </c>
      <c r="I142" s="27">
        <f>IF(B142="","",IF(W142=2,"ROJO",IF(W142=1,"ÁMBAR","VERDE")))</f>
      </c>
      <c r="J142" s="30">
        <f>IF(B142="","",IF(W142=0,"Sin avisos numéricos. Revisamos el alcance aparte.",IF(L142=0,"Faltan datos completos de partida; no elegimos un total por suposición."&amp;CHAR(10),"")&amp;IF(N142&gt;0,"Hay filas incompletas o contradictorias; las revisamos en PEGAR."&amp;CHAR(10),"")&amp;IF(O142&gt;0,"Faltan las medidas de alguna fila; no cerramos la suma."&amp;CHAR(10),"")&amp;IF(M142=0,"No constan líneas de medición."&amp;CHAR(10),"")&amp;IF(IF(ISNUMBER(H142),ROUND(ABS(H142),8)&gt;$F$6,FALSE),"Las líneas difieren del total en más de 0,01; confirmamos cantidad o exclusión."&amp;CHAR(10),"")&amp;IF(P142&gt;0,"Parece m³: encontramos tres dimensiones bajo m²."&amp;CHAR(10),"")&amp;IF(R142&gt;0,"Código repetido dentro del capítulo; mantenemos sus ID separados."&amp;CHAR(10),"")&amp;IF(S142&gt;0,"Código repetido en otro capítulo; no unimos las partidas."&amp;CHAR(10),"")&amp;IF(T142&gt;0,"Mismo código con unidades distintas; pedimos aclaración."&amp;CHAR(10),"")&amp;IF(Q142&gt;0,"Hay más precisión que los decimales indicados; cotejamos el formato original."&amp;CHAR(10),"")&amp;IF(U142&gt;0,"Unidad sin normalizar; cotejamos su significado antes de sumar unidades."&amp;CHAR(10),"")&amp;IF(V142&gt;0,"Revisamos dimensiones, cantidades directas, ceros o deducciones en PEGAR."&amp;CHAR(10),"")))</f>
      </c>
      <c r="K142" s="0">
        <f>IF(130&gt;'RESUMEN'!$E$6,"",MATCH(130,'PEGAR'!$W$13:$W$512,0))</f>
      </c>
      <c r="L142" s="0">
        <f>IF(K142="","",INDEX('PEGAR'!$R$13:$R$512,K142))</f>
      </c>
      <c r="M142" s="0">
        <f>IF(B142="","",COUNTIFS('PEGAR'!$O$13:$O$512,B142,'PEGAR'!$P$13:$P$512,"DIMENSIONES")+COUNTIFS('PEGAR'!$O$13:$O$512,B142,'PEGAR'!$P$13:$P$512,"DIRECTA"))</f>
      </c>
      <c r="N142" s="0">
        <f>IF(B142="","",COUNTIFS('PEGAR'!$O$13:$O$512,B142,'PEGAR'!$X$13:$X$512,2))</f>
      </c>
      <c r="O142" s="0">
        <f>IF(B142="","",COUNTIFS('PEGAR'!$O$13:$O$512,B142,'PEGAR'!$P$13:$P$512,"SIN LÍNEAS"))</f>
      </c>
      <c r="P142" s="0">
        <f>IF(B142="","",SUMIFS('PEGAR'!$Y$13:$Y$512,'PEGAR'!$O$13:$O$512,B142))</f>
      </c>
      <c r="Q142" s="0">
        <f>IF(B142="","",SUMIFS('PEGAR'!$Z$13:$Z$512,'PEGAR'!$O$13:$O$512,B142))</f>
      </c>
      <c r="R142" s="0" t="n">
        <f>IF(OR(B142="",D142=""),0,SUMPRODUCT(--($B$13:$B$512&lt;&gt;""),--($D$13:$D$512=D142),--($C$13:$C$512=C142))-1)</f>
        <v>0</v>
      </c>
      <c r="S142" s="0" t="n">
        <f>IF(OR(B142="",D142=""),0,SUMPRODUCT(--($B$13:$B$512&lt;&gt;""),--($D$13:$D$512=D142),--($C$13:$C$512&lt;&gt;C142)))</f>
        <v>0</v>
      </c>
      <c r="T142" s="0" t="n">
        <f>IF(OR(B142="",D142=""),0,SUMPRODUCT(--($B$13:$B$512&lt;&gt;""),--($D$13:$D$512=D142),--($E$13:$E$512&lt;&gt;E142)))</f>
        <v>0</v>
      </c>
      <c r="U142" s="0" t="n">
        <f>IF(B142="",0,IF(SUMPRODUCT(--('LÉEME'!$C$65:$C$86=E142))=0,1,0))</f>
        <v>0</v>
      </c>
      <c r="V142" s="0">
        <f>IF(B142="","",SUMIFS('PEGAR'!$AA$13:$AA$512,'PEGAR'!$O$13:$O$512,B142))</f>
      </c>
      <c r="W142" s="0">
        <f>IF(B142="","",IF(OR(L142=0,N142&gt;0,T142&gt;0,IF(ISNUMBER(H142),ROUND(ABS(H142),8)&gt;$F$6,FALSE)),2,IF(OR(M142=0,O142&gt;0,P142&gt;0,Q142&gt;0,R142&gt;0,S142&gt;0,U142&gt;0,V142&gt;0),1,0)))</f>
      </c>
      <c r="X142" s="0">
        <f>IF(B142="","",IF(ISNUMBER(G142),1,0))</f>
      </c>
      <c r="AB142" s="0">
        <f>IF(AND(ISNUMBER(W142),W142&gt;0),"ID "&amp;B142,"")</f>
      </c>
      <c r="AC142" s="0">
        <f>IF(AND(ISNUMBER(W142),W142&gt;0),C142,"")</f>
      </c>
      <c r="AD142" s="0">
        <f>IF(AND(ISNUMBER(W142),W142&gt;0),D142,"")</f>
      </c>
      <c r="AE142" s="0">
        <f>IF(AND(ISNUMBER(W142),W142&gt;0),IF(INDEX('PEGAR'!$D$13:$D$512,IF(L142&gt;0,L142,K142))="","Sin descripción",INDEX('PEGAR'!$D$13:$D$512,IF(L142&gt;0,L142,K142))),"")</f>
      </c>
      <c r="AF142" s="0">
        <f>IF(AND(ISNUMBER(W142),W142&gt;0),J142,"")</f>
      </c>
      <c r="AG142" s="0" t="n">
        <f>IF(AND(ISNUMBER(W142),W142&gt;0),W142,0)</f>
        <v>0</v>
      </c>
      <c r="AH142" s="0">
        <f>IF(AG142&gt;0,COUNTIFS($AG$13:AG142,"&gt;0"),"")</f>
      </c>
    </row>
    <row r="143" ht="22" customHeight="1">
      <c r="B143" s="27">
        <f>IF(K143="","",INDEX('PEGAR'!$O$13:$O$512,K143))</f>
      </c>
      <c r="C143" s="30">
        <f>IF(B143="","",IF(LEN(TRIM(INDEX('PEGAR'!$B$13:$B$512,IF(L143&gt;0,L143,K143))&amp;""))=0,"Sin capítulo",TRIM(INDEX('PEGAR'!$B$13:$B$512,IF(L143&gt;0,L143,K143))&amp;"")))</f>
      </c>
      <c r="D143" s="27">
        <f>IF(B143="","",IF(LEN(TRIM(INDEX('PEGAR'!$C$13:$C$512,IF(L143&gt;0,L143,K143))&amp;""))=0,"",TRIM(INDEX('PEGAR'!$C$13:$C$512,IF(L143&gt;0,L143,K143))&amp;"")))</f>
      </c>
      <c r="E143" s="27">
        <f>IF(B143="","",INDEX('PEGAR'!$S$13:$S$512,IF(L143&gt;0,L143,K143)))</f>
      </c>
      <c r="F143" s="39">
        <f>IF(B143="","",IF(L143&gt;0,INDEX('PEGAR'!$F$13:$F$512,L143),""))</f>
      </c>
      <c r="G143" s="39">
        <f>IF(B143="","",IF(OR(M143=0,N143&gt;0,O143&gt;0),"",SUMIFS('PEGAR'!$M$13:$M$512,'PEGAR'!$O$13:$O$512,B143)))</f>
      </c>
      <c r="H143" s="39">
        <f>IF(AND(ISNUMBER(F143),ISNUMBER(G143)),G143-F143,"")</f>
      </c>
      <c r="I143" s="27">
        <f>IF(B143="","",IF(W143=2,"ROJO",IF(W143=1,"ÁMBAR","VERDE")))</f>
      </c>
      <c r="J143" s="30">
        <f>IF(B143="","",IF(W143=0,"Sin avisos numéricos. Revisamos el alcance aparte.",IF(L143=0,"Faltan datos completos de partida; no elegimos un total por suposición."&amp;CHAR(10),"")&amp;IF(N143&gt;0,"Hay filas incompletas o contradictorias; las revisamos en PEGAR."&amp;CHAR(10),"")&amp;IF(O143&gt;0,"Faltan las medidas de alguna fila; no cerramos la suma."&amp;CHAR(10),"")&amp;IF(M143=0,"No constan líneas de medición."&amp;CHAR(10),"")&amp;IF(IF(ISNUMBER(H143),ROUND(ABS(H143),8)&gt;$F$6,FALSE),"Las líneas difieren del total en más de 0,01; confirmamos cantidad o exclusión."&amp;CHAR(10),"")&amp;IF(P143&gt;0,"Parece m³: encontramos tres dimensiones bajo m²."&amp;CHAR(10),"")&amp;IF(R143&gt;0,"Código repetido dentro del capítulo; mantenemos sus ID separados."&amp;CHAR(10),"")&amp;IF(S143&gt;0,"Código repetido en otro capítulo; no unimos las partidas."&amp;CHAR(10),"")&amp;IF(T143&gt;0,"Mismo código con unidades distintas; pedimos aclaración."&amp;CHAR(10),"")&amp;IF(Q143&gt;0,"Hay más precisión que los decimales indicados; cotejamos el formato original."&amp;CHAR(10),"")&amp;IF(U143&gt;0,"Unidad sin normalizar; cotejamos su significado antes de sumar unidades."&amp;CHAR(10),"")&amp;IF(V143&gt;0,"Revisamos dimensiones, cantidades directas, ceros o deducciones en PEGAR."&amp;CHAR(10),"")))</f>
      </c>
      <c r="K143" s="0">
        <f>IF(131&gt;'RESUMEN'!$E$6,"",MATCH(131,'PEGAR'!$W$13:$W$512,0))</f>
      </c>
      <c r="L143" s="0">
        <f>IF(K143="","",INDEX('PEGAR'!$R$13:$R$512,K143))</f>
      </c>
      <c r="M143" s="0">
        <f>IF(B143="","",COUNTIFS('PEGAR'!$O$13:$O$512,B143,'PEGAR'!$P$13:$P$512,"DIMENSIONES")+COUNTIFS('PEGAR'!$O$13:$O$512,B143,'PEGAR'!$P$13:$P$512,"DIRECTA"))</f>
      </c>
      <c r="N143" s="0">
        <f>IF(B143="","",COUNTIFS('PEGAR'!$O$13:$O$512,B143,'PEGAR'!$X$13:$X$512,2))</f>
      </c>
      <c r="O143" s="0">
        <f>IF(B143="","",COUNTIFS('PEGAR'!$O$13:$O$512,B143,'PEGAR'!$P$13:$P$512,"SIN LÍNEAS"))</f>
      </c>
      <c r="P143" s="0">
        <f>IF(B143="","",SUMIFS('PEGAR'!$Y$13:$Y$512,'PEGAR'!$O$13:$O$512,B143))</f>
      </c>
      <c r="Q143" s="0">
        <f>IF(B143="","",SUMIFS('PEGAR'!$Z$13:$Z$512,'PEGAR'!$O$13:$O$512,B143))</f>
      </c>
      <c r="R143" s="0" t="n">
        <f>IF(OR(B143="",D143=""),0,SUMPRODUCT(--($B$13:$B$512&lt;&gt;""),--($D$13:$D$512=D143),--($C$13:$C$512=C143))-1)</f>
        <v>0</v>
      </c>
      <c r="S143" s="0" t="n">
        <f>IF(OR(B143="",D143=""),0,SUMPRODUCT(--($B$13:$B$512&lt;&gt;""),--($D$13:$D$512=D143),--($C$13:$C$512&lt;&gt;C143)))</f>
        <v>0</v>
      </c>
      <c r="T143" s="0" t="n">
        <f>IF(OR(B143="",D143=""),0,SUMPRODUCT(--($B$13:$B$512&lt;&gt;""),--($D$13:$D$512=D143),--($E$13:$E$512&lt;&gt;E143)))</f>
        <v>0</v>
      </c>
      <c r="U143" s="0" t="n">
        <f>IF(B143="",0,IF(SUMPRODUCT(--('LÉEME'!$C$65:$C$86=E143))=0,1,0))</f>
        <v>0</v>
      </c>
      <c r="V143" s="0">
        <f>IF(B143="","",SUMIFS('PEGAR'!$AA$13:$AA$512,'PEGAR'!$O$13:$O$512,B143))</f>
      </c>
      <c r="W143" s="0">
        <f>IF(B143="","",IF(OR(L143=0,N143&gt;0,T143&gt;0,IF(ISNUMBER(H143),ROUND(ABS(H143),8)&gt;$F$6,FALSE)),2,IF(OR(M143=0,O143&gt;0,P143&gt;0,Q143&gt;0,R143&gt;0,S143&gt;0,U143&gt;0,V143&gt;0),1,0)))</f>
      </c>
      <c r="X143" s="0">
        <f>IF(B143="","",IF(ISNUMBER(G143),1,0))</f>
      </c>
      <c r="AB143" s="0">
        <f>IF(AND(ISNUMBER(W143),W143&gt;0),"ID "&amp;B143,"")</f>
      </c>
      <c r="AC143" s="0">
        <f>IF(AND(ISNUMBER(W143),W143&gt;0),C143,"")</f>
      </c>
      <c r="AD143" s="0">
        <f>IF(AND(ISNUMBER(W143),W143&gt;0),D143,"")</f>
      </c>
      <c r="AE143" s="0">
        <f>IF(AND(ISNUMBER(W143),W143&gt;0),IF(INDEX('PEGAR'!$D$13:$D$512,IF(L143&gt;0,L143,K143))="","Sin descripción",INDEX('PEGAR'!$D$13:$D$512,IF(L143&gt;0,L143,K143))),"")</f>
      </c>
      <c r="AF143" s="0">
        <f>IF(AND(ISNUMBER(W143),W143&gt;0),J143,"")</f>
      </c>
      <c r="AG143" s="0" t="n">
        <f>IF(AND(ISNUMBER(W143),W143&gt;0),W143,0)</f>
        <v>0</v>
      </c>
      <c r="AH143" s="0">
        <f>IF(AG143&gt;0,COUNTIFS($AG$13:AG143,"&gt;0"),"")</f>
      </c>
    </row>
    <row r="144" ht="22" customHeight="1">
      <c r="B144" s="27">
        <f>IF(K144="","",INDEX('PEGAR'!$O$13:$O$512,K144))</f>
      </c>
      <c r="C144" s="30">
        <f>IF(B144="","",IF(LEN(TRIM(INDEX('PEGAR'!$B$13:$B$512,IF(L144&gt;0,L144,K144))&amp;""))=0,"Sin capítulo",TRIM(INDEX('PEGAR'!$B$13:$B$512,IF(L144&gt;0,L144,K144))&amp;"")))</f>
      </c>
      <c r="D144" s="27">
        <f>IF(B144="","",IF(LEN(TRIM(INDEX('PEGAR'!$C$13:$C$512,IF(L144&gt;0,L144,K144))&amp;""))=0,"",TRIM(INDEX('PEGAR'!$C$13:$C$512,IF(L144&gt;0,L144,K144))&amp;"")))</f>
      </c>
      <c r="E144" s="27">
        <f>IF(B144="","",INDEX('PEGAR'!$S$13:$S$512,IF(L144&gt;0,L144,K144)))</f>
      </c>
      <c r="F144" s="39">
        <f>IF(B144="","",IF(L144&gt;0,INDEX('PEGAR'!$F$13:$F$512,L144),""))</f>
      </c>
      <c r="G144" s="39">
        <f>IF(B144="","",IF(OR(M144=0,N144&gt;0,O144&gt;0),"",SUMIFS('PEGAR'!$M$13:$M$512,'PEGAR'!$O$13:$O$512,B144)))</f>
      </c>
      <c r="H144" s="39">
        <f>IF(AND(ISNUMBER(F144),ISNUMBER(G144)),G144-F144,"")</f>
      </c>
      <c r="I144" s="27">
        <f>IF(B144="","",IF(W144=2,"ROJO",IF(W144=1,"ÁMBAR","VERDE")))</f>
      </c>
      <c r="J144" s="30">
        <f>IF(B144="","",IF(W144=0,"Sin avisos numéricos. Revisamos el alcance aparte.",IF(L144=0,"Faltan datos completos de partida; no elegimos un total por suposición."&amp;CHAR(10),"")&amp;IF(N144&gt;0,"Hay filas incompletas o contradictorias; las revisamos en PEGAR."&amp;CHAR(10),"")&amp;IF(O144&gt;0,"Faltan las medidas de alguna fila; no cerramos la suma."&amp;CHAR(10),"")&amp;IF(M144=0,"No constan líneas de medición."&amp;CHAR(10),"")&amp;IF(IF(ISNUMBER(H144),ROUND(ABS(H144),8)&gt;$F$6,FALSE),"Las líneas difieren del total en más de 0,01; confirmamos cantidad o exclusión."&amp;CHAR(10),"")&amp;IF(P144&gt;0,"Parece m³: encontramos tres dimensiones bajo m²."&amp;CHAR(10),"")&amp;IF(R144&gt;0,"Código repetido dentro del capítulo; mantenemos sus ID separados."&amp;CHAR(10),"")&amp;IF(S144&gt;0,"Código repetido en otro capítulo; no unimos las partidas."&amp;CHAR(10),"")&amp;IF(T144&gt;0,"Mismo código con unidades distintas; pedimos aclaración."&amp;CHAR(10),"")&amp;IF(Q144&gt;0,"Hay más precisión que los decimales indicados; cotejamos el formato original."&amp;CHAR(10),"")&amp;IF(U144&gt;0,"Unidad sin normalizar; cotejamos su significado antes de sumar unidades."&amp;CHAR(10),"")&amp;IF(V144&gt;0,"Revisamos dimensiones, cantidades directas, ceros o deducciones en PEGAR."&amp;CHAR(10),"")))</f>
      </c>
      <c r="K144" s="0">
        <f>IF(132&gt;'RESUMEN'!$E$6,"",MATCH(132,'PEGAR'!$W$13:$W$512,0))</f>
      </c>
      <c r="L144" s="0">
        <f>IF(K144="","",INDEX('PEGAR'!$R$13:$R$512,K144))</f>
      </c>
      <c r="M144" s="0">
        <f>IF(B144="","",COUNTIFS('PEGAR'!$O$13:$O$512,B144,'PEGAR'!$P$13:$P$512,"DIMENSIONES")+COUNTIFS('PEGAR'!$O$13:$O$512,B144,'PEGAR'!$P$13:$P$512,"DIRECTA"))</f>
      </c>
      <c r="N144" s="0">
        <f>IF(B144="","",COUNTIFS('PEGAR'!$O$13:$O$512,B144,'PEGAR'!$X$13:$X$512,2))</f>
      </c>
      <c r="O144" s="0">
        <f>IF(B144="","",COUNTIFS('PEGAR'!$O$13:$O$512,B144,'PEGAR'!$P$13:$P$512,"SIN LÍNEAS"))</f>
      </c>
      <c r="P144" s="0">
        <f>IF(B144="","",SUMIFS('PEGAR'!$Y$13:$Y$512,'PEGAR'!$O$13:$O$512,B144))</f>
      </c>
      <c r="Q144" s="0">
        <f>IF(B144="","",SUMIFS('PEGAR'!$Z$13:$Z$512,'PEGAR'!$O$13:$O$512,B144))</f>
      </c>
      <c r="R144" s="0" t="n">
        <f>IF(OR(B144="",D144=""),0,SUMPRODUCT(--($B$13:$B$512&lt;&gt;""),--($D$13:$D$512=D144),--($C$13:$C$512=C144))-1)</f>
        <v>0</v>
      </c>
      <c r="S144" s="0" t="n">
        <f>IF(OR(B144="",D144=""),0,SUMPRODUCT(--($B$13:$B$512&lt;&gt;""),--($D$13:$D$512=D144),--($C$13:$C$512&lt;&gt;C144)))</f>
        <v>0</v>
      </c>
      <c r="T144" s="0" t="n">
        <f>IF(OR(B144="",D144=""),0,SUMPRODUCT(--($B$13:$B$512&lt;&gt;""),--($D$13:$D$512=D144),--($E$13:$E$512&lt;&gt;E144)))</f>
        <v>0</v>
      </c>
      <c r="U144" s="0" t="n">
        <f>IF(B144="",0,IF(SUMPRODUCT(--('LÉEME'!$C$65:$C$86=E144))=0,1,0))</f>
        <v>0</v>
      </c>
      <c r="V144" s="0">
        <f>IF(B144="","",SUMIFS('PEGAR'!$AA$13:$AA$512,'PEGAR'!$O$13:$O$512,B144))</f>
      </c>
      <c r="W144" s="0">
        <f>IF(B144="","",IF(OR(L144=0,N144&gt;0,T144&gt;0,IF(ISNUMBER(H144),ROUND(ABS(H144),8)&gt;$F$6,FALSE)),2,IF(OR(M144=0,O144&gt;0,P144&gt;0,Q144&gt;0,R144&gt;0,S144&gt;0,U144&gt;0,V144&gt;0),1,0)))</f>
      </c>
      <c r="X144" s="0">
        <f>IF(B144="","",IF(ISNUMBER(G144),1,0))</f>
      </c>
      <c r="AB144" s="0">
        <f>IF(AND(ISNUMBER(W144),W144&gt;0),"ID "&amp;B144,"")</f>
      </c>
      <c r="AC144" s="0">
        <f>IF(AND(ISNUMBER(W144),W144&gt;0),C144,"")</f>
      </c>
      <c r="AD144" s="0">
        <f>IF(AND(ISNUMBER(W144),W144&gt;0),D144,"")</f>
      </c>
      <c r="AE144" s="0">
        <f>IF(AND(ISNUMBER(W144),W144&gt;0),IF(INDEX('PEGAR'!$D$13:$D$512,IF(L144&gt;0,L144,K144))="","Sin descripción",INDEX('PEGAR'!$D$13:$D$512,IF(L144&gt;0,L144,K144))),"")</f>
      </c>
      <c r="AF144" s="0">
        <f>IF(AND(ISNUMBER(W144),W144&gt;0),J144,"")</f>
      </c>
      <c r="AG144" s="0" t="n">
        <f>IF(AND(ISNUMBER(W144),W144&gt;0),W144,0)</f>
        <v>0</v>
      </c>
      <c r="AH144" s="0">
        <f>IF(AG144&gt;0,COUNTIFS($AG$13:AG144,"&gt;0"),"")</f>
      </c>
    </row>
    <row r="145" ht="22" customHeight="1">
      <c r="B145" s="27">
        <f>IF(K145="","",INDEX('PEGAR'!$O$13:$O$512,K145))</f>
      </c>
      <c r="C145" s="30">
        <f>IF(B145="","",IF(LEN(TRIM(INDEX('PEGAR'!$B$13:$B$512,IF(L145&gt;0,L145,K145))&amp;""))=0,"Sin capítulo",TRIM(INDEX('PEGAR'!$B$13:$B$512,IF(L145&gt;0,L145,K145))&amp;"")))</f>
      </c>
      <c r="D145" s="27">
        <f>IF(B145="","",IF(LEN(TRIM(INDEX('PEGAR'!$C$13:$C$512,IF(L145&gt;0,L145,K145))&amp;""))=0,"",TRIM(INDEX('PEGAR'!$C$13:$C$512,IF(L145&gt;0,L145,K145))&amp;"")))</f>
      </c>
      <c r="E145" s="27">
        <f>IF(B145="","",INDEX('PEGAR'!$S$13:$S$512,IF(L145&gt;0,L145,K145)))</f>
      </c>
      <c r="F145" s="39">
        <f>IF(B145="","",IF(L145&gt;0,INDEX('PEGAR'!$F$13:$F$512,L145),""))</f>
      </c>
      <c r="G145" s="39">
        <f>IF(B145="","",IF(OR(M145=0,N145&gt;0,O145&gt;0),"",SUMIFS('PEGAR'!$M$13:$M$512,'PEGAR'!$O$13:$O$512,B145)))</f>
      </c>
      <c r="H145" s="39">
        <f>IF(AND(ISNUMBER(F145),ISNUMBER(G145)),G145-F145,"")</f>
      </c>
      <c r="I145" s="27">
        <f>IF(B145="","",IF(W145=2,"ROJO",IF(W145=1,"ÁMBAR","VERDE")))</f>
      </c>
      <c r="J145" s="30">
        <f>IF(B145="","",IF(W145=0,"Sin avisos numéricos. Revisamos el alcance aparte.",IF(L145=0,"Faltan datos completos de partida; no elegimos un total por suposición."&amp;CHAR(10),"")&amp;IF(N145&gt;0,"Hay filas incompletas o contradictorias; las revisamos en PEGAR."&amp;CHAR(10),"")&amp;IF(O145&gt;0,"Faltan las medidas de alguna fila; no cerramos la suma."&amp;CHAR(10),"")&amp;IF(M145=0,"No constan líneas de medición."&amp;CHAR(10),"")&amp;IF(IF(ISNUMBER(H145),ROUND(ABS(H145),8)&gt;$F$6,FALSE),"Las líneas difieren del total en más de 0,01; confirmamos cantidad o exclusión."&amp;CHAR(10),"")&amp;IF(P145&gt;0,"Parece m³: encontramos tres dimensiones bajo m²."&amp;CHAR(10),"")&amp;IF(R145&gt;0,"Código repetido dentro del capítulo; mantenemos sus ID separados."&amp;CHAR(10),"")&amp;IF(S145&gt;0,"Código repetido en otro capítulo; no unimos las partidas."&amp;CHAR(10),"")&amp;IF(T145&gt;0,"Mismo código con unidades distintas; pedimos aclaración."&amp;CHAR(10),"")&amp;IF(Q145&gt;0,"Hay más precisión que los decimales indicados; cotejamos el formato original."&amp;CHAR(10),"")&amp;IF(U145&gt;0,"Unidad sin normalizar; cotejamos su significado antes de sumar unidades."&amp;CHAR(10),"")&amp;IF(V145&gt;0,"Revisamos dimensiones, cantidades directas, ceros o deducciones en PEGAR."&amp;CHAR(10),"")))</f>
      </c>
      <c r="K145" s="0">
        <f>IF(133&gt;'RESUMEN'!$E$6,"",MATCH(133,'PEGAR'!$W$13:$W$512,0))</f>
      </c>
      <c r="L145" s="0">
        <f>IF(K145="","",INDEX('PEGAR'!$R$13:$R$512,K145))</f>
      </c>
      <c r="M145" s="0">
        <f>IF(B145="","",COUNTIFS('PEGAR'!$O$13:$O$512,B145,'PEGAR'!$P$13:$P$512,"DIMENSIONES")+COUNTIFS('PEGAR'!$O$13:$O$512,B145,'PEGAR'!$P$13:$P$512,"DIRECTA"))</f>
      </c>
      <c r="N145" s="0">
        <f>IF(B145="","",COUNTIFS('PEGAR'!$O$13:$O$512,B145,'PEGAR'!$X$13:$X$512,2))</f>
      </c>
      <c r="O145" s="0">
        <f>IF(B145="","",COUNTIFS('PEGAR'!$O$13:$O$512,B145,'PEGAR'!$P$13:$P$512,"SIN LÍNEAS"))</f>
      </c>
      <c r="P145" s="0">
        <f>IF(B145="","",SUMIFS('PEGAR'!$Y$13:$Y$512,'PEGAR'!$O$13:$O$512,B145))</f>
      </c>
      <c r="Q145" s="0">
        <f>IF(B145="","",SUMIFS('PEGAR'!$Z$13:$Z$512,'PEGAR'!$O$13:$O$512,B145))</f>
      </c>
      <c r="R145" s="0" t="n">
        <f>IF(OR(B145="",D145=""),0,SUMPRODUCT(--($B$13:$B$512&lt;&gt;""),--($D$13:$D$512=D145),--($C$13:$C$512=C145))-1)</f>
        <v>0</v>
      </c>
      <c r="S145" s="0" t="n">
        <f>IF(OR(B145="",D145=""),0,SUMPRODUCT(--($B$13:$B$512&lt;&gt;""),--($D$13:$D$512=D145),--($C$13:$C$512&lt;&gt;C145)))</f>
        <v>0</v>
      </c>
      <c r="T145" s="0" t="n">
        <f>IF(OR(B145="",D145=""),0,SUMPRODUCT(--($B$13:$B$512&lt;&gt;""),--($D$13:$D$512=D145),--($E$13:$E$512&lt;&gt;E145)))</f>
        <v>0</v>
      </c>
      <c r="U145" s="0" t="n">
        <f>IF(B145="",0,IF(SUMPRODUCT(--('LÉEME'!$C$65:$C$86=E145))=0,1,0))</f>
        <v>0</v>
      </c>
      <c r="V145" s="0">
        <f>IF(B145="","",SUMIFS('PEGAR'!$AA$13:$AA$512,'PEGAR'!$O$13:$O$512,B145))</f>
      </c>
      <c r="W145" s="0">
        <f>IF(B145="","",IF(OR(L145=0,N145&gt;0,T145&gt;0,IF(ISNUMBER(H145),ROUND(ABS(H145),8)&gt;$F$6,FALSE)),2,IF(OR(M145=0,O145&gt;0,P145&gt;0,Q145&gt;0,R145&gt;0,S145&gt;0,U145&gt;0,V145&gt;0),1,0)))</f>
      </c>
      <c r="X145" s="0">
        <f>IF(B145="","",IF(ISNUMBER(G145),1,0))</f>
      </c>
      <c r="AB145" s="0">
        <f>IF(AND(ISNUMBER(W145),W145&gt;0),"ID "&amp;B145,"")</f>
      </c>
      <c r="AC145" s="0">
        <f>IF(AND(ISNUMBER(W145),W145&gt;0),C145,"")</f>
      </c>
      <c r="AD145" s="0">
        <f>IF(AND(ISNUMBER(W145),W145&gt;0),D145,"")</f>
      </c>
      <c r="AE145" s="0">
        <f>IF(AND(ISNUMBER(W145),W145&gt;0),IF(INDEX('PEGAR'!$D$13:$D$512,IF(L145&gt;0,L145,K145))="","Sin descripción",INDEX('PEGAR'!$D$13:$D$512,IF(L145&gt;0,L145,K145))),"")</f>
      </c>
      <c r="AF145" s="0">
        <f>IF(AND(ISNUMBER(W145),W145&gt;0),J145,"")</f>
      </c>
      <c r="AG145" s="0" t="n">
        <f>IF(AND(ISNUMBER(W145),W145&gt;0),W145,0)</f>
        <v>0</v>
      </c>
      <c r="AH145" s="0">
        <f>IF(AG145&gt;0,COUNTIFS($AG$13:AG145,"&gt;0"),"")</f>
      </c>
    </row>
    <row r="146" ht="22" customHeight="1">
      <c r="B146" s="27">
        <f>IF(K146="","",INDEX('PEGAR'!$O$13:$O$512,K146))</f>
      </c>
      <c r="C146" s="30">
        <f>IF(B146="","",IF(LEN(TRIM(INDEX('PEGAR'!$B$13:$B$512,IF(L146&gt;0,L146,K146))&amp;""))=0,"Sin capítulo",TRIM(INDEX('PEGAR'!$B$13:$B$512,IF(L146&gt;0,L146,K146))&amp;"")))</f>
      </c>
      <c r="D146" s="27">
        <f>IF(B146="","",IF(LEN(TRIM(INDEX('PEGAR'!$C$13:$C$512,IF(L146&gt;0,L146,K146))&amp;""))=0,"",TRIM(INDEX('PEGAR'!$C$13:$C$512,IF(L146&gt;0,L146,K146))&amp;"")))</f>
      </c>
      <c r="E146" s="27">
        <f>IF(B146="","",INDEX('PEGAR'!$S$13:$S$512,IF(L146&gt;0,L146,K146)))</f>
      </c>
      <c r="F146" s="39">
        <f>IF(B146="","",IF(L146&gt;0,INDEX('PEGAR'!$F$13:$F$512,L146),""))</f>
      </c>
      <c r="G146" s="39">
        <f>IF(B146="","",IF(OR(M146=0,N146&gt;0,O146&gt;0),"",SUMIFS('PEGAR'!$M$13:$M$512,'PEGAR'!$O$13:$O$512,B146)))</f>
      </c>
      <c r="H146" s="39">
        <f>IF(AND(ISNUMBER(F146),ISNUMBER(G146)),G146-F146,"")</f>
      </c>
      <c r="I146" s="27">
        <f>IF(B146="","",IF(W146=2,"ROJO",IF(W146=1,"ÁMBAR","VERDE")))</f>
      </c>
      <c r="J146" s="30">
        <f>IF(B146="","",IF(W146=0,"Sin avisos numéricos. Revisamos el alcance aparte.",IF(L146=0,"Faltan datos completos de partida; no elegimos un total por suposición."&amp;CHAR(10),"")&amp;IF(N146&gt;0,"Hay filas incompletas o contradictorias; las revisamos en PEGAR."&amp;CHAR(10),"")&amp;IF(O146&gt;0,"Faltan las medidas de alguna fila; no cerramos la suma."&amp;CHAR(10),"")&amp;IF(M146=0,"No constan líneas de medición."&amp;CHAR(10),"")&amp;IF(IF(ISNUMBER(H146),ROUND(ABS(H146),8)&gt;$F$6,FALSE),"Las líneas difieren del total en más de 0,01; confirmamos cantidad o exclusión."&amp;CHAR(10),"")&amp;IF(P146&gt;0,"Parece m³: encontramos tres dimensiones bajo m²."&amp;CHAR(10),"")&amp;IF(R146&gt;0,"Código repetido dentro del capítulo; mantenemos sus ID separados."&amp;CHAR(10),"")&amp;IF(S146&gt;0,"Código repetido en otro capítulo; no unimos las partidas."&amp;CHAR(10),"")&amp;IF(T146&gt;0,"Mismo código con unidades distintas; pedimos aclaración."&amp;CHAR(10),"")&amp;IF(Q146&gt;0,"Hay más precisión que los decimales indicados; cotejamos el formato original."&amp;CHAR(10),"")&amp;IF(U146&gt;0,"Unidad sin normalizar; cotejamos su significado antes de sumar unidades."&amp;CHAR(10),"")&amp;IF(V146&gt;0,"Revisamos dimensiones, cantidades directas, ceros o deducciones en PEGAR."&amp;CHAR(10),"")))</f>
      </c>
      <c r="K146" s="0">
        <f>IF(134&gt;'RESUMEN'!$E$6,"",MATCH(134,'PEGAR'!$W$13:$W$512,0))</f>
      </c>
      <c r="L146" s="0">
        <f>IF(K146="","",INDEX('PEGAR'!$R$13:$R$512,K146))</f>
      </c>
      <c r="M146" s="0">
        <f>IF(B146="","",COUNTIFS('PEGAR'!$O$13:$O$512,B146,'PEGAR'!$P$13:$P$512,"DIMENSIONES")+COUNTIFS('PEGAR'!$O$13:$O$512,B146,'PEGAR'!$P$13:$P$512,"DIRECTA"))</f>
      </c>
      <c r="N146" s="0">
        <f>IF(B146="","",COUNTIFS('PEGAR'!$O$13:$O$512,B146,'PEGAR'!$X$13:$X$512,2))</f>
      </c>
      <c r="O146" s="0">
        <f>IF(B146="","",COUNTIFS('PEGAR'!$O$13:$O$512,B146,'PEGAR'!$P$13:$P$512,"SIN LÍNEAS"))</f>
      </c>
      <c r="P146" s="0">
        <f>IF(B146="","",SUMIFS('PEGAR'!$Y$13:$Y$512,'PEGAR'!$O$13:$O$512,B146))</f>
      </c>
      <c r="Q146" s="0">
        <f>IF(B146="","",SUMIFS('PEGAR'!$Z$13:$Z$512,'PEGAR'!$O$13:$O$512,B146))</f>
      </c>
      <c r="R146" s="0" t="n">
        <f>IF(OR(B146="",D146=""),0,SUMPRODUCT(--($B$13:$B$512&lt;&gt;""),--($D$13:$D$512=D146),--($C$13:$C$512=C146))-1)</f>
        <v>0</v>
      </c>
      <c r="S146" s="0" t="n">
        <f>IF(OR(B146="",D146=""),0,SUMPRODUCT(--($B$13:$B$512&lt;&gt;""),--($D$13:$D$512=D146),--($C$13:$C$512&lt;&gt;C146)))</f>
        <v>0</v>
      </c>
      <c r="T146" s="0" t="n">
        <f>IF(OR(B146="",D146=""),0,SUMPRODUCT(--($B$13:$B$512&lt;&gt;""),--($D$13:$D$512=D146),--($E$13:$E$512&lt;&gt;E146)))</f>
        <v>0</v>
      </c>
      <c r="U146" s="0" t="n">
        <f>IF(B146="",0,IF(SUMPRODUCT(--('LÉEME'!$C$65:$C$86=E146))=0,1,0))</f>
        <v>0</v>
      </c>
      <c r="V146" s="0">
        <f>IF(B146="","",SUMIFS('PEGAR'!$AA$13:$AA$512,'PEGAR'!$O$13:$O$512,B146))</f>
      </c>
      <c r="W146" s="0">
        <f>IF(B146="","",IF(OR(L146=0,N146&gt;0,T146&gt;0,IF(ISNUMBER(H146),ROUND(ABS(H146),8)&gt;$F$6,FALSE)),2,IF(OR(M146=0,O146&gt;0,P146&gt;0,Q146&gt;0,R146&gt;0,S146&gt;0,U146&gt;0,V146&gt;0),1,0)))</f>
      </c>
      <c r="X146" s="0">
        <f>IF(B146="","",IF(ISNUMBER(G146),1,0))</f>
      </c>
      <c r="AB146" s="0">
        <f>IF(AND(ISNUMBER(W146),W146&gt;0),"ID "&amp;B146,"")</f>
      </c>
      <c r="AC146" s="0">
        <f>IF(AND(ISNUMBER(W146),W146&gt;0),C146,"")</f>
      </c>
      <c r="AD146" s="0">
        <f>IF(AND(ISNUMBER(W146),W146&gt;0),D146,"")</f>
      </c>
      <c r="AE146" s="0">
        <f>IF(AND(ISNUMBER(W146),W146&gt;0),IF(INDEX('PEGAR'!$D$13:$D$512,IF(L146&gt;0,L146,K146))="","Sin descripción",INDEX('PEGAR'!$D$13:$D$512,IF(L146&gt;0,L146,K146))),"")</f>
      </c>
      <c r="AF146" s="0">
        <f>IF(AND(ISNUMBER(W146),W146&gt;0),J146,"")</f>
      </c>
      <c r="AG146" s="0" t="n">
        <f>IF(AND(ISNUMBER(W146),W146&gt;0),W146,0)</f>
        <v>0</v>
      </c>
      <c r="AH146" s="0">
        <f>IF(AG146&gt;0,COUNTIFS($AG$13:AG146,"&gt;0"),"")</f>
      </c>
    </row>
    <row r="147" ht="22" customHeight="1">
      <c r="B147" s="27">
        <f>IF(K147="","",INDEX('PEGAR'!$O$13:$O$512,K147))</f>
      </c>
      <c r="C147" s="30">
        <f>IF(B147="","",IF(LEN(TRIM(INDEX('PEGAR'!$B$13:$B$512,IF(L147&gt;0,L147,K147))&amp;""))=0,"Sin capítulo",TRIM(INDEX('PEGAR'!$B$13:$B$512,IF(L147&gt;0,L147,K147))&amp;"")))</f>
      </c>
      <c r="D147" s="27">
        <f>IF(B147="","",IF(LEN(TRIM(INDEX('PEGAR'!$C$13:$C$512,IF(L147&gt;0,L147,K147))&amp;""))=0,"",TRIM(INDEX('PEGAR'!$C$13:$C$512,IF(L147&gt;0,L147,K147))&amp;"")))</f>
      </c>
      <c r="E147" s="27">
        <f>IF(B147="","",INDEX('PEGAR'!$S$13:$S$512,IF(L147&gt;0,L147,K147)))</f>
      </c>
      <c r="F147" s="39">
        <f>IF(B147="","",IF(L147&gt;0,INDEX('PEGAR'!$F$13:$F$512,L147),""))</f>
      </c>
      <c r="G147" s="39">
        <f>IF(B147="","",IF(OR(M147=0,N147&gt;0,O147&gt;0),"",SUMIFS('PEGAR'!$M$13:$M$512,'PEGAR'!$O$13:$O$512,B147)))</f>
      </c>
      <c r="H147" s="39">
        <f>IF(AND(ISNUMBER(F147),ISNUMBER(G147)),G147-F147,"")</f>
      </c>
      <c r="I147" s="27">
        <f>IF(B147="","",IF(W147=2,"ROJO",IF(W147=1,"ÁMBAR","VERDE")))</f>
      </c>
      <c r="J147" s="30">
        <f>IF(B147="","",IF(W147=0,"Sin avisos numéricos. Revisamos el alcance aparte.",IF(L147=0,"Faltan datos completos de partida; no elegimos un total por suposición."&amp;CHAR(10),"")&amp;IF(N147&gt;0,"Hay filas incompletas o contradictorias; las revisamos en PEGAR."&amp;CHAR(10),"")&amp;IF(O147&gt;0,"Faltan las medidas de alguna fila; no cerramos la suma."&amp;CHAR(10),"")&amp;IF(M147=0,"No constan líneas de medición."&amp;CHAR(10),"")&amp;IF(IF(ISNUMBER(H147),ROUND(ABS(H147),8)&gt;$F$6,FALSE),"Las líneas difieren del total en más de 0,01; confirmamos cantidad o exclusión."&amp;CHAR(10),"")&amp;IF(P147&gt;0,"Parece m³: encontramos tres dimensiones bajo m²."&amp;CHAR(10),"")&amp;IF(R147&gt;0,"Código repetido dentro del capítulo; mantenemos sus ID separados."&amp;CHAR(10),"")&amp;IF(S147&gt;0,"Código repetido en otro capítulo; no unimos las partidas."&amp;CHAR(10),"")&amp;IF(T147&gt;0,"Mismo código con unidades distintas; pedimos aclaración."&amp;CHAR(10),"")&amp;IF(Q147&gt;0,"Hay más precisión que los decimales indicados; cotejamos el formato original."&amp;CHAR(10),"")&amp;IF(U147&gt;0,"Unidad sin normalizar; cotejamos su significado antes de sumar unidades."&amp;CHAR(10),"")&amp;IF(V147&gt;0,"Revisamos dimensiones, cantidades directas, ceros o deducciones en PEGAR."&amp;CHAR(10),"")))</f>
      </c>
      <c r="K147" s="0">
        <f>IF(135&gt;'RESUMEN'!$E$6,"",MATCH(135,'PEGAR'!$W$13:$W$512,0))</f>
      </c>
      <c r="L147" s="0">
        <f>IF(K147="","",INDEX('PEGAR'!$R$13:$R$512,K147))</f>
      </c>
      <c r="M147" s="0">
        <f>IF(B147="","",COUNTIFS('PEGAR'!$O$13:$O$512,B147,'PEGAR'!$P$13:$P$512,"DIMENSIONES")+COUNTIFS('PEGAR'!$O$13:$O$512,B147,'PEGAR'!$P$13:$P$512,"DIRECTA"))</f>
      </c>
      <c r="N147" s="0">
        <f>IF(B147="","",COUNTIFS('PEGAR'!$O$13:$O$512,B147,'PEGAR'!$X$13:$X$512,2))</f>
      </c>
      <c r="O147" s="0">
        <f>IF(B147="","",COUNTIFS('PEGAR'!$O$13:$O$512,B147,'PEGAR'!$P$13:$P$512,"SIN LÍNEAS"))</f>
      </c>
      <c r="P147" s="0">
        <f>IF(B147="","",SUMIFS('PEGAR'!$Y$13:$Y$512,'PEGAR'!$O$13:$O$512,B147))</f>
      </c>
      <c r="Q147" s="0">
        <f>IF(B147="","",SUMIFS('PEGAR'!$Z$13:$Z$512,'PEGAR'!$O$13:$O$512,B147))</f>
      </c>
      <c r="R147" s="0" t="n">
        <f>IF(OR(B147="",D147=""),0,SUMPRODUCT(--($B$13:$B$512&lt;&gt;""),--($D$13:$D$512=D147),--($C$13:$C$512=C147))-1)</f>
        <v>0</v>
      </c>
      <c r="S147" s="0" t="n">
        <f>IF(OR(B147="",D147=""),0,SUMPRODUCT(--($B$13:$B$512&lt;&gt;""),--($D$13:$D$512=D147),--($C$13:$C$512&lt;&gt;C147)))</f>
        <v>0</v>
      </c>
      <c r="T147" s="0" t="n">
        <f>IF(OR(B147="",D147=""),0,SUMPRODUCT(--($B$13:$B$512&lt;&gt;""),--($D$13:$D$512=D147),--($E$13:$E$512&lt;&gt;E147)))</f>
        <v>0</v>
      </c>
      <c r="U147" s="0" t="n">
        <f>IF(B147="",0,IF(SUMPRODUCT(--('LÉEME'!$C$65:$C$86=E147))=0,1,0))</f>
        <v>0</v>
      </c>
      <c r="V147" s="0">
        <f>IF(B147="","",SUMIFS('PEGAR'!$AA$13:$AA$512,'PEGAR'!$O$13:$O$512,B147))</f>
      </c>
      <c r="W147" s="0">
        <f>IF(B147="","",IF(OR(L147=0,N147&gt;0,T147&gt;0,IF(ISNUMBER(H147),ROUND(ABS(H147),8)&gt;$F$6,FALSE)),2,IF(OR(M147=0,O147&gt;0,P147&gt;0,Q147&gt;0,R147&gt;0,S147&gt;0,U147&gt;0,V147&gt;0),1,0)))</f>
      </c>
      <c r="X147" s="0">
        <f>IF(B147="","",IF(ISNUMBER(G147),1,0))</f>
      </c>
      <c r="AB147" s="0">
        <f>IF(AND(ISNUMBER(W147),W147&gt;0),"ID "&amp;B147,"")</f>
      </c>
      <c r="AC147" s="0">
        <f>IF(AND(ISNUMBER(W147),W147&gt;0),C147,"")</f>
      </c>
      <c r="AD147" s="0">
        <f>IF(AND(ISNUMBER(W147),W147&gt;0),D147,"")</f>
      </c>
      <c r="AE147" s="0">
        <f>IF(AND(ISNUMBER(W147),W147&gt;0),IF(INDEX('PEGAR'!$D$13:$D$512,IF(L147&gt;0,L147,K147))="","Sin descripción",INDEX('PEGAR'!$D$13:$D$512,IF(L147&gt;0,L147,K147))),"")</f>
      </c>
      <c r="AF147" s="0">
        <f>IF(AND(ISNUMBER(W147),W147&gt;0),J147,"")</f>
      </c>
      <c r="AG147" s="0" t="n">
        <f>IF(AND(ISNUMBER(W147),W147&gt;0),W147,0)</f>
        <v>0</v>
      </c>
      <c r="AH147" s="0">
        <f>IF(AG147&gt;0,COUNTIFS($AG$13:AG147,"&gt;0"),"")</f>
      </c>
    </row>
    <row r="148" ht="22" customHeight="1">
      <c r="B148" s="27">
        <f>IF(K148="","",INDEX('PEGAR'!$O$13:$O$512,K148))</f>
      </c>
      <c r="C148" s="30">
        <f>IF(B148="","",IF(LEN(TRIM(INDEX('PEGAR'!$B$13:$B$512,IF(L148&gt;0,L148,K148))&amp;""))=0,"Sin capítulo",TRIM(INDEX('PEGAR'!$B$13:$B$512,IF(L148&gt;0,L148,K148))&amp;"")))</f>
      </c>
      <c r="D148" s="27">
        <f>IF(B148="","",IF(LEN(TRIM(INDEX('PEGAR'!$C$13:$C$512,IF(L148&gt;0,L148,K148))&amp;""))=0,"",TRIM(INDEX('PEGAR'!$C$13:$C$512,IF(L148&gt;0,L148,K148))&amp;"")))</f>
      </c>
      <c r="E148" s="27">
        <f>IF(B148="","",INDEX('PEGAR'!$S$13:$S$512,IF(L148&gt;0,L148,K148)))</f>
      </c>
      <c r="F148" s="39">
        <f>IF(B148="","",IF(L148&gt;0,INDEX('PEGAR'!$F$13:$F$512,L148),""))</f>
      </c>
      <c r="G148" s="39">
        <f>IF(B148="","",IF(OR(M148=0,N148&gt;0,O148&gt;0),"",SUMIFS('PEGAR'!$M$13:$M$512,'PEGAR'!$O$13:$O$512,B148)))</f>
      </c>
      <c r="H148" s="39">
        <f>IF(AND(ISNUMBER(F148),ISNUMBER(G148)),G148-F148,"")</f>
      </c>
      <c r="I148" s="27">
        <f>IF(B148="","",IF(W148=2,"ROJO",IF(W148=1,"ÁMBAR","VERDE")))</f>
      </c>
      <c r="J148" s="30">
        <f>IF(B148="","",IF(W148=0,"Sin avisos numéricos. Revisamos el alcance aparte.",IF(L148=0,"Faltan datos completos de partida; no elegimos un total por suposición."&amp;CHAR(10),"")&amp;IF(N148&gt;0,"Hay filas incompletas o contradictorias; las revisamos en PEGAR."&amp;CHAR(10),"")&amp;IF(O148&gt;0,"Faltan las medidas de alguna fila; no cerramos la suma."&amp;CHAR(10),"")&amp;IF(M148=0,"No constan líneas de medición."&amp;CHAR(10),"")&amp;IF(IF(ISNUMBER(H148),ROUND(ABS(H148),8)&gt;$F$6,FALSE),"Las líneas difieren del total en más de 0,01; confirmamos cantidad o exclusión."&amp;CHAR(10),"")&amp;IF(P148&gt;0,"Parece m³: encontramos tres dimensiones bajo m²."&amp;CHAR(10),"")&amp;IF(R148&gt;0,"Código repetido dentro del capítulo; mantenemos sus ID separados."&amp;CHAR(10),"")&amp;IF(S148&gt;0,"Código repetido en otro capítulo; no unimos las partidas."&amp;CHAR(10),"")&amp;IF(T148&gt;0,"Mismo código con unidades distintas; pedimos aclaración."&amp;CHAR(10),"")&amp;IF(Q148&gt;0,"Hay más precisión que los decimales indicados; cotejamos el formato original."&amp;CHAR(10),"")&amp;IF(U148&gt;0,"Unidad sin normalizar; cotejamos su significado antes de sumar unidades."&amp;CHAR(10),"")&amp;IF(V148&gt;0,"Revisamos dimensiones, cantidades directas, ceros o deducciones en PEGAR."&amp;CHAR(10),"")))</f>
      </c>
      <c r="K148" s="0">
        <f>IF(136&gt;'RESUMEN'!$E$6,"",MATCH(136,'PEGAR'!$W$13:$W$512,0))</f>
      </c>
      <c r="L148" s="0">
        <f>IF(K148="","",INDEX('PEGAR'!$R$13:$R$512,K148))</f>
      </c>
      <c r="M148" s="0">
        <f>IF(B148="","",COUNTIFS('PEGAR'!$O$13:$O$512,B148,'PEGAR'!$P$13:$P$512,"DIMENSIONES")+COUNTIFS('PEGAR'!$O$13:$O$512,B148,'PEGAR'!$P$13:$P$512,"DIRECTA"))</f>
      </c>
      <c r="N148" s="0">
        <f>IF(B148="","",COUNTIFS('PEGAR'!$O$13:$O$512,B148,'PEGAR'!$X$13:$X$512,2))</f>
      </c>
      <c r="O148" s="0">
        <f>IF(B148="","",COUNTIFS('PEGAR'!$O$13:$O$512,B148,'PEGAR'!$P$13:$P$512,"SIN LÍNEAS"))</f>
      </c>
      <c r="P148" s="0">
        <f>IF(B148="","",SUMIFS('PEGAR'!$Y$13:$Y$512,'PEGAR'!$O$13:$O$512,B148))</f>
      </c>
      <c r="Q148" s="0">
        <f>IF(B148="","",SUMIFS('PEGAR'!$Z$13:$Z$512,'PEGAR'!$O$13:$O$512,B148))</f>
      </c>
      <c r="R148" s="0" t="n">
        <f>IF(OR(B148="",D148=""),0,SUMPRODUCT(--($B$13:$B$512&lt;&gt;""),--($D$13:$D$512=D148),--($C$13:$C$512=C148))-1)</f>
        <v>0</v>
      </c>
      <c r="S148" s="0" t="n">
        <f>IF(OR(B148="",D148=""),0,SUMPRODUCT(--($B$13:$B$512&lt;&gt;""),--($D$13:$D$512=D148),--($C$13:$C$512&lt;&gt;C148)))</f>
        <v>0</v>
      </c>
      <c r="T148" s="0" t="n">
        <f>IF(OR(B148="",D148=""),0,SUMPRODUCT(--($B$13:$B$512&lt;&gt;""),--($D$13:$D$512=D148),--($E$13:$E$512&lt;&gt;E148)))</f>
        <v>0</v>
      </c>
      <c r="U148" s="0" t="n">
        <f>IF(B148="",0,IF(SUMPRODUCT(--('LÉEME'!$C$65:$C$86=E148))=0,1,0))</f>
        <v>0</v>
      </c>
      <c r="V148" s="0">
        <f>IF(B148="","",SUMIFS('PEGAR'!$AA$13:$AA$512,'PEGAR'!$O$13:$O$512,B148))</f>
      </c>
      <c r="W148" s="0">
        <f>IF(B148="","",IF(OR(L148=0,N148&gt;0,T148&gt;0,IF(ISNUMBER(H148),ROUND(ABS(H148),8)&gt;$F$6,FALSE)),2,IF(OR(M148=0,O148&gt;0,P148&gt;0,Q148&gt;0,R148&gt;0,S148&gt;0,U148&gt;0,V148&gt;0),1,0)))</f>
      </c>
      <c r="X148" s="0">
        <f>IF(B148="","",IF(ISNUMBER(G148),1,0))</f>
      </c>
      <c r="AB148" s="0">
        <f>IF(AND(ISNUMBER(W148),W148&gt;0),"ID "&amp;B148,"")</f>
      </c>
      <c r="AC148" s="0">
        <f>IF(AND(ISNUMBER(W148),W148&gt;0),C148,"")</f>
      </c>
      <c r="AD148" s="0">
        <f>IF(AND(ISNUMBER(W148),W148&gt;0),D148,"")</f>
      </c>
      <c r="AE148" s="0">
        <f>IF(AND(ISNUMBER(W148),W148&gt;0),IF(INDEX('PEGAR'!$D$13:$D$512,IF(L148&gt;0,L148,K148))="","Sin descripción",INDEX('PEGAR'!$D$13:$D$512,IF(L148&gt;0,L148,K148))),"")</f>
      </c>
      <c r="AF148" s="0">
        <f>IF(AND(ISNUMBER(W148),W148&gt;0),J148,"")</f>
      </c>
      <c r="AG148" s="0" t="n">
        <f>IF(AND(ISNUMBER(W148),W148&gt;0),W148,0)</f>
        <v>0</v>
      </c>
      <c r="AH148" s="0">
        <f>IF(AG148&gt;0,COUNTIFS($AG$13:AG148,"&gt;0"),"")</f>
      </c>
    </row>
    <row r="149" ht="22" customHeight="1">
      <c r="B149" s="27">
        <f>IF(K149="","",INDEX('PEGAR'!$O$13:$O$512,K149))</f>
      </c>
      <c r="C149" s="30">
        <f>IF(B149="","",IF(LEN(TRIM(INDEX('PEGAR'!$B$13:$B$512,IF(L149&gt;0,L149,K149))&amp;""))=0,"Sin capítulo",TRIM(INDEX('PEGAR'!$B$13:$B$512,IF(L149&gt;0,L149,K149))&amp;"")))</f>
      </c>
      <c r="D149" s="27">
        <f>IF(B149="","",IF(LEN(TRIM(INDEX('PEGAR'!$C$13:$C$512,IF(L149&gt;0,L149,K149))&amp;""))=0,"",TRIM(INDEX('PEGAR'!$C$13:$C$512,IF(L149&gt;0,L149,K149))&amp;"")))</f>
      </c>
      <c r="E149" s="27">
        <f>IF(B149="","",INDEX('PEGAR'!$S$13:$S$512,IF(L149&gt;0,L149,K149)))</f>
      </c>
      <c r="F149" s="39">
        <f>IF(B149="","",IF(L149&gt;0,INDEX('PEGAR'!$F$13:$F$512,L149),""))</f>
      </c>
      <c r="G149" s="39">
        <f>IF(B149="","",IF(OR(M149=0,N149&gt;0,O149&gt;0),"",SUMIFS('PEGAR'!$M$13:$M$512,'PEGAR'!$O$13:$O$512,B149)))</f>
      </c>
      <c r="H149" s="39">
        <f>IF(AND(ISNUMBER(F149),ISNUMBER(G149)),G149-F149,"")</f>
      </c>
      <c r="I149" s="27">
        <f>IF(B149="","",IF(W149=2,"ROJO",IF(W149=1,"ÁMBAR","VERDE")))</f>
      </c>
      <c r="J149" s="30">
        <f>IF(B149="","",IF(W149=0,"Sin avisos numéricos. Revisamos el alcance aparte.",IF(L149=0,"Faltan datos completos de partida; no elegimos un total por suposición."&amp;CHAR(10),"")&amp;IF(N149&gt;0,"Hay filas incompletas o contradictorias; las revisamos en PEGAR."&amp;CHAR(10),"")&amp;IF(O149&gt;0,"Faltan las medidas de alguna fila; no cerramos la suma."&amp;CHAR(10),"")&amp;IF(M149=0,"No constan líneas de medición."&amp;CHAR(10),"")&amp;IF(IF(ISNUMBER(H149),ROUND(ABS(H149),8)&gt;$F$6,FALSE),"Las líneas difieren del total en más de 0,01; confirmamos cantidad o exclusión."&amp;CHAR(10),"")&amp;IF(P149&gt;0,"Parece m³: encontramos tres dimensiones bajo m²."&amp;CHAR(10),"")&amp;IF(R149&gt;0,"Código repetido dentro del capítulo; mantenemos sus ID separados."&amp;CHAR(10),"")&amp;IF(S149&gt;0,"Código repetido en otro capítulo; no unimos las partidas."&amp;CHAR(10),"")&amp;IF(T149&gt;0,"Mismo código con unidades distintas; pedimos aclaración."&amp;CHAR(10),"")&amp;IF(Q149&gt;0,"Hay más precisión que los decimales indicados; cotejamos el formato original."&amp;CHAR(10),"")&amp;IF(U149&gt;0,"Unidad sin normalizar; cotejamos su significado antes de sumar unidades."&amp;CHAR(10),"")&amp;IF(V149&gt;0,"Revisamos dimensiones, cantidades directas, ceros o deducciones en PEGAR."&amp;CHAR(10),"")))</f>
      </c>
      <c r="K149" s="0">
        <f>IF(137&gt;'RESUMEN'!$E$6,"",MATCH(137,'PEGAR'!$W$13:$W$512,0))</f>
      </c>
      <c r="L149" s="0">
        <f>IF(K149="","",INDEX('PEGAR'!$R$13:$R$512,K149))</f>
      </c>
      <c r="M149" s="0">
        <f>IF(B149="","",COUNTIFS('PEGAR'!$O$13:$O$512,B149,'PEGAR'!$P$13:$P$512,"DIMENSIONES")+COUNTIFS('PEGAR'!$O$13:$O$512,B149,'PEGAR'!$P$13:$P$512,"DIRECTA"))</f>
      </c>
      <c r="N149" s="0">
        <f>IF(B149="","",COUNTIFS('PEGAR'!$O$13:$O$512,B149,'PEGAR'!$X$13:$X$512,2))</f>
      </c>
      <c r="O149" s="0">
        <f>IF(B149="","",COUNTIFS('PEGAR'!$O$13:$O$512,B149,'PEGAR'!$P$13:$P$512,"SIN LÍNEAS"))</f>
      </c>
      <c r="P149" s="0">
        <f>IF(B149="","",SUMIFS('PEGAR'!$Y$13:$Y$512,'PEGAR'!$O$13:$O$512,B149))</f>
      </c>
      <c r="Q149" s="0">
        <f>IF(B149="","",SUMIFS('PEGAR'!$Z$13:$Z$512,'PEGAR'!$O$13:$O$512,B149))</f>
      </c>
      <c r="R149" s="0" t="n">
        <f>IF(OR(B149="",D149=""),0,SUMPRODUCT(--($B$13:$B$512&lt;&gt;""),--($D$13:$D$512=D149),--($C$13:$C$512=C149))-1)</f>
        <v>0</v>
      </c>
      <c r="S149" s="0" t="n">
        <f>IF(OR(B149="",D149=""),0,SUMPRODUCT(--($B$13:$B$512&lt;&gt;""),--($D$13:$D$512=D149),--($C$13:$C$512&lt;&gt;C149)))</f>
        <v>0</v>
      </c>
      <c r="T149" s="0" t="n">
        <f>IF(OR(B149="",D149=""),0,SUMPRODUCT(--($B$13:$B$512&lt;&gt;""),--($D$13:$D$512=D149),--($E$13:$E$512&lt;&gt;E149)))</f>
        <v>0</v>
      </c>
      <c r="U149" s="0" t="n">
        <f>IF(B149="",0,IF(SUMPRODUCT(--('LÉEME'!$C$65:$C$86=E149))=0,1,0))</f>
        <v>0</v>
      </c>
      <c r="V149" s="0">
        <f>IF(B149="","",SUMIFS('PEGAR'!$AA$13:$AA$512,'PEGAR'!$O$13:$O$512,B149))</f>
      </c>
      <c r="W149" s="0">
        <f>IF(B149="","",IF(OR(L149=0,N149&gt;0,T149&gt;0,IF(ISNUMBER(H149),ROUND(ABS(H149),8)&gt;$F$6,FALSE)),2,IF(OR(M149=0,O149&gt;0,P149&gt;0,Q149&gt;0,R149&gt;0,S149&gt;0,U149&gt;0,V149&gt;0),1,0)))</f>
      </c>
      <c r="X149" s="0">
        <f>IF(B149="","",IF(ISNUMBER(G149),1,0))</f>
      </c>
      <c r="AB149" s="0">
        <f>IF(AND(ISNUMBER(W149),W149&gt;0),"ID "&amp;B149,"")</f>
      </c>
      <c r="AC149" s="0">
        <f>IF(AND(ISNUMBER(W149),W149&gt;0),C149,"")</f>
      </c>
      <c r="AD149" s="0">
        <f>IF(AND(ISNUMBER(W149),W149&gt;0),D149,"")</f>
      </c>
      <c r="AE149" s="0">
        <f>IF(AND(ISNUMBER(W149),W149&gt;0),IF(INDEX('PEGAR'!$D$13:$D$512,IF(L149&gt;0,L149,K149))="","Sin descripción",INDEX('PEGAR'!$D$13:$D$512,IF(L149&gt;0,L149,K149))),"")</f>
      </c>
      <c r="AF149" s="0">
        <f>IF(AND(ISNUMBER(W149),W149&gt;0),J149,"")</f>
      </c>
      <c r="AG149" s="0" t="n">
        <f>IF(AND(ISNUMBER(W149),W149&gt;0),W149,0)</f>
        <v>0</v>
      </c>
      <c r="AH149" s="0">
        <f>IF(AG149&gt;0,COUNTIFS($AG$13:AG149,"&gt;0"),"")</f>
      </c>
    </row>
    <row r="150" ht="22" customHeight="1">
      <c r="B150" s="27">
        <f>IF(K150="","",INDEX('PEGAR'!$O$13:$O$512,K150))</f>
      </c>
      <c r="C150" s="30">
        <f>IF(B150="","",IF(LEN(TRIM(INDEX('PEGAR'!$B$13:$B$512,IF(L150&gt;0,L150,K150))&amp;""))=0,"Sin capítulo",TRIM(INDEX('PEGAR'!$B$13:$B$512,IF(L150&gt;0,L150,K150))&amp;"")))</f>
      </c>
      <c r="D150" s="27">
        <f>IF(B150="","",IF(LEN(TRIM(INDEX('PEGAR'!$C$13:$C$512,IF(L150&gt;0,L150,K150))&amp;""))=0,"",TRIM(INDEX('PEGAR'!$C$13:$C$512,IF(L150&gt;0,L150,K150))&amp;"")))</f>
      </c>
      <c r="E150" s="27">
        <f>IF(B150="","",INDEX('PEGAR'!$S$13:$S$512,IF(L150&gt;0,L150,K150)))</f>
      </c>
      <c r="F150" s="39">
        <f>IF(B150="","",IF(L150&gt;0,INDEX('PEGAR'!$F$13:$F$512,L150),""))</f>
      </c>
      <c r="G150" s="39">
        <f>IF(B150="","",IF(OR(M150=0,N150&gt;0,O150&gt;0),"",SUMIFS('PEGAR'!$M$13:$M$512,'PEGAR'!$O$13:$O$512,B150)))</f>
      </c>
      <c r="H150" s="39">
        <f>IF(AND(ISNUMBER(F150),ISNUMBER(G150)),G150-F150,"")</f>
      </c>
      <c r="I150" s="27">
        <f>IF(B150="","",IF(W150=2,"ROJO",IF(W150=1,"ÁMBAR","VERDE")))</f>
      </c>
      <c r="J150" s="30">
        <f>IF(B150="","",IF(W150=0,"Sin avisos numéricos. Revisamos el alcance aparte.",IF(L150=0,"Faltan datos completos de partida; no elegimos un total por suposición."&amp;CHAR(10),"")&amp;IF(N150&gt;0,"Hay filas incompletas o contradictorias; las revisamos en PEGAR."&amp;CHAR(10),"")&amp;IF(O150&gt;0,"Faltan las medidas de alguna fila; no cerramos la suma."&amp;CHAR(10),"")&amp;IF(M150=0,"No constan líneas de medición."&amp;CHAR(10),"")&amp;IF(IF(ISNUMBER(H150),ROUND(ABS(H150),8)&gt;$F$6,FALSE),"Las líneas difieren del total en más de 0,01; confirmamos cantidad o exclusión."&amp;CHAR(10),"")&amp;IF(P150&gt;0,"Parece m³: encontramos tres dimensiones bajo m²."&amp;CHAR(10),"")&amp;IF(R150&gt;0,"Código repetido dentro del capítulo; mantenemos sus ID separados."&amp;CHAR(10),"")&amp;IF(S150&gt;0,"Código repetido en otro capítulo; no unimos las partidas."&amp;CHAR(10),"")&amp;IF(T150&gt;0,"Mismo código con unidades distintas; pedimos aclaración."&amp;CHAR(10),"")&amp;IF(Q150&gt;0,"Hay más precisión que los decimales indicados; cotejamos el formato original."&amp;CHAR(10),"")&amp;IF(U150&gt;0,"Unidad sin normalizar; cotejamos su significado antes de sumar unidades."&amp;CHAR(10),"")&amp;IF(V150&gt;0,"Revisamos dimensiones, cantidades directas, ceros o deducciones en PEGAR."&amp;CHAR(10),"")))</f>
      </c>
      <c r="K150" s="0">
        <f>IF(138&gt;'RESUMEN'!$E$6,"",MATCH(138,'PEGAR'!$W$13:$W$512,0))</f>
      </c>
      <c r="L150" s="0">
        <f>IF(K150="","",INDEX('PEGAR'!$R$13:$R$512,K150))</f>
      </c>
      <c r="M150" s="0">
        <f>IF(B150="","",COUNTIFS('PEGAR'!$O$13:$O$512,B150,'PEGAR'!$P$13:$P$512,"DIMENSIONES")+COUNTIFS('PEGAR'!$O$13:$O$512,B150,'PEGAR'!$P$13:$P$512,"DIRECTA"))</f>
      </c>
      <c r="N150" s="0">
        <f>IF(B150="","",COUNTIFS('PEGAR'!$O$13:$O$512,B150,'PEGAR'!$X$13:$X$512,2))</f>
      </c>
      <c r="O150" s="0">
        <f>IF(B150="","",COUNTIFS('PEGAR'!$O$13:$O$512,B150,'PEGAR'!$P$13:$P$512,"SIN LÍNEAS"))</f>
      </c>
      <c r="P150" s="0">
        <f>IF(B150="","",SUMIFS('PEGAR'!$Y$13:$Y$512,'PEGAR'!$O$13:$O$512,B150))</f>
      </c>
      <c r="Q150" s="0">
        <f>IF(B150="","",SUMIFS('PEGAR'!$Z$13:$Z$512,'PEGAR'!$O$13:$O$512,B150))</f>
      </c>
      <c r="R150" s="0" t="n">
        <f>IF(OR(B150="",D150=""),0,SUMPRODUCT(--($B$13:$B$512&lt;&gt;""),--($D$13:$D$512=D150),--($C$13:$C$512=C150))-1)</f>
        <v>0</v>
      </c>
      <c r="S150" s="0" t="n">
        <f>IF(OR(B150="",D150=""),0,SUMPRODUCT(--($B$13:$B$512&lt;&gt;""),--($D$13:$D$512=D150),--($C$13:$C$512&lt;&gt;C150)))</f>
        <v>0</v>
      </c>
      <c r="T150" s="0" t="n">
        <f>IF(OR(B150="",D150=""),0,SUMPRODUCT(--($B$13:$B$512&lt;&gt;""),--($D$13:$D$512=D150),--($E$13:$E$512&lt;&gt;E150)))</f>
        <v>0</v>
      </c>
      <c r="U150" s="0" t="n">
        <f>IF(B150="",0,IF(SUMPRODUCT(--('LÉEME'!$C$65:$C$86=E150))=0,1,0))</f>
        <v>0</v>
      </c>
      <c r="V150" s="0">
        <f>IF(B150="","",SUMIFS('PEGAR'!$AA$13:$AA$512,'PEGAR'!$O$13:$O$512,B150))</f>
      </c>
      <c r="W150" s="0">
        <f>IF(B150="","",IF(OR(L150=0,N150&gt;0,T150&gt;0,IF(ISNUMBER(H150),ROUND(ABS(H150),8)&gt;$F$6,FALSE)),2,IF(OR(M150=0,O150&gt;0,P150&gt;0,Q150&gt;0,R150&gt;0,S150&gt;0,U150&gt;0,V150&gt;0),1,0)))</f>
      </c>
      <c r="X150" s="0">
        <f>IF(B150="","",IF(ISNUMBER(G150),1,0))</f>
      </c>
      <c r="AB150" s="0">
        <f>IF(AND(ISNUMBER(W150),W150&gt;0),"ID "&amp;B150,"")</f>
      </c>
      <c r="AC150" s="0">
        <f>IF(AND(ISNUMBER(W150),W150&gt;0),C150,"")</f>
      </c>
      <c r="AD150" s="0">
        <f>IF(AND(ISNUMBER(W150),W150&gt;0),D150,"")</f>
      </c>
      <c r="AE150" s="0">
        <f>IF(AND(ISNUMBER(W150),W150&gt;0),IF(INDEX('PEGAR'!$D$13:$D$512,IF(L150&gt;0,L150,K150))="","Sin descripción",INDEX('PEGAR'!$D$13:$D$512,IF(L150&gt;0,L150,K150))),"")</f>
      </c>
      <c r="AF150" s="0">
        <f>IF(AND(ISNUMBER(W150),W150&gt;0),J150,"")</f>
      </c>
      <c r="AG150" s="0" t="n">
        <f>IF(AND(ISNUMBER(W150),W150&gt;0),W150,0)</f>
        <v>0</v>
      </c>
      <c r="AH150" s="0">
        <f>IF(AG150&gt;0,COUNTIFS($AG$13:AG150,"&gt;0"),"")</f>
      </c>
    </row>
    <row r="151" ht="22" customHeight="1">
      <c r="B151" s="27">
        <f>IF(K151="","",INDEX('PEGAR'!$O$13:$O$512,K151))</f>
      </c>
      <c r="C151" s="30">
        <f>IF(B151="","",IF(LEN(TRIM(INDEX('PEGAR'!$B$13:$B$512,IF(L151&gt;0,L151,K151))&amp;""))=0,"Sin capítulo",TRIM(INDEX('PEGAR'!$B$13:$B$512,IF(L151&gt;0,L151,K151))&amp;"")))</f>
      </c>
      <c r="D151" s="27">
        <f>IF(B151="","",IF(LEN(TRIM(INDEX('PEGAR'!$C$13:$C$512,IF(L151&gt;0,L151,K151))&amp;""))=0,"",TRIM(INDEX('PEGAR'!$C$13:$C$512,IF(L151&gt;0,L151,K151))&amp;"")))</f>
      </c>
      <c r="E151" s="27">
        <f>IF(B151="","",INDEX('PEGAR'!$S$13:$S$512,IF(L151&gt;0,L151,K151)))</f>
      </c>
      <c r="F151" s="39">
        <f>IF(B151="","",IF(L151&gt;0,INDEX('PEGAR'!$F$13:$F$512,L151),""))</f>
      </c>
      <c r="G151" s="39">
        <f>IF(B151="","",IF(OR(M151=0,N151&gt;0,O151&gt;0),"",SUMIFS('PEGAR'!$M$13:$M$512,'PEGAR'!$O$13:$O$512,B151)))</f>
      </c>
      <c r="H151" s="39">
        <f>IF(AND(ISNUMBER(F151),ISNUMBER(G151)),G151-F151,"")</f>
      </c>
      <c r="I151" s="27">
        <f>IF(B151="","",IF(W151=2,"ROJO",IF(W151=1,"ÁMBAR","VERDE")))</f>
      </c>
      <c r="J151" s="30">
        <f>IF(B151="","",IF(W151=0,"Sin avisos numéricos. Revisamos el alcance aparte.",IF(L151=0,"Faltan datos completos de partida; no elegimos un total por suposición."&amp;CHAR(10),"")&amp;IF(N151&gt;0,"Hay filas incompletas o contradictorias; las revisamos en PEGAR."&amp;CHAR(10),"")&amp;IF(O151&gt;0,"Faltan las medidas de alguna fila; no cerramos la suma."&amp;CHAR(10),"")&amp;IF(M151=0,"No constan líneas de medición."&amp;CHAR(10),"")&amp;IF(IF(ISNUMBER(H151),ROUND(ABS(H151),8)&gt;$F$6,FALSE),"Las líneas difieren del total en más de 0,01; confirmamos cantidad o exclusión."&amp;CHAR(10),"")&amp;IF(P151&gt;0,"Parece m³: encontramos tres dimensiones bajo m²."&amp;CHAR(10),"")&amp;IF(R151&gt;0,"Código repetido dentro del capítulo; mantenemos sus ID separados."&amp;CHAR(10),"")&amp;IF(S151&gt;0,"Código repetido en otro capítulo; no unimos las partidas."&amp;CHAR(10),"")&amp;IF(T151&gt;0,"Mismo código con unidades distintas; pedimos aclaración."&amp;CHAR(10),"")&amp;IF(Q151&gt;0,"Hay más precisión que los decimales indicados; cotejamos el formato original."&amp;CHAR(10),"")&amp;IF(U151&gt;0,"Unidad sin normalizar; cotejamos su significado antes de sumar unidades."&amp;CHAR(10),"")&amp;IF(V151&gt;0,"Revisamos dimensiones, cantidades directas, ceros o deducciones en PEGAR."&amp;CHAR(10),"")))</f>
      </c>
      <c r="K151" s="0">
        <f>IF(139&gt;'RESUMEN'!$E$6,"",MATCH(139,'PEGAR'!$W$13:$W$512,0))</f>
      </c>
      <c r="L151" s="0">
        <f>IF(K151="","",INDEX('PEGAR'!$R$13:$R$512,K151))</f>
      </c>
      <c r="M151" s="0">
        <f>IF(B151="","",COUNTIFS('PEGAR'!$O$13:$O$512,B151,'PEGAR'!$P$13:$P$512,"DIMENSIONES")+COUNTIFS('PEGAR'!$O$13:$O$512,B151,'PEGAR'!$P$13:$P$512,"DIRECTA"))</f>
      </c>
      <c r="N151" s="0">
        <f>IF(B151="","",COUNTIFS('PEGAR'!$O$13:$O$512,B151,'PEGAR'!$X$13:$X$512,2))</f>
      </c>
      <c r="O151" s="0">
        <f>IF(B151="","",COUNTIFS('PEGAR'!$O$13:$O$512,B151,'PEGAR'!$P$13:$P$512,"SIN LÍNEAS"))</f>
      </c>
      <c r="P151" s="0">
        <f>IF(B151="","",SUMIFS('PEGAR'!$Y$13:$Y$512,'PEGAR'!$O$13:$O$512,B151))</f>
      </c>
      <c r="Q151" s="0">
        <f>IF(B151="","",SUMIFS('PEGAR'!$Z$13:$Z$512,'PEGAR'!$O$13:$O$512,B151))</f>
      </c>
      <c r="R151" s="0" t="n">
        <f>IF(OR(B151="",D151=""),0,SUMPRODUCT(--($B$13:$B$512&lt;&gt;""),--($D$13:$D$512=D151),--($C$13:$C$512=C151))-1)</f>
        <v>0</v>
      </c>
      <c r="S151" s="0" t="n">
        <f>IF(OR(B151="",D151=""),0,SUMPRODUCT(--($B$13:$B$512&lt;&gt;""),--($D$13:$D$512=D151),--($C$13:$C$512&lt;&gt;C151)))</f>
        <v>0</v>
      </c>
      <c r="T151" s="0" t="n">
        <f>IF(OR(B151="",D151=""),0,SUMPRODUCT(--($B$13:$B$512&lt;&gt;""),--($D$13:$D$512=D151),--($E$13:$E$512&lt;&gt;E151)))</f>
        <v>0</v>
      </c>
      <c r="U151" s="0" t="n">
        <f>IF(B151="",0,IF(SUMPRODUCT(--('LÉEME'!$C$65:$C$86=E151))=0,1,0))</f>
        <v>0</v>
      </c>
      <c r="V151" s="0">
        <f>IF(B151="","",SUMIFS('PEGAR'!$AA$13:$AA$512,'PEGAR'!$O$13:$O$512,B151))</f>
      </c>
      <c r="W151" s="0">
        <f>IF(B151="","",IF(OR(L151=0,N151&gt;0,T151&gt;0,IF(ISNUMBER(H151),ROUND(ABS(H151),8)&gt;$F$6,FALSE)),2,IF(OR(M151=0,O151&gt;0,P151&gt;0,Q151&gt;0,R151&gt;0,S151&gt;0,U151&gt;0,V151&gt;0),1,0)))</f>
      </c>
      <c r="X151" s="0">
        <f>IF(B151="","",IF(ISNUMBER(G151),1,0))</f>
      </c>
      <c r="AB151" s="0">
        <f>IF(AND(ISNUMBER(W151),W151&gt;0),"ID "&amp;B151,"")</f>
      </c>
      <c r="AC151" s="0">
        <f>IF(AND(ISNUMBER(W151),W151&gt;0),C151,"")</f>
      </c>
      <c r="AD151" s="0">
        <f>IF(AND(ISNUMBER(W151),W151&gt;0),D151,"")</f>
      </c>
      <c r="AE151" s="0">
        <f>IF(AND(ISNUMBER(W151),W151&gt;0),IF(INDEX('PEGAR'!$D$13:$D$512,IF(L151&gt;0,L151,K151))="","Sin descripción",INDEX('PEGAR'!$D$13:$D$512,IF(L151&gt;0,L151,K151))),"")</f>
      </c>
      <c r="AF151" s="0">
        <f>IF(AND(ISNUMBER(W151),W151&gt;0),J151,"")</f>
      </c>
      <c r="AG151" s="0" t="n">
        <f>IF(AND(ISNUMBER(W151),W151&gt;0),W151,0)</f>
        <v>0</v>
      </c>
      <c r="AH151" s="0">
        <f>IF(AG151&gt;0,COUNTIFS($AG$13:AG151,"&gt;0"),"")</f>
      </c>
    </row>
    <row r="152" ht="22" customHeight="1">
      <c r="B152" s="27">
        <f>IF(K152="","",INDEX('PEGAR'!$O$13:$O$512,K152))</f>
      </c>
      <c r="C152" s="30">
        <f>IF(B152="","",IF(LEN(TRIM(INDEX('PEGAR'!$B$13:$B$512,IF(L152&gt;0,L152,K152))&amp;""))=0,"Sin capítulo",TRIM(INDEX('PEGAR'!$B$13:$B$512,IF(L152&gt;0,L152,K152))&amp;"")))</f>
      </c>
      <c r="D152" s="27">
        <f>IF(B152="","",IF(LEN(TRIM(INDEX('PEGAR'!$C$13:$C$512,IF(L152&gt;0,L152,K152))&amp;""))=0,"",TRIM(INDEX('PEGAR'!$C$13:$C$512,IF(L152&gt;0,L152,K152))&amp;"")))</f>
      </c>
      <c r="E152" s="27">
        <f>IF(B152="","",INDEX('PEGAR'!$S$13:$S$512,IF(L152&gt;0,L152,K152)))</f>
      </c>
      <c r="F152" s="39">
        <f>IF(B152="","",IF(L152&gt;0,INDEX('PEGAR'!$F$13:$F$512,L152),""))</f>
      </c>
      <c r="G152" s="39">
        <f>IF(B152="","",IF(OR(M152=0,N152&gt;0,O152&gt;0),"",SUMIFS('PEGAR'!$M$13:$M$512,'PEGAR'!$O$13:$O$512,B152)))</f>
      </c>
      <c r="H152" s="39">
        <f>IF(AND(ISNUMBER(F152),ISNUMBER(G152)),G152-F152,"")</f>
      </c>
      <c r="I152" s="27">
        <f>IF(B152="","",IF(W152=2,"ROJO",IF(W152=1,"ÁMBAR","VERDE")))</f>
      </c>
      <c r="J152" s="30">
        <f>IF(B152="","",IF(W152=0,"Sin avisos numéricos. Revisamos el alcance aparte.",IF(L152=0,"Faltan datos completos de partida; no elegimos un total por suposición."&amp;CHAR(10),"")&amp;IF(N152&gt;0,"Hay filas incompletas o contradictorias; las revisamos en PEGAR."&amp;CHAR(10),"")&amp;IF(O152&gt;0,"Faltan las medidas de alguna fila; no cerramos la suma."&amp;CHAR(10),"")&amp;IF(M152=0,"No constan líneas de medición."&amp;CHAR(10),"")&amp;IF(IF(ISNUMBER(H152),ROUND(ABS(H152),8)&gt;$F$6,FALSE),"Las líneas difieren del total en más de 0,01; confirmamos cantidad o exclusión."&amp;CHAR(10),"")&amp;IF(P152&gt;0,"Parece m³: encontramos tres dimensiones bajo m²."&amp;CHAR(10),"")&amp;IF(R152&gt;0,"Código repetido dentro del capítulo; mantenemos sus ID separados."&amp;CHAR(10),"")&amp;IF(S152&gt;0,"Código repetido en otro capítulo; no unimos las partidas."&amp;CHAR(10),"")&amp;IF(T152&gt;0,"Mismo código con unidades distintas; pedimos aclaración."&amp;CHAR(10),"")&amp;IF(Q152&gt;0,"Hay más precisión que los decimales indicados; cotejamos el formato original."&amp;CHAR(10),"")&amp;IF(U152&gt;0,"Unidad sin normalizar; cotejamos su significado antes de sumar unidades."&amp;CHAR(10),"")&amp;IF(V152&gt;0,"Revisamos dimensiones, cantidades directas, ceros o deducciones en PEGAR."&amp;CHAR(10),"")))</f>
      </c>
      <c r="K152" s="0">
        <f>IF(140&gt;'RESUMEN'!$E$6,"",MATCH(140,'PEGAR'!$W$13:$W$512,0))</f>
      </c>
      <c r="L152" s="0">
        <f>IF(K152="","",INDEX('PEGAR'!$R$13:$R$512,K152))</f>
      </c>
      <c r="M152" s="0">
        <f>IF(B152="","",COUNTIFS('PEGAR'!$O$13:$O$512,B152,'PEGAR'!$P$13:$P$512,"DIMENSIONES")+COUNTIFS('PEGAR'!$O$13:$O$512,B152,'PEGAR'!$P$13:$P$512,"DIRECTA"))</f>
      </c>
      <c r="N152" s="0">
        <f>IF(B152="","",COUNTIFS('PEGAR'!$O$13:$O$512,B152,'PEGAR'!$X$13:$X$512,2))</f>
      </c>
      <c r="O152" s="0">
        <f>IF(B152="","",COUNTIFS('PEGAR'!$O$13:$O$512,B152,'PEGAR'!$P$13:$P$512,"SIN LÍNEAS"))</f>
      </c>
      <c r="P152" s="0">
        <f>IF(B152="","",SUMIFS('PEGAR'!$Y$13:$Y$512,'PEGAR'!$O$13:$O$512,B152))</f>
      </c>
      <c r="Q152" s="0">
        <f>IF(B152="","",SUMIFS('PEGAR'!$Z$13:$Z$512,'PEGAR'!$O$13:$O$512,B152))</f>
      </c>
      <c r="R152" s="0" t="n">
        <f>IF(OR(B152="",D152=""),0,SUMPRODUCT(--($B$13:$B$512&lt;&gt;""),--($D$13:$D$512=D152),--($C$13:$C$512=C152))-1)</f>
        <v>0</v>
      </c>
      <c r="S152" s="0" t="n">
        <f>IF(OR(B152="",D152=""),0,SUMPRODUCT(--($B$13:$B$512&lt;&gt;""),--($D$13:$D$512=D152),--($C$13:$C$512&lt;&gt;C152)))</f>
        <v>0</v>
      </c>
      <c r="T152" s="0" t="n">
        <f>IF(OR(B152="",D152=""),0,SUMPRODUCT(--($B$13:$B$512&lt;&gt;""),--($D$13:$D$512=D152),--($E$13:$E$512&lt;&gt;E152)))</f>
        <v>0</v>
      </c>
      <c r="U152" s="0" t="n">
        <f>IF(B152="",0,IF(SUMPRODUCT(--('LÉEME'!$C$65:$C$86=E152))=0,1,0))</f>
        <v>0</v>
      </c>
      <c r="V152" s="0">
        <f>IF(B152="","",SUMIFS('PEGAR'!$AA$13:$AA$512,'PEGAR'!$O$13:$O$512,B152))</f>
      </c>
      <c r="W152" s="0">
        <f>IF(B152="","",IF(OR(L152=0,N152&gt;0,T152&gt;0,IF(ISNUMBER(H152),ROUND(ABS(H152),8)&gt;$F$6,FALSE)),2,IF(OR(M152=0,O152&gt;0,P152&gt;0,Q152&gt;0,R152&gt;0,S152&gt;0,U152&gt;0,V152&gt;0),1,0)))</f>
      </c>
      <c r="X152" s="0">
        <f>IF(B152="","",IF(ISNUMBER(G152),1,0))</f>
      </c>
      <c r="AB152" s="0">
        <f>IF(AND(ISNUMBER(W152),W152&gt;0),"ID "&amp;B152,"")</f>
      </c>
      <c r="AC152" s="0">
        <f>IF(AND(ISNUMBER(W152),W152&gt;0),C152,"")</f>
      </c>
      <c r="AD152" s="0">
        <f>IF(AND(ISNUMBER(W152),W152&gt;0),D152,"")</f>
      </c>
      <c r="AE152" s="0">
        <f>IF(AND(ISNUMBER(W152),W152&gt;0),IF(INDEX('PEGAR'!$D$13:$D$512,IF(L152&gt;0,L152,K152))="","Sin descripción",INDEX('PEGAR'!$D$13:$D$512,IF(L152&gt;0,L152,K152))),"")</f>
      </c>
      <c r="AF152" s="0">
        <f>IF(AND(ISNUMBER(W152),W152&gt;0),J152,"")</f>
      </c>
      <c r="AG152" s="0" t="n">
        <f>IF(AND(ISNUMBER(W152),W152&gt;0),W152,0)</f>
        <v>0</v>
      </c>
      <c r="AH152" s="0">
        <f>IF(AG152&gt;0,COUNTIFS($AG$13:AG152,"&gt;0"),"")</f>
      </c>
    </row>
    <row r="153" ht="22" customHeight="1">
      <c r="B153" s="27">
        <f>IF(K153="","",INDEX('PEGAR'!$O$13:$O$512,K153))</f>
      </c>
      <c r="C153" s="30">
        <f>IF(B153="","",IF(LEN(TRIM(INDEX('PEGAR'!$B$13:$B$512,IF(L153&gt;0,L153,K153))&amp;""))=0,"Sin capítulo",TRIM(INDEX('PEGAR'!$B$13:$B$512,IF(L153&gt;0,L153,K153))&amp;"")))</f>
      </c>
      <c r="D153" s="27">
        <f>IF(B153="","",IF(LEN(TRIM(INDEX('PEGAR'!$C$13:$C$512,IF(L153&gt;0,L153,K153))&amp;""))=0,"",TRIM(INDEX('PEGAR'!$C$13:$C$512,IF(L153&gt;0,L153,K153))&amp;"")))</f>
      </c>
      <c r="E153" s="27">
        <f>IF(B153="","",INDEX('PEGAR'!$S$13:$S$512,IF(L153&gt;0,L153,K153)))</f>
      </c>
      <c r="F153" s="39">
        <f>IF(B153="","",IF(L153&gt;0,INDEX('PEGAR'!$F$13:$F$512,L153),""))</f>
      </c>
      <c r="G153" s="39">
        <f>IF(B153="","",IF(OR(M153=0,N153&gt;0,O153&gt;0),"",SUMIFS('PEGAR'!$M$13:$M$512,'PEGAR'!$O$13:$O$512,B153)))</f>
      </c>
      <c r="H153" s="39">
        <f>IF(AND(ISNUMBER(F153),ISNUMBER(G153)),G153-F153,"")</f>
      </c>
      <c r="I153" s="27">
        <f>IF(B153="","",IF(W153=2,"ROJO",IF(W153=1,"ÁMBAR","VERDE")))</f>
      </c>
      <c r="J153" s="30">
        <f>IF(B153="","",IF(W153=0,"Sin avisos numéricos. Revisamos el alcance aparte.",IF(L153=0,"Faltan datos completos de partida; no elegimos un total por suposición."&amp;CHAR(10),"")&amp;IF(N153&gt;0,"Hay filas incompletas o contradictorias; las revisamos en PEGAR."&amp;CHAR(10),"")&amp;IF(O153&gt;0,"Faltan las medidas de alguna fila; no cerramos la suma."&amp;CHAR(10),"")&amp;IF(M153=0,"No constan líneas de medición."&amp;CHAR(10),"")&amp;IF(IF(ISNUMBER(H153),ROUND(ABS(H153),8)&gt;$F$6,FALSE),"Las líneas difieren del total en más de 0,01; confirmamos cantidad o exclusión."&amp;CHAR(10),"")&amp;IF(P153&gt;0,"Parece m³: encontramos tres dimensiones bajo m²."&amp;CHAR(10),"")&amp;IF(R153&gt;0,"Código repetido dentro del capítulo; mantenemos sus ID separados."&amp;CHAR(10),"")&amp;IF(S153&gt;0,"Código repetido en otro capítulo; no unimos las partidas."&amp;CHAR(10),"")&amp;IF(T153&gt;0,"Mismo código con unidades distintas; pedimos aclaración."&amp;CHAR(10),"")&amp;IF(Q153&gt;0,"Hay más precisión que los decimales indicados; cotejamos el formato original."&amp;CHAR(10),"")&amp;IF(U153&gt;0,"Unidad sin normalizar; cotejamos su significado antes de sumar unidades."&amp;CHAR(10),"")&amp;IF(V153&gt;0,"Revisamos dimensiones, cantidades directas, ceros o deducciones en PEGAR."&amp;CHAR(10),"")))</f>
      </c>
      <c r="K153" s="0">
        <f>IF(141&gt;'RESUMEN'!$E$6,"",MATCH(141,'PEGAR'!$W$13:$W$512,0))</f>
      </c>
      <c r="L153" s="0">
        <f>IF(K153="","",INDEX('PEGAR'!$R$13:$R$512,K153))</f>
      </c>
      <c r="M153" s="0">
        <f>IF(B153="","",COUNTIFS('PEGAR'!$O$13:$O$512,B153,'PEGAR'!$P$13:$P$512,"DIMENSIONES")+COUNTIFS('PEGAR'!$O$13:$O$512,B153,'PEGAR'!$P$13:$P$512,"DIRECTA"))</f>
      </c>
      <c r="N153" s="0">
        <f>IF(B153="","",COUNTIFS('PEGAR'!$O$13:$O$512,B153,'PEGAR'!$X$13:$X$512,2))</f>
      </c>
      <c r="O153" s="0">
        <f>IF(B153="","",COUNTIFS('PEGAR'!$O$13:$O$512,B153,'PEGAR'!$P$13:$P$512,"SIN LÍNEAS"))</f>
      </c>
      <c r="P153" s="0">
        <f>IF(B153="","",SUMIFS('PEGAR'!$Y$13:$Y$512,'PEGAR'!$O$13:$O$512,B153))</f>
      </c>
      <c r="Q153" s="0">
        <f>IF(B153="","",SUMIFS('PEGAR'!$Z$13:$Z$512,'PEGAR'!$O$13:$O$512,B153))</f>
      </c>
      <c r="R153" s="0" t="n">
        <f>IF(OR(B153="",D153=""),0,SUMPRODUCT(--($B$13:$B$512&lt;&gt;""),--($D$13:$D$512=D153),--($C$13:$C$512=C153))-1)</f>
        <v>0</v>
      </c>
      <c r="S153" s="0" t="n">
        <f>IF(OR(B153="",D153=""),0,SUMPRODUCT(--($B$13:$B$512&lt;&gt;""),--($D$13:$D$512=D153),--($C$13:$C$512&lt;&gt;C153)))</f>
        <v>0</v>
      </c>
      <c r="T153" s="0" t="n">
        <f>IF(OR(B153="",D153=""),0,SUMPRODUCT(--($B$13:$B$512&lt;&gt;""),--($D$13:$D$512=D153),--($E$13:$E$512&lt;&gt;E153)))</f>
        <v>0</v>
      </c>
      <c r="U153" s="0" t="n">
        <f>IF(B153="",0,IF(SUMPRODUCT(--('LÉEME'!$C$65:$C$86=E153))=0,1,0))</f>
        <v>0</v>
      </c>
      <c r="V153" s="0">
        <f>IF(B153="","",SUMIFS('PEGAR'!$AA$13:$AA$512,'PEGAR'!$O$13:$O$512,B153))</f>
      </c>
      <c r="W153" s="0">
        <f>IF(B153="","",IF(OR(L153=0,N153&gt;0,T153&gt;0,IF(ISNUMBER(H153),ROUND(ABS(H153),8)&gt;$F$6,FALSE)),2,IF(OR(M153=0,O153&gt;0,P153&gt;0,Q153&gt;0,R153&gt;0,S153&gt;0,U153&gt;0,V153&gt;0),1,0)))</f>
      </c>
      <c r="X153" s="0">
        <f>IF(B153="","",IF(ISNUMBER(G153),1,0))</f>
      </c>
      <c r="AB153" s="0">
        <f>IF(AND(ISNUMBER(W153),W153&gt;0),"ID "&amp;B153,"")</f>
      </c>
      <c r="AC153" s="0">
        <f>IF(AND(ISNUMBER(W153),W153&gt;0),C153,"")</f>
      </c>
      <c r="AD153" s="0">
        <f>IF(AND(ISNUMBER(W153),W153&gt;0),D153,"")</f>
      </c>
      <c r="AE153" s="0">
        <f>IF(AND(ISNUMBER(W153),W153&gt;0),IF(INDEX('PEGAR'!$D$13:$D$512,IF(L153&gt;0,L153,K153))="","Sin descripción",INDEX('PEGAR'!$D$13:$D$512,IF(L153&gt;0,L153,K153))),"")</f>
      </c>
      <c r="AF153" s="0">
        <f>IF(AND(ISNUMBER(W153),W153&gt;0),J153,"")</f>
      </c>
      <c r="AG153" s="0" t="n">
        <f>IF(AND(ISNUMBER(W153),W153&gt;0),W153,0)</f>
        <v>0</v>
      </c>
      <c r="AH153" s="0">
        <f>IF(AG153&gt;0,COUNTIFS($AG$13:AG153,"&gt;0"),"")</f>
      </c>
    </row>
    <row r="154" ht="22" customHeight="1">
      <c r="B154" s="27">
        <f>IF(K154="","",INDEX('PEGAR'!$O$13:$O$512,K154))</f>
      </c>
      <c r="C154" s="30">
        <f>IF(B154="","",IF(LEN(TRIM(INDEX('PEGAR'!$B$13:$B$512,IF(L154&gt;0,L154,K154))&amp;""))=0,"Sin capítulo",TRIM(INDEX('PEGAR'!$B$13:$B$512,IF(L154&gt;0,L154,K154))&amp;"")))</f>
      </c>
      <c r="D154" s="27">
        <f>IF(B154="","",IF(LEN(TRIM(INDEX('PEGAR'!$C$13:$C$512,IF(L154&gt;0,L154,K154))&amp;""))=0,"",TRIM(INDEX('PEGAR'!$C$13:$C$512,IF(L154&gt;0,L154,K154))&amp;"")))</f>
      </c>
      <c r="E154" s="27">
        <f>IF(B154="","",INDEX('PEGAR'!$S$13:$S$512,IF(L154&gt;0,L154,K154)))</f>
      </c>
      <c r="F154" s="39">
        <f>IF(B154="","",IF(L154&gt;0,INDEX('PEGAR'!$F$13:$F$512,L154),""))</f>
      </c>
      <c r="G154" s="39">
        <f>IF(B154="","",IF(OR(M154=0,N154&gt;0,O154&gt;0),"",SUMIFS('PEGAR'!$M$13:$M$512,'PEGAR'!$O$13:$O$512,B154)))</f>
      </c>
      <c r="H154" s="39">
        <f>IF(AND(ISNUMBER(F154),ISNUMBER(G154)),G154-F154,"")</f>
      </c>
      <c r="I154" s="27">
        <f>IF(B154="","",IF(W154=2,"ROJO",IF(W154=1,"ÁMBAR","VERDE")))</f>
      </c>
      <c r="J154" s="30">
        <f>IF(B154="","",IF(W154=0,"Sin avisos numéricos. Revisamos el alcance aparte.",IF(L154=0,"Faltan datos completos de partida; no elegimos un total por suposición."&amp;CHAR(10),"")&amp;IF(N154&gt;0,"Hay filas incompletas o contradictorias; las revisamos en PEGAR."&amp;CHAR(10),"")&amp;IF(O154&gt;0,"Faltan las medidas de alguna fila; no cerramos la suma."&amp;CHAR(10),"")&amp;IF(M154=0,"No constan líneas de medición."&amp;CHAR(10),"")&amp;IF(IF(ISNUMBER(H154),ROUND(ABS(H154),8)&gt;$F$6,FALSE),"Las líneas difieren del total en más de 0,01; confirmamos cantidad o exclusión."&amp;CHAR(10),"")&amp;IF(P154&gt;0,"Parece m³: encontramos tres dimensiones bajo m²."&amp;CHAR(10),"")&amp;IF(R154&gt;0,"Código repetido dentro del capítulo; mantenemos sus ID separados."&amp;CHAR(10),"")&amp;IF(S154&gt;0,"Código repetido en otro capítulo; no unimos las partidas."&amp;CHAR(10),"")&amp;IF(T154&gt;0,"Mismo código con unidades distintas; pedimos aclaración."&amp;CHAR(10),"")&amp;IF(Q154&gt;0,"Hay más precisión que los decimales indicados; cotejamos el formato original."&amp;CHAR(10),"")&amp;IF(U154&gt;0,"Unidad sin normalizar; cotejamos su significado antes de sumar unidades."&amp;CHAR(10),"")&amp;IF(V154&gt;0,"Revisamos dimensiones, cantidades directas, ceros o deducciones en PEGAR."&amp;CHAR(10),"")))</f>
      </c>
      <c r="K154" s="0">
        <f>IF(142&gt;'RESUMEN'!$E$6,"",MATCH(142,'PEGAR'!$W$13:$W$512,0))</f>
      </c>
      <c r="L154" s="0">
        <f>IF(K154="","",INDEX('PEGAR'!$R$13:$R$512,K154))</f>
      </c>
      <c r="M154" s="0">
        <f>IF(B154="","",COUNTIFS('PEGAR'!$O$13:$O$512,B154,'PEGAR'!$P$13:$P$512,"DIMENSIONES")+COUNTIFS('PEGAR'!$O$13:$O$512,B154,'PEGAR'!$P$13:$P$512,"DIRECTA"))</f>
      </c>
      <c r="N154" s="0">
        <f>IF(B154="","",COUNTIFS('PEGAR'!$O$13:$O$512,B154,'PEGAR'!$X$13:$X$512,2))</f>
      </c>
      <c r="O154" s="0">
        <f>IF(B154="","",COUNTIFS('PEGAR'!$O$13:$O$512,B154,'PEGAR'!$P$13:$P$512,"SIN LÍNEAS"))</f>
      </c>
      <c r="P154" s="0">
        <f>IF(B154="","",SUMIFS('PEGAR'!$Y$13:$Y$512,'PEGAR'!$O$13:$O$512,B154))</f>
      </c>
      <c r="Q154" s="0">
        <f>IF(B154="","",SUMIFS('PEGAR'!$Z$13:$Z$512,'PEGAR'!$O$13:$O$512,B154))</f>
      </c>
      <c r="R154" s="0" t="n">
        <f>IF(OR(B154="",D154=""),0,SUMPRODUCT(--($B$13:$B$512&lt;&gt;""),--($D$13:$D$512=D154),--($C$13:$C$512=C154))-1)</f>
        <v>0</v>
      </c>
      <c r="S154" s="0" t="n">
        <f>IF(OR(B154="",D154=""),0,SUMPRODUCT(--($B$13:$B$512&lt;&gt;""),--($D$13:$D$512=D154),--($C$13:$C$512&lt;&gt;C154)))</f>
        <v>0</v>
      </c>
      <c r="T154" s="0" t="n">
        <f>IF(OR(B154="",D154=""),0,SUMPRODUCT(--($B$13:$B$512&lt;&gt;""),--($D$13:$D$512=D154),--($E$13:$E$512&lt;&gt;E154)))</f>
        <v>0</v>
      </c>
      <c r="U154" s="0" t="n">
        <f>IF(B154="",0,IF(SUMPRODUCT(--('LÉEME'!$C$65:$C$86=E154))=0,1,0))</f>
        <v>0</v>
      </c>
      <c r="V154" s="0">
        <f>IF(B154="","",SUMIFS('PEGAR'!$AA$13:$AA$512,'PEGAR'!$O$13:$O$512,B154))</f>
      </c>
      <c r="W154" s="0">
        <f>IF(B154="","",IF(OR(L154=0,N154&gt;0,T154&gt;0,IF(ISNUMBER(H154),ROUND(ABS(H154),8)&gt;$F$6,FALSE)),2,IF(OR(M154=0,O154&gt;0,P154&gt;0,Q154&gt;0,R154&gt;0,S154&gt;0,U154&gt;0,V154&gt;0),1,0)))</f>
      </c>
      <c r="X154" s="0">
        <f>IF(B154="","",IF(ISNUMBER(G154),1,0))</f>
      </c>
      <c r="AB154" s="0">
        <f>IF(AND(ISNUMBER(W154),W154&gt;0),"ID "&amp;B154,"")</f>
      </c>
      <c r="AC154" s="0">
        <f>IF(AND(ISNUMBER(W154),W154&gt;0),C154,"")</f>
      </c>
      <c r="AD154" s="0">
        <f>IF(AND(ISNUMBER(W154),W154&gt;0),D154,"")</f>
      </c>
      <c r="AE154" s="0">
        <f>IF(AND(ISNUMBER(W154),W154&gt;0),IF(INDEX('PEGAR'!$D$13:$D$512,IF(L154&gt;0,L154,K154))="","Sin descripción",INDEX('PEGAR'!$D$13:$D$512,IF(L154&gt;0,L154,K154))),"")</f>
      </c>
      <c r="AF154" s="0">
        <f>IF(AND(ISNUMBER(W154),W154&gt;0),J154,"")</f>
      </c>
      <c r="AG154" s="0" t="n">
        <f>IF(AND(ISNUMBER(W154),W154&gt;0),W154,0)</f>
        <v>0</v>
      </c>
      <c r="AH154" s="0">
        <f>IF(AG154&gt;0,COUNTIFS($AG$13:AG154,"&gt;0"),"")</f>
      </c>
    </row>
    <row r="155" ht="22" customHeight="1">
      <c r="B155" s="27">
        <f>IF(K155="","",INDEX('PEGAR'!$O$13:$O$512,K155))</f>
      </c>
      <c r="C155" s="30">
        <f>IF(B155="","",IF(LEN(TRIM(INDEX('PEGAR'!$B$13:$B$512,IF(L155&gt;0,L155,K155))&amp;""))=0,"Sin capítulo",TRIM(INDEX('PEGAR'!$B$13:$B$512,IF(L155&gt;0,L155,K155))&amp;"")))</f>
      </c>
      <c r="D155" s="27">
        <f>IF(B155="","",IF(LEN(TRIM(INDEX('PEGAR'!$C$13:$C$512,IF(L155&gt;0,L155,K155))&amp;""))=0,"",TRIM(INDEX('PEGAR'!$C$13:$C$512,IF(L155&gt;0,L155,K155))&amp;"")))</f>
      </c>
      <c r="E155" s="27">
        <f>IF(B155="","",INDEX('PEGAR'!$S$13:$S$512,IF(L155&gt;0,L155,K155)))</f>
      </c>
      <c r="F155" s="39">
        <f>IF(B155="","",IF(L155&gt;0,INDEX('PEGAR'!$F$13:$F$512,L155),""))</f>
      </c>
      <c r="G155" s="39">
        <f>IF(B155="","",IF(OR(M155=0,N155&gt;0,O155&gt;0),"",SUMIFS('PEGAR'!$M$13:$M$512,'PEGAR'!$O$13:$O$512,B155)))</f>
      </c>
      <c r="H155" s="39">
        <f>IF(AND(ISNUMBER(F155),ISNUMBER(G155)),G155-F155,"")</f>
      </c>
      <c r="I155" s="27">
        <f>IF(B155="","",IF(W155=2,"ROJO",IF(W155=1,"ÁMBAR","VERDE")))</f>
      </c>
      <c r="J155" s="30">
        <f>IF(B155="","",IF(W155=0,"Sin avisos numéricos. Revisamos el alcance aparte.",IF(L155=0,"Faltan datos completos de partida; no elegimos un total por suposición."&amp;CHAR(10),"")&amp;IF(N155&gt;0,"Hay filas incompletas o contradictorias; las revisamos en PEGAR."&amp;CHAR(10),"")&amp;IF(O155&gt;0,"Faltan las medidas de alguna fila; no cerramos la suma."&amp;CHAR(10),"")&amp;IF(M155=0,"No constan líneas de medición."&amp;CHAR(10),"")&amp;IF(IF(ISNUMBER(H155),ROUND(ABS(H155),8)&gt;$F$6,FALSE),"Las líneas difieren del total en más de 0,01; confirmamos cantidad o exclusión."&amp;CHAR(10),"")&amp;IF(P155&gt;0,"Parece m³: encontramos tres dimensiones bajo m²."&amp;CHAR(10),"")&amp;IF(R155&gt;0,"Código repetido dentro del capítulo; mantenemos sus ID separados."&amp;CHAR(10),"")&amp;IF(S155&gt;0,"Código repetido en otro capítulo; no unimos las partidas."&amp;CHAR(10),"")&amp;IF(T155&gt;0,"Mismo código con unidades distintas; pedimos aclaración."&amp;CHAR(10),"")&amp;IF(Q155&gt;0,"Hay más precisión que los decimales indicados; cotejamos el formato original."&amp;CHAR(10),"")&amp;IF(U155&gt;0,"Unidad sin normalizar; cotejamos su significado antes de sumar unidades."&amp;CHAR(10),"")&amp;IF(V155&gt;0,"Revisamos dimensiones, cantidades directas, ceros o deducciones en PEGAR."&amp;CHAR(10),"")))</f>
      </c>
      <c r="K155" s="0">
        <f>IF(143&gt;'RESUMEN'!$E$6,"",MATCH(143,'PEGAR'!$W$13:$W$512,0))</f>
      </c>
      <c r="L155" s="0">
        <f>IF(K155="","",INDEX('PEGAR'!$R$13:$R$512,K155))</f>
      </c>
      <c r="M155" s="0">
        <f>IF(B155="","",COUNTIFS('PEGAR'!$O$13:$O$512,B155,'PEGAR'!$P$13:$P$512,"DIMENSIONES")+COUNTIFS('PEGAR'!$O$13:$O$512,B155,'PEGAR'!$P$13:$P$512,"DIRECTA"))</f>
      </c>
      <c r="N155" s="0">
        <f>IF(B155="","",COUNTIFS('PEGAR'!$O$13:$O$512,B155,'PEGAR'!$X$13:$X$512,2))</f>
      </c>
      <c r="O155" s="0">
        <f>IF(B155="","",COUNTIFS('PEGAR'!$O$13:$O$512,B155,'PEGAR'!$P$13:$P$512,"SIN LÍNEAS"))</f>
      </c>
      <c r="P155" s="0">
        <f>IF(B155="","",SUMIFS('PEGAR'!$Y$13:$Y$512,'PEGAR'!$O$13:$O$512,B155))</f>
      </c>
      <c r="Q155" s="0">
        <f>IF(B155="","",SUMIFS('PEGAR'!$Z$13:$Z$512,'PEGAR'!$O$13:$O$512,B155))</f>
      </c>
      <c r="R155" s="0" t="n">
        <f>IF(OR(B155="",D155=""),0,SUMPRODUCT(--($B$13:$B$512&lt;&gt;""),--($D$13:$D$512=D155),--($C$13:$C$512=C155))-1)</f>
        <v>0</v>
      </c>
      <c r="S155" s="0" t="n">
        <f>IF(OR(B155="",D155=""),0,SUMPRODUCT(--($B$13:$B$512&lt;&gt;""),--($D$13:$D$512=D155),--($C$13:$C$512&lt;&gt;C155)))</f>
        <v>0</v>
      </c>
      <c r="T155" s="0" t="n">
        <f>IF(OR(B155="",D155=""),0,SUMPRODUCT(--($B$13:$B$512&lt;&gt;""),--($D$13:$D$512=D155),--($E$13:$E$512&lt;&gt;E155)))</f>
        <v>0</v>
      </c>
      <c r="U155" s="0" t="n">
        <f>IF(B155="",0,IF(SUMPRODUCT(--('LÉEME'!$C$65:$C$86=E155))=0,1,0))</f>
        <v>0</v>
      </c>
      <c r="V155" s="0">
        <f>IF(B155="","",SUMIFS('PEGAR'!$AA$13:$AA$512,'PEGAR'!$O$13:$O$512,B155))</f>
      </c>
      <c r="W155" s="0">
        <f>IF(B155="","",IF(OR(L155=0,N155&gt;0,T155&gt;0,IF(ISNUMBER(H155),ROUND(ABS(H155),8)&gt;$F$6,FALSE)),2,IF(OR(M155=0,O155&gt;0,P155&gt;0,Q155&gt;0,R155&gt;0,S155&gt;0,U155&gt;0,V155&gt;0),1,0)))</f>
      </c>
      <c r="X155" s="0">
        <f>IF(B155="","",IF(ISNUMBER(G155),1,0))</f>
      </c>
      <c r="AB155" s="0">
        <f>IF(AND(ISNUMBER(W155),W155&gt;0),"ID "&amp;B155,"")</f>
      </c>
      <c r="AC155" s="0">
        <f>IF(AND(ISNUMBER(W155),W155&gt;0),C155,"")</f>
      </c>
      <c r="AD155" s="0">
        <f>IF(AND(ISNUMBER(W155),W155&gt;0),D155,"")</f>
      </c>
      <c r="AE155" s="0">
        <f>IF(AND(ISNUMBER(W155),W155&gt;0),IF(INDEX('PEGAR'!$D$13:$D$512,IF(L155&gt;0,L155,K155))="","Sin descripción",INDEX('PEGAR'!$D$13:$D$512,IF(L155&gt;0,L155,K155))),"")</f>
      </c>
      <c r="AF155" s="0">
        <f>IF(AND(ISNUMBER(W155),W155&gt;0),J155,"")</f>
      </c>
      <c r="AG155" s="0" t="n">
        <f>IF(AND(ISNUMBER(W155),W155&gt;0),W155,0)</f>
        <v>0</v>
      </c>
      <c r="AH155" s="0">
        <f>IF(AG155&gt;0,COUNTIFS($AG$13:AG155,"&gt;0"),"")</f>
      </c>
    </row>
    <row r="156" ht="22" customHeight="1">
      <c r="B156" s="27">
        <f>IF(K156="","",INDEX('PEGAR'!$O$13:$O$512,K156))</f>
      </c>
      <c r="C156" s="30">
        <f>IF(B156="","",IF(LEN(TRIM(INDEX('PEGAR'!$B$13:$B$512,IF(L156&gt;0,L156,K156))&amp;""))=0,"Sin capítulo",TRIM(INDEX('PEGAR'!$B$13:$B$512,IF(L156&gt;0,L156,K156))&amp;"")))</f>
      </c>
      <c r="D156" s="27">
        <f>IF(B156="","",IF(LEN(TRIM(INDEX('PEGAR'!$C$13:$C$512,IF(L156&gt;0,L156,K156))&amp;""))=0,"",TRIM(INDEX('PEGAR'!$C$13:$C$512,IF(L156&gt;0,L156,K156))&amp;"")))</f>
      </c>
      <c r="E156" s="27">
        <f>IF(B156="","",INDEX('PEGAR'!$S$13:$S$512,IF(L156&gt;0,L156,K156)))</f>
      </c>
      <c r="F156" s="39">
        <f>IF(B156="","",IF(L156&gt;0,INDEX('PEGAR'!$F$13:$F$512,L156),""))</f>
      </c>
      <c r="G156" s="39">
        <f>IF(B156="","",IF(OR(M156=0,N156&gt;0,O156&gt;0),"",SUMIFS('PEGAR'!$M$13:$M$512,'PEGAR'!$O$13:$O$512,B156)))</f>
      </c>
      <c r="H156" s="39">
        <f>IF(AND(ISNUMBER(F156),ISNUMBER(G156)),G156-F156,"")</f>
      </c>
      <c r="I156" s="27">
        <f>IF(B156="","",IF(W156=2,"ROJO",IF(W156=1,"ÁMBAR","VERDE")))</f>
      </c>
      <c r="J156" s="30">
        <f>IF(B156="","",IF(W156=0,"Sin avisos numéricos. Revisamos el alcance aparte.",IF(L156=0,"Faltan datos completos de partida; no elegimos un total por suposición."&amp;CHAR(10),"")&amp;IF(N156&gt;0,"Hay filas incompletas o contradictorias; las revisamos en PEGAR."&amp;CHAR(10),"")&amp;IF(O156&gt;0,"Faltan las medidas de alguna fila; no cerramos la suma."&amp;CHAR(10),"")&amp;IF(M156=0,"No constan líneas de medición."&amp;CHAR(10),"")&amp;IF(IF(ISNUMBER(H156),ROUND(ABS(H156),8)&gt;$F$6,FALSE),"Las líneas difieren del total en más de 0,01; confirmamos cantidad o exclusión."&amp;CHAR(10),"")&amp;IF(P156&gt;0,"Parece m³: encontramos tres dimensiones bajo m²."&amp;CHAR(10),"")&amp;IF(R156&gt;0,"Código repetido dentro del capítulo; mantenemos sus ID separados."&amp;CHAR(10),"")&amp;IF(S156&gt;0,"Código repetido en otro capítulo; no unimos las partidas."&amp;CHAR(10),"")&amp;IF(T156&gt;0,"Mismo código con unidades distintas; pedimos aclaración."&amp;CHAR(10),"")&amp;IF(Q156&gt;0,"Hay más precisión que los decimales indicados; cotejamos el formato original."&amp;CHAR(10),"")&amp;IF(U156&gt;0,"Unidad sin normalizar; cotejamos su significado antes de sumar unidades."&amp;CHAR(10),"")&amp;IF(V156&gt;0,"Revisamos dimensiones, cantidades directas, ceros o deducciones en PEGAR."&amp;CHAR(10),"")))</f>
      </c>
      <c r="K156" s="0">
        <f>IF(144&gt;'RESUMEN'!$E$6,"",MATCH(144,'PEGAR'!$W$13:$W$512,0))</f>
      </c>
      <c r="L156" s="0">
        <f>IF(K156="","",INDEX('PEGAR'!$R$13:$R$512,K156))</f>
      </c>
      <c r="M156" s="0">
        <f>IF(B156="","",COUNTIFS('PEGAR'!$O$13:$O$512,B156,'PEGAR'!$P$13:$P$512,"DIMENSIONES")+COUNTIFS('PEGAR'!$O$13:$O$512,B156,'PEGAR'!$P$13:$P$512,"DIRECTA"))</f>
      </c>
      <c r="N156" s="0">
        <f>IF(B156="","",COUNTIFS('PEGAR'!$O$13:$O$512,B156,'PEGAR'!$X$13:$X$512,2))</f>
      </c>
      <c r="O156" s="0">
        <f>IF(B156="","",COUNTIFS('PEGAR'!$O$13:$O$512,B156,'PEGAR'!$P$13:$P$512,"SIN LÍNEAS"))</f>
      </c>
      <c r="P156" s="0">
        <f>IF(B156="","",SUMIFS('PEGAR'!$Y$13:$Y$512,'PEGAR'!$O$13:$O$512,B156))</f>
      </c>
      <c r="Q156" s="0">
        <f>IF(B156="","",SUMIFS('PEGAR'!$Z$13:$Z$512,'PEGAR'!$O$13:$O$512,B156))</f>
      </c>
      <c r="R156" s="0" t="n">
        <f>IF(OR(B156="",D156=""),0,SUMPRODUCT(--($B$13:$B$512&lt;&gt;""),--($D$13:$D$512=D156),--($C$13:$C$512=C156))-1)</f>
        <v>0</v>
      </c>
      <c r="S156" s="0" t="n">
        <f>IF(OR(B156="",D156=""),0,SUMPRODUCT(--($B$13:$B$512&lt;&gt;""),--($D$13:$D$512=D156),--($C$13:$C$512&lt;&gt;C156)))</f>
        <v>0</v>
      </c>
      <c r="T156" s="0" t="n">
        <f>IF(OR(B156="",D156=""),0,SUMPRODUCT(--($B$13:$B$512&lt;&gt;""),--($D$13:$D$512=D156),--($E$13:$E$512&lt;&gt;E156)))</f>
        <v>0</v>
      </c>
      <c r="U156" s="0" t="n">
        <f>IF(B156="",0,IF(SUMPRODUCT(--('LÉEME'!$C$65:$C$86=E156))=0,1,0))</f>
        <v>0</v>
      </c>
      <c r="V156" s="0">
        <f>IF(B156="","",SUMIFS('PEGAR'!$AA$13:$AA$512,'PEGAR'!$O$13:$O$512,B156))</f>
      </c>
      <c r="W156" s="0">
        <f>IF(B156="","",IF(OR(L156=0,N156&gt;0,T156&gt;0,IF(ISNUMBER(H156),ROUND(ABS(H156),8)&gt;$F$6,FALSE)),2,IF(OR(M156=0,O156&gt;0,P156&gt;0,Q156&gt;0,R156&gt;0,S156&gt;0,U156&gt;0,V156&gt;0),1,0)))</f>
      </c>
      <c r="X156" s="0">
        <f>IF(B156="","",IF(ISNUMBER(G156),1,0))</f>
      </c>
      <c r="AB156" s="0">
        <f>IF(AND(ISNUMBER(W156),W156&gt;0),"ID "&amp;B156,"")</f>
      </c>
      <c r="AC156" s="0">
        <f>IF(AND(ISNUMBER(W156),W156&gt;0),C156,"")</f>
      </c>
      <c r="AD156" s="0">
        <f>IF(AND(ISNUMBER(W156),W156&gt;0),D156,"")</f>
      </c>
      <c r="AE156" s="0">
        <f>IF(AND(ISNUMBER(W156),W156&gt;0),IF(INDEX('PEGAR'!$D$13:$D$512,IF(L156&gt;0,L156,K156))="","Sin descripción",INDEX('PEGAR'!$D$13:$D$512,IF(L156&gt;0,L156,K156))),"")</f>
      </c>
      <c r="AF156" s="0">
        <f>IF(AND(ISNUMBER(W156),W156&gt;0),J156,"")</f>
      </c>
      <c r="AG156" s="0" t="n">
        <f>IF(AND(ISNUMBER(W156),W156&gt;0),W156,0)</f>
        <v>0</v>
      </c>
      <c r="AH156" s="0">
        <f>IF(AG156&gt;0,COUNTIFS($AG$13:AG156,"&gt;0"),"")</f>
      </c>
    </row>
    <row r="157" ht="22" customHeight="1">
      <c r="B157" s="27">
        <f>IF(K157="","",INDEX('PEGAR'!$O$13:$O$512,K157))</f>
      </c>
      <c r="C157" s="30">
        <f>IF(B157="","",IF(LEN(TRIM(INDEX('PEGAR'!$B$13:$B$512,IF(L157&gt;0,L157,K157))&amp;""))=0,"Sin capítulo",TRIM(INDEX('PEGAR'!$B$13:$B$512,IF(L157&gt;0,L157,K157))&amp;"")))</f>
      </c>
      <c r="D157" s="27">
        <f>IF(B157="","",IF(LEN(TRIM(INDEX('PEGAR'!$C$13:$C$512,IF(L157&gt;0,L157,K157))&amp;""))=0,"",TRIM(INDEX('PEGAR'!$C$13:$C$512,IF(L157&gt;0,L157,K157))&amp;"")))</f>
      </c>
      <c r="E157" s="27">
        <f>IF(B157="","",INDEX('PEGAR'!$S$13:$S$512,IF(L157&gt;0,L157,K157)))</f>
      </c>
      <c r="F157" s="39">
        <f>IF(B157="","",IF(L157&gt;0,INDEX('PEGAR'!$F$13:$F$512,L157),""))</f>
      </c>
      <c r="G157" s="39">
        <f>IF(B157="","",IF(OR(M157=0,N157&gt;0,O157&gt;0),"",SUMIFS('PEGAR'!$M$13:$M$512,'PEGAR'!$O$13:$O$512,B157)))</f>
      </c>
      <c r="H157" s="39">
        <f>IF(AND(ISNUMBER(F157),ISNUMBER(G157)),G157-F157,"")</f>
      </c>
      <c r="I157" s="27">
        <f>IF(B157="","",IF(W157=2,"ROJO",IF(W157=1,"ÁMBAR","VERDE")))</f>
      </c>
      <c r="J157" s="30">
        <f>IF(B157="","",IF(W157=0,"Sin avisos numéricos. Revisamos el alcance aparte.",IF(L157=0,"Faltan datos completos de partida; no elegimos un total por suposición."&amp;CHAR(10),"")&amp;IF(N157&gt;0,"Hay filas incompletas o contradictorias; las revisamos en PEGAR."&amp;CHAR(10),"")&amp;IF(O157&gt;0,"Faltan las medidas de alguna fila; no cerramos la suma."&amp;CHAR(10),"")&amp;IF(M157=0,"No constan líneas de medición."&amp;CHAR(10),"")&amp;IF(IF(ISNUMBER(H157),ROUND(ABS(H157),8)&gt;$F$6,FALSE),"Las líneas difieren del total en más de 0,01; confirmamos cantidad o exclusión."&amp;CHAR(10),"")&amp;IF(P157&gt;0,"Parece m³: encontramos tres dimensiones bajo m²."&amp;CHAR(10),"")&amp;IF(R157&gt;0,"Código repetido dentro del capítulo; mantenemos sus ID separados."&amp;CHAR(10),"")&amp;IF(S157&gt;0,"Código repetido en otro capítulo; no unimos las partidas."&amp;CHAR(10),"")&amp;IF(T157&gt;0,"Mismo código con unidades distintas; pedimos aclaración."&amp;CHAR(10),"")&amp;IF(Q157&gt;0,"Hay más precisión que los decimales indicados; cotejamos el formato original."&amp;CHAR(10),"")&amp;IF(U157&gt;0,"Unidad sin normalizar; cotejamos su significado antes de sumar unidades."&amp;CHAR(10),"")&amp;IF(V157&gt;0,"Revisamos dimensiones, cantidades directas, ceros o deducciones en PEGAR."&amp;CHAR(10),"")))</f>
      </c>
      <c r="K157" s="0">
        <f>IF(145&gt;'RESUMEN'!$E$6,"",MATCH(145,'PEGAR'!$W$13:$W$512,0))</f>
      </c>
      <c r="L157" s="0">
        <f>IF(K157="","",INDEX('PEGAR'!$R$13:$R$512,K157))</f>
      </c>
      <c r="M157" s="0">
        <f>IF(B157="","",COUNTIFS('PEGAR'!$O$13:$O$512,B157,'PEGAR'!$P$13:$P$512,"DIMENSIONES")+COUNTIFS('PEGAR'!$O$13:$O$512,B157,'PEGAR'!$P$13:$P$512,"DIRECTA"))</f>
      </c>
      <c r="N157" s="0">
        <f>IF(B157="","",COUNTIFS('PEGAR'!$O$13:$O$512,B157,'PEGAR'!$X$13:$X$512,2))</f>
      </c>
      <c r="O157" s="0">
        <f>IF(B157="","",COUNTIFS('PEGAR'!$O$13:$O$512,B157,'PEGAR'!$P$13:$P$512,"SIN LÍNEAS"))</f>
      </c>
      <c r="P157" s="0">
        <f>IF(B157="","",SUMIFS('PEGAR'!$Y$13:$Y$512,'PEGAR'!$O$13:$O$512,B157))</f>
      </c>
      <c r="Q157" s="0">
        <f>IF(B157="","",SUMIFS('PEGAR'!$Z$13:$Z$512,'PEGAR'!$O$13:$O$512,B157))</f>
      </c>
      <c r="R157" s="0" t="n">
        <f>IF(OR(B157="",D157=""),0,SUMPRODUCT(--($B$13:$B$512&lt;&gt;""),--($D$13:$D$512=D157),--($C$13:$C$512=C157))-1)</f>
        <v>0</v>
      </c>
      <c r="S157" s="0" t="n">
        <f>IF(OR(B157="",D157=""),0,SUMPRODUCT(--($B$13:$B$512&lt;&gt;""),--($D$13:$D$512=D157),--($C$13:$C$512&lt;&gt;C157)))</f>
        <v>0</v>
      </c>
      <c r="T157" s="0" t="n">
        <f>IF(OR(B157="",D157=""),0,SUMPRODUCT(--($B$13:$B$512&lt;&gt;""),--($D$13:$D$512=D157),--($E$13:$E$512&lt;&gt;E157)))</f>
        <v>0</v>
      </c>
      <c r="U157" s="0" t="n">
        <f>IF(B157="",0,IF(SUMPRODUCT(--('LÉEME'!$C$65:$C$86=E157))=0,1,0))</f>
        <v>0</v>
      </c>
      <c r="V157" s="0">
        <f>IF(B157="","",SUMIFS('PEGAR'!$AA$13:$AA$512,'PEGAR'!$O$13:$O$512,B157))</f>
      </c>
      <c r="W157" s="0">
        <f>IF(B157="","",IF(OR(L157=0,N157&gt;0,T157&gt;0,IF(ISNUMBER(H157),ROUND(ABS(H157),8)&gt;$F$6,FALSE)),2,IF(OR(M157=0,O157&gt;0,P157&gt;0,Q157&gt;0,R157&gt;0,S157&gt;0,U157&gt;0,V157&gt;0),1,0)))</f>
      </c>
      <c r="X157" s="0">
        <f>IF(B157="","",IF(ISNUMBER(G157),1,0))</f>
      </c>
      <c r="AB157" s="0">
        <f>IF(AND(ISNUMBER(W157),W157&gt;0),"ID "&amp;B157,"")</f>
      </c>
      <c r="AC157" s="0">
        <f>IF(AND(ISNUMBER(W157),W157&gt;0),C157,"")</f>
      </c>
      <c r="AD157" s="0">
        <f>IF(AND(ISNUMBER(W157),W157&gt;0),D157,"")</f>
      </c>
      <c r="AE157" s="0">
        <f>IF(AND(ISNUMBER(W157),W157&gt;0),IF(INDEX('PEGAR'!$D$13:$D$512,IF(L157&gt;0,L157,K157))="","Sin descripción",INDEX('PEGAR'!$D$13:$D$512,IF(L157&gt;0,L157,K157))),"")</f>
      </c>
      <c r="AF157" s="0">
        <f>IF(AND(ISNUMBER(W157),W157&gt;0),J157,"")</f>
      </c>
      <c r="AG157" s="0" t="n">
        <f>IF(AND(ISNUMBER(W157),W157&gt;0),W157,0)</f>
        <v>0</v>
      </c>
      <c r="AH157" s="0">
        <f>IF(AG157&gt;0,COUNTIFS($AG$13:AG157,"&gt;0"),"")</f>
      </c>
    </row>
    <row r="158" ht="22" customHeight="1">
      <c r="B158" s="27">
        <f>IF(K158="","",INDEX('PEGAR'!$O$13:$O$512,K158))</f>
      </c>
      <c r="C158" s="30">
        <f>IF(B158="","",IF(LEN(TRIM(INDEX('PEGAR'!$B$13:$B$512,IF(L158&gt;0,L158,K158))&amp;""))=0,"Sin capítulo",TRIM(INDEX('PEGAR'!$B$13:$B$512,IF(L158&gt;0,L158,K158))&amp;"")))</f>
      </c>
      <c r="D158" s="27">
        <f>IF(B158="","",IF(LEN(TRIM(INDEX('PEGAR'!$C$13:$C$512,IF(L158&gt;0,L158,K158))&amp;""))=0,"",TRIM(INDEX('PEGAR'!$C$13:$C$512,IF(L158&gt;0,L158,K158))&amp;"")))</f>
      </c>
      <c r="E158" s="27">
        <f>IF(B158="","",INDEX('PEGAR'!$S$13:$S$512,IF(L158&gt;0,L158,K158)))</f>
      </c>
      <c r="F158" s="39">
        <f>IF(B158="","",IF(L158&gt;0,INDEX('PEGAR'!$F$13:$F$512,L158),""))</f>
      </c>
      <c r="G158" s="39">
        <f>IF(B158="","",IF(OR(M158=0,N158&gt;0,O158&gt;0),"",SUMIFS('PEGAR'!$M$13:$M$512,'PEGAR'!$O$13:$O$512,B158)))</f>
      </c>
      <c r="H158" s="39">
        <f>IF(AND(ISNUMBER(F158),ISNUMBER(G158)),G158-F158,"")</f>
      </c>
      <c r="I158" s="27">
        <f>IF(B158="","",IF(W158=2,"ROJO",IF(W158=1,"ÁMBAR","VERDE")))</f>
      </c>
      <c r="J158" s="30">
        <f>IF(B158="","",IF(W158=0,"Sin avisos numéricos. Revisamos el alcance aparte.",IF(L158=0,"Faltan datos completos de partida; no elegimos un total por suposición."&amp;CHAR(10),"")&amp;IF(N158&gt;0,"Hay filas incompletas o contradictorias; las revisamos en PEGAR."&amp;CHAR(10),"")&amp;IF(O158&gt;0,"Faltan las medidas de alguna fila; no cerramos la suma."&amp;CHAR(10),"")&amp;IF(M158=0,"No constan líneas de medición."&amp;CHAR(10),"")&amp;IF(IF(ISNUMBER(H158),ROUND(ABS(H158),8)&gt;$F$6,FALSE),"Las líneas difieren del total en más de 0,01; confirmamos cantidad o exclusión."&amp;CHAR(10),"")&amp;IF(P158&gt;0,"Parece m³: encontramos tres dimensiones bajo m²."&amp;CHAR(10),"")&amp;IF(R158&gt;0,"Código repetido dentro del capítulo; mantenemos sus ID separados."&amp;CHAR(10),"")&amp;IF(S158&gt;0,"Código repetido en otro capítulo; no unimos las partidas."&amp;CHAR(10),"")&amp;IF(T158&gt;0,"Mismo código con unidades distintas; pedimos aclaración."&amp;CHAR(10),"")&amp;IF(Q158&gt;0,"Hay más precisión que los decimales indicados; cotejamos el formato original."&amp;CHAR(10),"")&amp;IF(U158&gt;0,"Unidad sin normalizar; cotejamos su significado antes de sumar unidades."&amp;CHAR(10),"")&amp;IF(V158&gt;0,"Revisamos dimensiones, cantidades directas, ceros o deducciones en PEGAR."&amp;CHAR(10),"")))</f>
      </c>
      <c r="K158" s="0">
        <f>IF(146&gt;'RESUMEN'!$E$6,"",MATCH(146,'PEGAR'!$W$13:$W$512,0))</f>
      </c>
      <c r="L158" s="0">
        <f>IF(K158="","",INDEX('PEGAR'!$R$13:$R$512,K158))</f>
      </c>
      <c r="M158" s="0">
        <f>IF(B158="","",COUNTIFS('PEGAR'!$O$13:$O$512,B158,'PEGAR'!$P$13:$P$512,"DIMENSIONES")+COUNTIFS('PEGAR'!$O$13:$O$512,B158,'PEGAR'!$P$13:$P$512,"DIRECTA"))</f>
      </c>
      <c r="N158" s="0">
        <f>IF(B158="","",COUNTIFS('PEGAR'!$O$13:$O$512,B158,'PEGAR'!$X$13:$X$512,2))</f>
      </c>
      <c r="O158" s="0">
        <f>IF(B158="","",COUNTIFS('PEGAR'!$O$13:$O$512,B158,'PEGAR'!$P$13:$P$512,"SIN LÍNEAS"))</f>
      </c>
      <c r="P158" s="0">
        <f>IF(B158="","",SUMIFS('PEGAR'!$Y$13:$Y$512,'PEGAR'!$O$13:$O$512,B158))</f>
      </c>
      <c r="Q158" s="0">
        <f>IF(B158="","",SUMIFS('PEGAR'!$Z$13:$Z$512,'PEGAR'!$O$13:$O$512,B158))</f>
      </c>
      <c r="R158" s="0" t="n">
        <f>IF(OR(B158="",D158=""),0,SUMPRODUCT(--($B$13:$B$512&lt;&gt;""),--($D$13:$D$512=D158),--($C$13:$C$512=C158))-1)</f>
        <v>0</v>
      </c>
      <c r="S158" s="0" t="n">
        <f>IF(OR(B158="",D158=""),0,SUMPRODUCT(--($B$13:$B$512&lt;&gt;""),--($D$13:$D$512=D158),--($C$13:$C$512&lt;&gt;C158)))</f>
        <v>0</v>
      </c>
      <c r="T158" s="0" t="n">
        <f>IF(OR(B158="",D158=""),0,SUMPRODUCT(--($B$13:$B$512&lt;&gt;""),--($D$13:$D$512=D158),--($E$13:$E$512&lt;&gt;E158)))</f>
        <v>0</v>
      </c>
      <c r="U158" s="0" t="n">
        <f>IF(B158="",0,IF(SUMPRODUCT(--('LÉEME'!$C$65:$C$86=E158))=0,1,0))</f>
        <v>0</v>
      </c>
      <c r="V158" s="0">
        <f>IF(B158="","",SUMIFS('PEGAR'!$AA$13:$AA$512,'PEGAR'!$O$13:$O$512,B158))</f>
      </c>
      <c r="W158" s="0">
        <f>IF(B158="","",IF(OR(L158=0,N158&gt;0,T158&gt;0,IF(ISNUMBER(H158),ROUND(ABS(H158),8)&gt;$F$6,FALSE)),2,IF(OR(M158=0,O158&gt;0,P158&gt;0,Q158&gt;0,R158&gt;0,S158&gt;0,U158&gt;0,V158&gt;0),1,0)))</f>
      </c>
      <c r="X158" s="0">
        <f>IF(B158="","",IF(ISNUMBER(G158),1,0))</f>
      </c>
      <c r="AB158" s="0">
        <f>IF(AND(ISNUMBER(W158),W158&gt;0),"ID "&amp;B158,"")</f>
      </c>
      <c r="AC158" s="0">
        <f>IF(AND(ISNUMBER(W158),W158&gt;0),C158,"")</f>
      </c>
      <c r="AD158" s="0">
        <f>IF(AND(ISNUMBER(W158),W158&gt;0),D158,"")</f>
      </c>
      <c r="AE158" s="0">
        <f>IF(AND(ISNUMBER(W158),W158&gt;0),IF(INDEX('PEGAR'!$D$13:$D$512,IF(L158&gt;0,L158,K158))="","Sin descripción",INDEX('PEGAR'!$D$13:$D$512,IF(L158&gt;0,L158,K158))),"")</f>
      </c>
      <c r="AF158" s="0">
        <f>IF(AND(ISNUMBER(W158),W158&gt;0),J158,"")</f>
      </c>
      <c r="AG158" s="0" t="n">
        <f>IF(AND(ISNUMBER(W158),W158&gt;0),W158,0)</f>
        <v>0</v>
      </c>
      <c r="AH158" s="0">
        <f>IF(AG158&gt;0,COUNTIFS($AG$13:AG158,"&gt;0"),"")</f>
      </c>
    </row>
    <row r="159" ht="22" customHeight="1">
      <c r="B159" s="27">
        <f>IF(K159="","",INDEX('PEGAR'!$O$13:$O$512,K159))</f>
      </c>
      <c r="C159" s="30">
        <f>IF(B159="","",IF(LEN(TRIM(INDEX('PEGAR'!$B$13:$B$512,IF(L159&gt;0,L159,K159))&amp;""))=0,"Sin capítulo",TRIM(INDEX('PEGAR'!$B$13:$B$512,IF(L159&gt;0,L159,K159))&amp;"")))</f>
      </c>
      <c r="D159" s="27">
        <f>IF(B159="","",IF(LEN(TRIM(INDEX('PEGAR'!$C$13:$C$512,IF(L159&gt;0,L159,K159))&amp;""))=0,"",TRIM(INDEX('PEGAR'!$C$13:$C$512,IF(L159&gt;0,L159,K159))&amp;"")))</f>
      </c>
      <c r="E159" s="27">
        <f>IF(B159="","",INDEX('PEGAR'!$S$13:$S$512,IF(L159&gt;0,L159,K159)))</f>
      </c>
      <c r="F159" s="39">
        <f>IF(B159="","",IF(L159&gt;0,INDEX('PEGAR'!$F$13:$F$512,L159),""))</f>
      </c>
      <c r="G159" s="39">
        <f>IF(B159="","",IF(OR(M159=0,N159&gt;0,O159&gt;0),"",SUMIFS('PEGAR'!$M$13:$M$512,'PEGAR'!$O$13:$O$512,B159)))</f>
      </c>
      <c r="H159" s="39">
        <f>IF(AND(ISNUMBER(F159),ISNUMBER(G159)),G159-F159,"")</f>
      </c>
      <c r="I159" s="27">
        <f>IF(B159="","",IF(W159=2,"ROJO",IF(W159=1,"ÁMBAR","VERDE")))</f>
      </c>
      <c r="J159" s="30">
        <f>IF(B159="","",IF(W159=0,"Sin avisos numéricos. Revisamos el alcance aparte.",IF(L159=0,"Faltan datos completos de partida; no elegimos un total por suposición."&amp;CHAR(10),"")&amp;IF(N159&gt;0,"Hay filas incompletas o contradictorias; las revisamos en PEGAR."&amp;CHAR(10),"")&amp;IF(O159&gt;0,"Faltan las medidas de alguna fila; no cerramos la suma."&amp;CHAR(10),"")&amp;IF(M159=0,"No constan líneas de medición."&amp;CHAR(10),"")&amp;IF(IF(ISNUMBER(H159),ROUND(ABS(H159),8)&gt;$F$6,FALSE),"Las líneas difieren del total en más de 0,01; confirmamos cantidad o exclusión."&amp;CHAR(10),"")&amp;IF(P159&gt;0,"Parece m³: encontramos tres dimensiones bajo m²."&amp;CHAR(10),"")&amp;IF(R159&gt;0,"Código repetido dentro del capítulo; mantenemos sus ID separados."&amp;CHAR(10),"")&amp;IF(S159&gt;0,"Código repetido en otro capítulo; no unimos las partidas."&amp;CHAR(10),"")&amp;IF(T159&gt;0,"Mismo código con unidades distintas; pedimos aclaración."&amp;CHAR(10),"")&amp;IF(Q159&gt;0,"Hay más precisión que los decimales indicados; cotejamos el formato original."&amp;CHAR(10),"")&amp;IF(U159&gt;0,"Unidad sin normalizar; cotejamos su significado antes de sumar unidades."&amp;CHAR(10),"")&amp;IF(V159&gt;0,"Revisamos dimensiones, cantidades directas, ceros o deducciones en PEGAR."&amp;CHAR(10),"")))</f>
      </c>
      <c r="K159" s="0">
        <f>IF(147&gt;'RESUMEN'!$E$6,"",MATCH(147,'PEGAR'!$W$13:$W$512,0))</f>
      </c>
      <c r="L159" s="0">
        <f>IF(K159="","",INDEX('PEGAR'!$R$13:$R$512,K159))</f>
      </c>
      <c r="M159" s="0">
        <f>IF(B159="","",COUNTIFS('PEGAR'!$O$13:$O$512,B159,'PEGAR'!$P$13:$P$512,"DIMENSIONES")+COUNTIFS('PEGAR'!$O$13:$O$512,B159,'PEGAR'!$P$13:$P$512,"DIRECTA"))</f>
      </c>
      <c r="N159" s="0">
        <f>IF(B159="","",COUNTIFS('PEGAR'!$O$13:$O$512,B159,'PEGAR'!$X$13:$X$512,2))</f>
      </c>
      <c r="O159" s="0">
        <f>IF(B159="","",COUNTIFS('PEGAR'!$O$13:$O$512,B159,'PEGAR'!$P$13:$P$512,"SIN LÍNEAS"))</f>
      </c>
      <c r="P159" s="0">
        <f>IF(B159="","",SUMIFS('PEGAR'!$Y$13:$Y$512,'PEGAR'!$O$13:$O$512,B159))</f>
      </c>
      <c r="Q159" s="0">
        <f>IF(B159="","",SUMIFS('PEGAR'!$Z$13:$Z$512,'PEGAR'!$O$13:$O$512,B159))</f>
      </c>
      <c r="R159" s="0" t="n">
        <f>IF(OR(B159="",D159=""),0,SUMPRODUCT(--($B$13:$B$512&lt;&gt;""),--($D$13:$D$512=D159),--($C$13:$C$512=C159))-1)</f>
        <v>0</v>
      </c>
      <c r="S159" s="0" t="n">
        <f>IF(OR(B159="",D159=""),0,SUMPRODUCT(--($B$13:$B$512&lt;&gt;""),--($D$13:$D$512=D159),--($C$13:$C$512&lt;&gt;C159)))</f>
        <v>0</v>
      </c>
      <c r="T159" s="0" t="n">
        <f>IF(OR(B159="",D159=""),0,SUMPRODUCT(--($B$13:$B$512&lt;&gt;""),--($D$13:$D$512=D159),--($E$13:$E$512&lt;&gt;E159)))</f>
        <v>0</v>
      </c>
      <c r="U159" s="0" t="n">
        <f>IF(B159="",0,IF(SUMPRODUCT(--('LÉEME'!$C$65:$C$86=E159))=0,1,0))</f>
        <v>0</v>
      </c>
      <c r="V159" s="0">
        <f>IF(B159="","",SUMIFS('PEGAR'!$AA$13:$AA$512,'PEGAR'!$O$13:$O$512,B159))</f>
      </c>
      <c r="W159" s="0">
        <f>IF(B159="","",IF(OR(L159=0,N159&gt;0,T159&gt;0,IF(ISNUMBER(H159),ROUND(ABS(H159),8)&gt;$F$6,FALSE)),2,IF(OR(M159=0,O159&gt;0,P159&gt;0,Q159&gt;0,R159&gt;0,S159&gt;0,U159&gt;0,V159&gt;0),1,0)))</f>
      </c>
      <c r="X159" s="0">
        <f>IF(B159="","",IF(ISNUMBER(G159),1,0))</f>
      </c>
      <c r="AB159" s="0">
        <f>IF(AND(ISNUMBER(W159),W159&gt;0),"ID "&amp;B159,"")</f>
      </c>
      <c r="AC159" s="0">
        <f>IF(AND(ISNUMBER(W159),W159&gt;0),C159,"")</f>
      </c>
      <c r="AD159" s="0">
        <f>IF(AND(ISNUMBER(W159),W159&gt;0),D159,"")</f>
      </c>
      <c r="AE159" s="0">
        <f>IF(AND(ISNUMBER(W159),W159&gt;0),IF(INDEX('PEGAR'!$D$13:$D$512,IF(L159&gt;0,L159,K159))="","Sin descripción",INDEX('PEGAR'!$D$13:$D$512,IF(L159&gt;0,L159,K159))),"")</f>
      </c>
      <c r="AF159" s="0">
        <f>IF(AND(ISNUMBER(W159),W159&gt;0),J159,"")</f>
      </c>
      <c r="AG159" s="0" t="n">
        <f>IF(AND(ISNUMBER(W159),W159&gt;0),W159,0)</f>
        <v>0</v>
      </c>
      <c r="AH159" s="0">
        <f>IF(AG159&gt;0,COUNTIFS($AG$13:AG159,"&gt;0"),"")</f>
      </c>
    </row>
    <row r="160" ht="22" customHeight="1">
      <c r="B160" s="27">
        <f>IF(K160="","",INDEX('PEGAR'!$O$13:$O$512,K160))</f>
      </c>
      <c r="C160" s="30">
        <f>IF(B160="","",IF(LEN(TRIM(INDEX('PEGAR'!$B$13:$B$512,IF(L160&gt;0,L160,K160))&amp;""))=0,"Sin capítulo",TRIM(INDEX('PEGAR'!$B$13:$B$512,IF(L160&gt;0,L160,K160))&amp;"")))</f>
      </c>
      <c r="D160" s="27">
        <f>IF(B160="","",IF(LEN(TRIM(INDEX('PEGAR'!$C$13:$C$512,IF(L160&gt;0,L160,K160))&amp;""))=0,"",TRIM(INDEX('PEGAR'!$C$13:$C$512,IF(L160&gt;0,L160,K160))&amp;"")))</f>
      </c>
      <c r="E160" s="27">
        <f>IF(B160="","",INDEX('PEGAR'!$S$13:$S$512,IF(L160&gt;0,L160,K160)))</f>
      </c>
      <c r="F160" s="39">
        <f>IF(B160="","",IF(L160&gt;0,INDEX('PEGAR'!$F$13:$F$512,L160),""))</f>
      </c>
      <c r="G160" s="39">
        <f>IF(B160="","",IF(OR(M160=0,N160&gt;0,O160&gt;0),"",SUMIFS('PEGAR'!$M$13:$M$512,'PEGAR'!$O$13:$O$512,B160)))</f>
      </c>
      <c r="H160" s="39">
        <f>IF(AND(ISNUMBER(F160),ISNUMBER(G160)),G160-F160,"")</f>
      </c>
      <c r="I160" s="27">
        <f>IF(B160="","",IF(W160=2,"ROJO",IF(W160=1,"ÁMBAR","VERDE")))</f>
      </c>
      <c r="J160" s="30">
        <f>IF(B160="","",IF(W160=0,"Sin avisos numéricos. Revisamos el alcance aparte.",IF(L160=0,"Faltan datos completos de partida; no elegimos un total por suposición."&amp;CHAR(10),"")&amp;IF(N160&gt;0,"Hay filas incompletas o contradictorias; las revisamos en PEGAR."&amp;CHAR(10),"")&amp;IF(O160&gt;0,"Faltan las medidas de alguna fila; no cerramos la suma."&amp;CHAR(10),"")&amp;IF(M160=0,"No constan líneas de medición."&amp;CHAR(10),"")&amp;IF(IF(ISNUMBER(H160),ROUND(ABS(H160),8)&gt;$F$6,FALSE),"Las líneas difieren del total en más de 0,01; confirmamos cantidad o exclusión."&amp;CHAR(10),"")&amp;IF(P160&gt;0,"Parece m³: encontramos tres dimensiones bajo m²."&amp;CHAR(10),"")&amp;IF(R160&gt;0,"Código repetido dentro del capítulo; mantenemos sus ID separados."&amp;CHAR(10),"")&amp;IF(S160&gt;0,"Código repetido en otro capítulo; no unimos las partidas."&amp;CHAR(10),"")&amp;IF(T160&gt;0,"Mismo código con unidades distintas; pedimos aclaración."&amp;CHAR(10),"")&amp;IF(Q160&gt;0,"Hay más precisión que los decimales indicados; cotejamos el formato original."&amp;CHAR(10),"")&amp;IF(U160&gt;0,"Unidad sin normalizar; cotejamos su significado antes de sumar unidades."&amp;CHAR(10),"")&amp;IF(V160&gt;0,"Revisamos dimensiones, cantidades directas, ceros o deducciones en PEGAR."&amp;CHAR(10),"")))</f>
      </c>
      <c r="K160" s="0">
        <f>IF(148&gt;'RESUMEN'!$E$6,"",MATCH(148,'PEGAR'!$W$13:$W$512,0))</f>
      </c>
      <c r="L160" s="0">
        <f>IF(K160="","",INDEX('PEGAR'!$R$13:$R$512,K160))</f>
      </c>
      <c r="M160" s="0">
        <f>IF(B160="","",COUNTIFS('PEGAR'!$O$13:$O$512,B160,'PEGAR'!$P$13:$P$512,"DIMENSIONES")+COUNTIFS('PEGAR'!$O$13:$O$512,B160,'PEGAR'!$P$13:$P$512,"DIRECTA"))</f>
      </c>
      <c r="N160" s="0">
        <f>IF(B160="","",COUNTIFS('PEGAR'!$O$13:$O$512,B160,'PEGAR'!$X$13:$X$512,2))</f>
      </c>
      <c r="O160" s="0">
        <f>IF(B160="","",COUNTIFS('PEGAR'!$O$13:$O$512,B160,'PEGAR'!$P$13:$P$512,"SIN LÍNEAS"))</f>
      </c>
      <c r="P160" s="0">
        <f>IF(B160="","",SUMIFS('PEGAR'!$Y$13:$Y$512,'PEGAR'!$O$13:$O$512,B160))</f>
      </c>
      <c r="Q160" s="0">
        <f>IF(B160="","",SUMIFS('PEGAR'!$Z$13:$Z$512,'PEGAR'!$O$13:$O$512,B160))</f>
      </c>
      <c r="R160" s="0" t="n">
        <f>IF(OR(B160="",D160=""),0,SUMPRODUCT(--($B$13:$B$512&lt;&gt;""),--($D$13:$D$512=D160),--($C$13:$C$512=C160))-1)</f>
        <v>0</v>
      </c>
      <c r="S160" s="0" t="n">
        <f>IF(OR(B160="",D160=""),0,SUMPRODUCT(--($B$13:$B$512&lt;&gt;""),--($D$13:$D$512=D160),--($C$13:$C$512&lt;&gt;C160)))</f>
        <v>0</v>
      </c>
      <c r="T160" s="0" t="n">
        <f>IF(OR(B160="",D160=""),0,SUMPRODUCT(--($B$13:$B$512&lt;&gt;""),--($D$13:$D$512=D160),--($E$13:$E$512&lt;&gt;E160)))</f>
        <v>0</v>
      </c>
      <c r="U160" s="0" t="n">
        <f>IF(B160="",0,IF(SUMPRODUCT(--('LÉEME'!$C$65:$C$86=E160))=0,1,0))</f>
        <v>0</v>
      </c>
      <c r="V160" s="0">
        <f>IF(B160="","",SUMIFS('PEGAR'!$AA$13:$AA$512,'PEGAR'!$O$13:$O$512,B160))</f>
      </c>
      <c r="W160" s="0">
        <f>IF(B160="","",IF(OR(L160=0,N160&gt;0,T160&gt;0,IF(ISNUMBER(H160),ROUND(ABS(H160),8)&gt;$F$6,FALSE)),2,IF(OR(M160=0,O160&gt;0,P160&gt;0,Q160&gt;0,R160&gt;0,S160&gt;0,U160&gt;0,V160&gt;0),1,0)))</f>
      </c>
      <c r="X160" s="0">
        <f>IF(B160="","",IF(ISNUMBER(G160),1,0))</f>
      </c>
      <c r="AB160" s="0">
        <f>IF(AND(ISNUMBER(W160),W160&gt;0),"ID "&amp;B160,"")</f>
      </c>
      <c r="AC160" s="0">
        <f>IF(AND(ISNUMBER(W160),W160&gt;0),C160,"")</f>
      </c>
      <c r="AD160" s="0">
        <f>IF(AND(ISNUMBER(W160),W160&gt;0),D160,"")</f>
      </c>
      <c r="AE160" s="0">
        <f>IF(AND(ISNUMBER(W160),W160&gt;0),IF(INDEX('PEGAR'!$D$13:$D$512,IF(L160&gt;0,L160,K160))="","Sin descripción",INDEX('PEGAR'!$D$13:$D$512,IF(L160&gt;0,L160,K160))),"")</f>
      </c>
      <c r="AF160" s="0">
        <f>IF(AND(ISNUMBER(W160),W160&gt;0),J160,"")</f>
      </c>
      <c r="AG160" s="0" t="n">
        <f>IF(AND(ISNUMBER(W160),W160&gt;0),W160,0)</f>
        <v>0</v>
      </c>
      <c r="AH160" s="0">
        <f>IF(AG160&gt;0,COUNTIFS($AG$13:AG160,"&gt;0"),"")</f>
      </c>
    </row>
    <row r="161" ht="22" customHeight="1">
      <c r="B161" s="27">
        <f>IF(K161="","",INDEX('PEGAR'!$O$13:$O$512,K161))</f>
      </c>
      <c r="C161" s="30">
        <f>IF(B161="","",IF(LEN(TRIM(INDEX('PEGAR'!$B$13:$B$512,IF(L161&gt;0,L161,K161))&amp;""))=0,"Sin capítulo",TRIM(INDEX('PEGAR'!$B$13:$B$512,IF(L161&gt;0,L161,K161))&amp;"")))</f>
      </c>
      <c r="D161" s="27">
        <f>IF(B161="","",IF(LEN(TRIM(INDEX('PEGAR'!$C$13:$C$512,IF(L161&gt;0,L161,K161))&amp;""))=0,"",TRIM(INDEX('PEGAR'!$C$13:$C$512,IF(L161&gt;0,L161,K161))&amp;"")))</f>
      </c>
      <c r="E161" s="27">
        <f>IF(B161="","",INDEX('PEGAR'!$S$13:$S$512,IF(L161&gt;0,L161,K161)))</f>
      </c>
      <c r="F161" s="39">
        <f>IF(B161="","",IF(L161&gt;0,INDEX('PEGAR'!$F$13:$F$512,L161),""))</f>
      </c>
      <c r="G161" s="39">
        <f>IF(B161="","",IF(OR(M161=0,N161&gt;0,O161&gt;0),"",SUMIFS('PEGAR'!$M$13:$M$512,'PEGAR'!$O$13:$O$512,B161)))</f>
      </c>
      <c r="H161" s="39">
        <f>IF(AND(ISNUMBER(F161),ISNUMBER(G161)),G161-F161,"")</f>
      </c>
      <c r="I161" s="27">
        <f>IF(B161="","",IF(W161=2,"ROJO",IF(W161=1,"ÁMBAR","VERDE")))</f>
      </c>
      <c r="J161" s="30">
        <f>IF(B161="","",IF(W161=0,"Sin avisos numéricos. Revisamos el alcance aparte.",IF(L161=0,"Faltan datos completos de partida; no elegimos un total por suposición."&amp;CHAR(10),"")&amp;IF(N161&gt;0,"Hay filas incompletas o contradictorias; las revisamos en PEGAR."&amp;CHAR(10),"")&amp;IF(O161&gt;0,"Faltan las medidas de alguna fila; no cerramos la suma."&amp;CHAR(10),"")&amp;IF(M161=0,"No constan líneas de medición."&amp;CHAR(10),"")&amp;IF(IF(ISNUMBER(H161),ROUND(ABS(H161),8)&gt;$F$6,FALSE),"Las líneas difieren del total en más de 0,01; confirmamos cantidad o exclusión."&amp;CHAR(10),"")&amp;IF(P161&gt;0,"Parece m³: encontramos tres dimensiones bajo m²."&amp;CHAR(10),"")&amp;IF(R161&gt;0,"Código repetido dentro del capítulo; mantenemos sus ID separados."&amp;CHAR(10),"")&amp;IF(S161&gt;0,"Código repetido en otro capítulo; no unimos las partidas."&amp;CHAR(10),"")&amp;IF(T161&gt;0,"Mismo código con unidades distintas; pedimos aclaración."&amp;CHAR(10),"")&amp;IF(Q161&gt;0,"Hay más precisión que los decimales indicados; cotejamos el formato original."&amp;CHAR(10),"")&amp;IF(U161&gt;0,"Unidad sin normalizar; cotejamos su significado antes de sumar unidades."&amp;CHAR(10),"")&amp;IF(V161&gt;0,"Revisamos dimensiones, cantidades directas, ceros o deducciones en PEGAR."&amp;CHAR(10),"")))</f>
      </c>
      <c r="K161" s="0">
        <f>IF(149&gt;'RESUMEN'!$E$6,"",MATCH(149,'PEGAR'!$W$13:$W$512,0))</f>
      </c>
      <c r="L161" s="0">
        <f>IF(K161="","",INDEX('PEGAR'!$R$13:$R$512,K161))</f>
      </c>
      <c r="M161" s="0">
        <f>IF(B161="","",COUNTIFS('PEGAR'!$O$13:$O$512,B161,'PEGAR'!$P$13:$P$512,"DIMENSIONES")+COUNTIFS('PEGAR'!$O$13:$O$512,B161,'PEGAR'!$P$13:$P$512,"DIRECTA"))</f>
      </c>
      <c r="N161" s="0">
        <f>IF(B161="","",COUNTIFS('PEGAR'!$O$13:$O$512,B161,'PEGAR'!$X$13:$X$512,2))</f>
      </c>
      <c r="O161" s="0">
        <f>IF(B161="","",COUNTIFS('PEGAR'!$O$13:$O$512,B161,'PEGAR'!$P$13:$P$512,"SIN LÍNEAS"))</f>
      </c>
      <c r="P161" s="0">
        <f>IF(B161="","",SUMIFS('PEGAR'!$Y$13:$Y$512,'PEGAR'!$O$13:$O$512,B161))</f>
      </c>
      <c r="Q161" s="0">
        <f>IF(B161="","",SUMIFS('PEGAR'!$Z$13:$Z$512,'PEGAR'!$O$13:$O$512,B161))</f>
      </c>
      <c r="R161" s="0" t="n">
        <f>IF(OR(B161="",D161=""),0,SUMPRODUCT(--($B$13:$B$512&lt;&gt;""),--($D$13:$D$512=D161),--($C$13:$C$512=C161))-1)</f>
        <v>0</v>
      </c>
      <c r="S161" s="0" t="n">
        <f>IF(OR(B161="",D161=""),0,SUMPRODUCT(--($B$13:$B$512&lt;&gt;""),--($D$13:$D$512=D161),--($C$13:$C$512&lt;&gt;C161)))</f>
        <v>0</v>
      </c>
      <c r="T161" s="0" t="n">
        <f>IF(OR(B161="",D161=""),0,SUMPRODUCT(--($B$13:$B$512&lt;&gt;""),--($D$13:$D$512=D161),--($E$13:$E$512&lt;&gt;E161)))</f>
        <v>0</v>
      </c>
      <c r="U161" s="0" t="n">
        <f>IF(B161="",0,IF(SUMPRODUCT(--('LÉEME'!$C$65:$C$86=E161))=0,1,0))</f>
        <v>0</v>
      </c>
      <c r="V161" s="0">
        <f>IF(B161="","",SUMIFS('PEGAR'!$AA$13:$AA$512,'PEGAR'!$O$13:$O$512,B161))</f>
      </c>
      <c r="W161" s="0">
        <f>IF(B161="","",IF(OR(L161=0,N161&gt;0,T161&gt;0,IF(ISNUMBER(H161),ROUND(ABS(H161),8)&gt;$F$6,FALSE)),2,IF(OR(M161=0,O161&gt;0,P161&gt;0,Q161&gt;0,R161&gt;0,S161&gt;0,U161&gt;0,V161&gt;0),1,0)))</f>
      </c>
      <c r="X161" s="0">
        <f>IF(B161="","",IF(ISNUMBER(G161),1,0))</f>
      </c>
      <c r="AB161" s="0">
        <f>IF(AND(ISNUMBER(W161),W161&gt;0),"ID "&amp;B161,"")</f>
      </c>
      <c r="AC161" s="0">
        <f>IF(AND(ISNUMBER(W161),W161&gt;0),C161,"")</f>
      </c>
      <c r="AD161" s="0">
        <f>IF(AND(ISNUMBER(W161),W161&gt;0),D161,"")</f>
      </c>
      <c r="AE161" s="0">
        <f>IF(AND(ISNUMBER(W161),W161&gt;0),IF(INDEX('PEGAR'!$D$13:$D$512,IF(L161&gt;0,L161,K161))="","Sin descripción",INDEX('PEGAR'!$D$13:$D$512,IF(L161&gt;0,L161,K161))),"")</f>
      </c>
      <c r="AF161" s="0">
        <f>IF(AND(ISNUMBER(W161),W161&gt;0),J161,"")</f>
      </c>
      <c r="AG161" s="0" t="n">
        <f>IF(AND(ISNUMBER(W161),W161&gt;0),W161,0)</f>
        <v>0</v>
      </c>
      <c r="AH161" s="0">
        <f>IF(AG161&gt;0,COUNTIFS($AG$13:AG161,"&gt;0"),"")</f>
      </c>
    </row>
    <row r="162" ht="22" customHeight="1">
      <c r="B162" s="27">
        <f>IF(K162="","",INDEX('PEGAR'!$O$13:$O$512,K162))</f>
      </c>
      <c r="C162" s="30">
        <f>IF(B162="","",IF(LEN(TRIM(INDEX('PEGAR'!$B$13:$B$512,IF(L162&gt;0,L162,K162))&amp;""))=0,"Sin capítulo",TRIM(INDEX('PEGAR'!$B$13:$B$512,IF(L162&gt;0,L162,K162))&amp;"")))</f>
      </c>
      <c r="D162" s="27">
        <f>IF(B162="","",IF(LEN(TRIM(INDEX('PEGAR'!$C$13:$C$512,IF(L162&gt;0,L162,K162))&amp;""))=0,"",TRIM(INDEX('PEGAR'!$C$13:$C$512,IF(L162&gt;0,L162,K162))&amp;"")))</f>
      </c>
      <c r="E162" s="27">
        <f>IF(B162="","",INDEX('PEGAR'!$S$13:$S$512,IF(L162&gt;0,L162,K162)))</f>
      </c>
      <c r="F162" s="39">
        <f>IF(B162="","",IF(L162&gt;0,INDEX('PEGAR'!$F$13:$F$512,L162),""))</f>
      </c>
      <c r="G162" s="39">
        <f>IF(B162="","",IF(OR(M162=0,N162&gt;0,O162&gt;0),"",SUMIFS('PEGAR'!$M$13:$M$512,'PEGAR'!$O$13:$O$512,B162)))</f>
      </c>
      <c r="H162" s="39">
        <f>IF(AND(ISNUMBER(F162),ISNUMBER(G162)),G162-F162,"")</f>
      </c>
      <c r="I162" s="27">
        <f>IF(B162="","",IF(W162=2,"ROJO",IF(W162=1,"ÁMBAR","VERDE")))</f>
      </c>
      <c r="J162" s="30">
        <f>IF(B162="","",IF(W162=0,"Sin avisos numéricos. Revisamos el alcance aparte.",IF(L162=0,"Faltan datos completos de partida; no elegimos un total por suposición."&amp;CHAR(10),"")&amp;IF(N162&gt;0,"Hay filas incompletas o contradictorias; las revisamos en PEGAR."&amp;CHAR(10),"")&amp;IF(O162&gt;0,"Faltan las medidas de alguna fila; no cerramos la suma."&amp;CHAR(10),"")&amp;IF(M162=0,"No constan líneas de medición."&amp;CHAR(10),"")&amp;IF(IF(ISNUMBER(H162),ROUND(ABS(H162),8)&gt;$F$6,FALSE),"Las líneas difieren del total en más de 0,01; confirmamos cantidad o exclusión."&amp;CHAR(10),"")&amp;IF(P162&gt;0,"Parece m³: encontramos tres dimensiones bajo m²."&amp;CHAR(10),"")&amp;IF(R162&gt;0,"Código repetido dentro del capítulo; mantenemos sus ID separados."&amp;CHAR(10),"")&amp;IF(S162&gt;0,"Código repetido en otro capítulo; no unimos las partidas."&amp;CHAR(10),"")&amp;IF(T162&gt;0,"Mismo código con unidades distintas; pedimos aclaración."&amp;CHAR(10),"")&amp;IF(Q162&gt;0,"Hay más precisión que los decimales indicados; cotejamos el formato original."&amp;CHAR(10),"")&amp;IF(U162&gt;0,"Unidad sin normalizar; cotejamos su significado antes de sumar unidades."&amp;CHAR(10),"")&amp;IF(V162&gt;0,"Revisamos dimensiones, cantidades directas, ceros o deducciones en PEGAR."&amp;CHAR(10),"")))</f>
      </c>
      <c r="K162" s="0">
        <f>IF(150&gt;'RESUMEN'!$E$6,"",MATCH(150,'PEGAR'!$W$13:$W$512,0))</f>
      </c>
      <c r="L162" s="0">
        <f>IF(K162="","",INDEX('PEGAR'!$R$13:$R$512,K162))</f>
      </c>
      <c r="M162" s="0">
        <f>IF(B162="","",COUNTIFS('PEGAR'!$O$13:$O$512,B162,'PEGAR'!$P$13:$P$512,"DIMENSIONES")+COUNTIFS('PEGAR'!$O$13:$O$512,B162,'PEGAR'!$P$13:$P$512,"DIRECTA"))</f>
      </c>
      <c r="N162" s="0">
        <f>IF(B162="","",COUNTIFS('PEGAR'!$O$13:$O$512,B162,'PEGAR'!$X$13:$X$512,2))</f>
      </c>
      <c r="O162" s="0">
        <f>IF(B162="","",COUNTIFS('PEGAR'!$O$13:$O$512,B162,'PEGAR'!$P$13:$P$512,"SIN LÍNEAS"))</f>
      </c>
      <c r="P162" s="0">
        <f>IF(B162="","",SUMIFS('PEGAR'!$Y$13:$Y$512,'PEGAR'!$O$13:$O$512,B162))</f>
      </c>
      <c r="Q162" s="0">
        <f>IF(B162="","",SUMIFS('PEGAR'!$Z$13:$Z$512,'PEGAR'!$O$13:$O$512,B162))</f>
      </c>
      <c r="R162" s="0" t="n">
        <f>IF(OR(B162="",D162=""),0,SUMPRODUCT(--($B$13:$B$512&lt;&gt;""),--($D$13:$D$512=D162),--($C$13:$C$512=C162))-1)</f>
        <v>0</v>
      </c>
      <c r="S162" s="0" t="n">
        <f>IF(OR(B162="",D162=""),0,SUMPRODUCT(--($B$13:$B$512&lt;&gt;""),--($D$13:$D$512=D162),--($C$13:$C$512&lt;&gt;C162)))</f>
        <v>0</v>
      </c>
      <c r="T162" s="0" t="n">
        <f>IF(OR(B162="",D162=""),0,SUMPRODUCT(--($B$13:$B$512&lt;&gt;""),--($D$13:$D$512=D162),--($E$13:$E$512&lt;&gt;E162)))</f>
        <v>0</v>
      </c>
      <c r="U162" s="0" t="n">
        <f>IF(B162="",0,IF(SUMPRODUCT(--('LÉEME'!$C$65:$C$86=E162))=0,1,0))</f>
        <v>0</v>
      </c>
      <c r="V162" s="0">
        <f>IF(B162="","",SUMIFS('PEGAR'!$AA$13:$AA$512,'PEGAR'!$O$13:$O$512,B162))</f>
      </c>
      <c r="W162" s="0">
        <f>IF(B162="","",IF(OR(L162=0,N162&gt;0,T162&gt;0,IF(ISNUMBER(H162),ROUND(ABS(H162),8)&gt;$F$6,FALSE)),2,IF(OR(M162=0,O162&gt;0,P162&gt;0,Q162&gt;0,R162&gt;0,S162&gt;0,U162&gt;0,V162&gt;0),1,0)))</f>
      </c>
      <c r="X162" s="0">
        <f>IF(B162="","",IF(ISNUMBER(G162),1,0))</f>
      </c>
      <c r="AB162" s="0">
        <f>IF(AND(ISNUMBER(W162),W162&gt;0),"ID "&amp;B162,"")</f>
      </c>
      <c r="AC162" s="0">
        <f>IF(AND(ISNUMBER(W162),W162&gt;0),C162,"")</f>
      </c>
      <c r="AD162" s="0">
        <f>IF(AND(ISNUMBER(W162),W162&gt;0),D162,"")</f>
      </c>
      <c r="AE162" s="0">
        <f>IF(AND(ISNUMBER(W162),W162&gt;0),IF(INDEX('PEGAR'!$D$13:$D$512,IF(L162&gt;0,L162,K162))="","Sin descripción",INDEX('PEGAR'!$D$13:$D$512,IF(L162&gt;0,L162,K162))),"")</f>
      </c>
      <c r="AF162" s="0">
        <f>IF(AND(ISNUMBER(W162),W162&gt;0),J162,"")</f>
      </c>
      <c r="AG162" s="0" t="n">
        <f>IF(AND(ISNUMBER(W162),W162&gt;0),W162,0)</f>
        <v>0</v>
      </c>
      <c r="AH162" s="0">
        <f>IF(AG162&gt;0,COUNTIFS($AG$13:AG162,"&gt;0"),"")</f>
      </c>
    </row>
    <row r="163" ht="22" customHeight="1">
      <c r="B163" s="27">
        <f>IF(K163="","",INDEX('PEGAR'!$O$13:$O$512,K163))</f>
      </c>
      <c r="C163" s="30">
        <f>IF(B163="","",IF(LEN(TRIM(INDEX('PEGAR'!$B$13:$B$512,IF(L163&gt;0,L163,K163))&amp;""))=0,"Sin capítulo",TRIM(INDEX('PEGAR'!$B$13:$B$512,IF(L163&gt;0,L163,K163))&amp;"")))</f>
      </c>
      <c r="D163" s="27">
        <f>IF(B163="","",IF(LEN(TRIM(INDEX('PEGAR'!$C$13:$C$512,IF(L163&gt;0,L163,K163))&amp;""))=0,"",TRIM(INDEX('PEGAR'!$C$13:$C$512,IF(L163&gt;0,L163,K163))&amp;"")))</f>
      </c>
      <c r="E163" s="27">
        <f>IF(B163="","",INDEX('PEGAR'!$S$13:$S$512,IF(L163&gt;0,L163,K163)))</f>
      </c>
      <c r="F163" s="39">
        <f>IF(B163="","",IF(L163&gt;0,INDEX('PEGAR'!$F$13:$F$512,L163),""))</f>
      </c>
      <c r="G163" s="39">
        <f>IF(B163="","",IF(OR(M163=0,N163&gt;0,O163&gt;0),"",SUMIFS('PEGAR'!$M$13:$M$512,'PEGAR'!$O$13:$O$512,B163)))</f>
      </c>
      <c r="H163" s="39">
        <f>IF(AND(ISNUMBER(F163),ISNUMBER(G163)),G163-F163,"")</f>
      </c>
      <c r="I163" s="27">
        <f>IF(B163="","",IF(W163=2,"ROJO",IF(W163=1,"ÁMBAR","VERDE")))</f>
      </c>
      <c r="J163" s="30">
        <f>IF(B163="","",IF(W163=0,"Sin avisos numéricos. Revisamos el alcance aparte.",IF(L163=0,"Faltan datos completos de partida; no elegimos un total por suposición."&amp;CHAR(10),"")&amp;IF(N163&gt;0,"Hay filas incompletas o contradictorias; las revisamos en PEGAR."&amp;CHAR(10),"")&amp;IF(O163&gt;0,"Faltan las medidas de alguna fila; no cerramos la suma."&amp;CHAR(10),"")&amp;IF(M163=0,"No constan líneas de medición."&amp;CHAR(10),"")&amp;IF(IF(ISNUMBER(H163),ROUND(ABS(H163),8)&gt;$F$6,FALSE),"Las líneas difieren del total en más de 0,01; confirmamos cantidad o exclusión."&amp;CHAR(10),"")&amp;IF(P163&gt;0,"Parece m³: encontramos tres dimensiones bajo m²."&amp;CHAR(10),"")&amp;IF(R163&gt;0,"Código repetido dentro del capítulo; mantenemos sus ID separados."&amp;CHAR(10),"")&amp;IF(S163&gt;0,"Código repetido en otro capítulo; no unimos las partidas."&amp;CHAR(10),"")&amp;IF(T163&gt;0,"Mismo código con unidades distintas; pedimos aclaración."&amp;CHAR(10),"")&amp;IF(Q163&gt;0,"Hay más precisión que los decimales indicados; cotejamos el formato original."&amp;CHAR(10),"")&amp;IF(U163&gt;0,"Unidad sin normalizar; cotejamos su significado antes de sumar unidades."&amp;CHAR(10),"")&amp;IF(V163&gt;0,"Revisamos dimensiones, cantidades directas, ceros o deducciones en PEGAR."&amp;CHAR(10),"")))</f>
      </c>
      <c r="K163" s="0">
        <f>IF(151&gt;'RESUMEN'!$E$6,"",MATCH(151,'PEGAR'!$W$13:$W$512,0))</f>
      </c>
      <c r="L163" s="0">
        <f>IF(K163="","",INDEX('PEGAR'!$R$13:$R$512,K163))</f>
      </c>
      <c r="M163" s="0">
        <f>IF(B163="","",COUNTIFS('PEGAR'!$O$13:$O$512,B163,'PEGAR'!$P$13:$P$512,"DIMENSIONES")+COUNTIFS('PEGAR'!$O$13:$O$512,B163,'PEGAR'!$P$13:$P$512,"DIRECTA"))</f>
      </c>
      <c r="N163" s="0">
        <f>IF(B163="","",COUNTIFS('PEGAR'!$O$13:$O$512,B163,'PEGAR'!$X$13:$X$512,2))</f>
      </c>
      <c r="O163" s="0">
        <f>IF(B163="","",COUNTIFS('PEGAR'!$O$13:$O$512,B163,'PEGAR'!$P$13:$P$512,"SIN LÍNEAS"))</f>
      </c>
      <c r="P163" s="0">
        <f>IF(B163="","",SUMIFS('PEGAR'!$Y$13:$Y$512,'PEGAR'!$O$13:$O$512,B163))</f>
      </c>
      <c r="Q163" s="0">
        <f>IF(B163="","",SUMIFS('PEGAR'!$Z$13:$Z$512,'PEGAR'!$O$13:$O$512,B163))</f>
      </c>
      <c r="R163" s="0" t="n">
        <f>IF(OR(B163="",D163=""),0,SUMPRODUCT(--($B$13:$B$512&lt;&gt;""),--($D$13:$D$512=D163),--($C$13:$C$512=C163))-1)</f>
        <v>0</v>
      </c>
      <c r="S163" s="0" t="n">
        <f>IF(OR(B163="",D163=""),0,SUMPRODUCT(--($B$13:$B$512&lt;&gt;""),--($D$13:$D$512=D163),--($C$13:$C$512&lt;&gt;C163)))</f>
        <v>0</v>
      </c>
      <c r="T163" s="0" t="n">
        <f>IF(OR(B163="",D163=""),0,SUMPRODUCT(--($B$13:$B$512&lt;&gt;""),--($D$13:$D$512=D163),--($E$13:$E$512&lt;&gt;E163)))</f>
        <v>0</v>
      </c>
      <c r="U163" s="0" t="n">
        <f>IF(B163="",0,IF(SUMPRODUCT(--('LÉEME'!$C$65:$C$86=E163))=0,1,0))</f>
        <v>0</v>
      </c>
      <c r="V163" s="0">
        <f>IF(B163="","",SUMIFS('PEGAR'!$AA$13:$AA$512,'PEGAR'!$O$13:$O$512,B163))</f>
      </c>
      <c r="W163" s="0">
        <f>IF(B163="","",IF(OR(L163=0,N163&gt;0,T163&gt;0,IF(ISNUMBER(H163),ROUND(ABS(H163),8)&gt;$F$6,FALSE)),2,IF(OR(M163=0,O163&gt;0,P163&gt;0,Q163&gt;0,R163&gt;0,S163&gt;0,U163&gt;0,V163&gt;0),1,0)))</f>
      </c>
      <c r="X163" s="0">
        <f>IF(B163="","",IF(ISNUMBER(G163),1,0))</f>
      </c>
      <c r="AB163" s="0">
        <f>IF(AND(ISNUMBER(W163),W163&gt;0),"ID "&amp;B163,"")</f>
      </c>
      <c r="AC163" s="0">
        <f>IF(AND(ISNUMBER(W163),W163&gt;0),C163,"")</f>
      </c>
      <c r="AD163" s="0">
        <f>IF(AND(ISNUMBER(W163),W163&gt;0),D163,"")</f>
      </c>
      <c r="AE163" s="0">
        <f>IF(AND(ISNUMBER(W163),W163&gt;0),IF(INDEX('PEGAR'!$D$13:$D$512,IF(L163&gt;0,L163,K163))="","Sin descripción",INDEX('PEGAR'!$D$13:$D$512,IF(L163&gt;0,L163,K163))),"")</f>
      </c>
      <c r="AF163" s="0">
        <f>IF(AND(ISNUMBER(W163),W163&gt;0),J163,"")</f>
      </c>
      <c r="AG163" s="0" t="n">
        <f>IF(AND(ISNUMBER(W163),W163&gt;0),W163,0)</f>
        <v>0</v>
      </c>
      <c r="AH163" s="0">
        <f>IF(AG163&gt;0,COUNTIFS($AG$13:AG163,"&gt;0"),"")</f>
      </c>
    </row>
    <row r="164" ht="22" customHeight="1">
      <c r="B164" s="27">
        <f>IF(K164="","",INDEX('PEGAR'!$O$13:$O$512,K164))</f>
      </c>
      <c r="C164" s="30">
        <f>IF(B164="","",IF(LEN(TRIM(INDEX('PEGAR'!$B$13:$B$512,IF(L164&gt;0,L164,K164))&amp;""))=0,"Sin capítulo",TRIM(INDEX('PEGAR'!$B$13:$B$512,IF(L164&gt;0,L164,K164))&amp;"")))</f>
      </c>
      <c r="D164" s="27">
        <f>IF(B164="","",IF(LEN(TRIM(INDEX('PEGAR'!$C$13:$C$512,IF(L164&gt;0,L164,K164))&amp;""))=0,"",TRIM(INDEX('PEGAR'!$C$13:$C$512,IF(L164&gt;0,L164,K164))&amp;"")))</f>
      </c>
      <c r="E164" s="27">
        <f>IF(B164="","",INDEX('PEGAR'!$S$13:$S$512,IF(L164&gt;0,L164,K164)))</f>
      </c>
      <c r="F164" s="39">
        <f>IF(B164="","",IF(L164&gt;0,INDEX('PEGAR'!$F$13:$F$512,L164),""))</f>
      </c>
      <c r="G164" s="39">
        <f>IF(B164="","",IF(OR(M164=0,N164&gt;0,O164&gt;0),"",SUMIFS('PEGAR'!$M$13:$M$512,'PEGAR'!$O$13:$O$512,B164)))</f>
      </c>
      <c r="H164" s="39">
        <f>IF(AND(ISNUMBER(F164),ISNUMBER(G164)),G164-F164,"")</f>
      </c>
      <c r="I164" s="27">
        <f>IF(B164="","",IF(W164=2,"ROJO",IF(W164=1,"ÁMBAR","VERDE")))</f>
      </c>
      <c r="J164" s="30">
        <f>IF(B164="","",IF(W164=0,"Sin avisos numéricos. Revisamos el alcance aparte.",IF(L164=0,"Faltan datos completos de partida; no elegimos un total por suposición."&amp;CHAR(10),"")&amp;IF(N164&gt;0,"Hay filas incompletas o contradictorias; las revisamos en PEGAR."&amp;CHAR(10),"")&amp;IF(O164&gt;0,"Faltan las medidas de alguna fila; no cerramos la suma."&amp;CHAR(10),"")&amp;IF(M164=0,"No constan líneas de medición."&amp;CHAR(10),"")&amp;IF(IF(ISNUMBER(H164),ROUND(ABS(H164),8)&gt;$F$6,FALSE),"Las líneas difieren del total en más de 0,01; confirmamos cantidad o exclusión."&amp;CHAR(10),"")&amp;IF(P164&gt;0,"Parece m³: encontramos tres dimensiones bajo m²."&amp;CHAR(10),"")&amp;IF(R164&gt;0,"Código repetido dentro del capítulo; mantenemos sus ID separados."&amp;CHAR(10),"")&amp;IF(S164&gt;0,"Código repetido en otro capítulo; no unimos las partidas."&amp;CHAR(10),"")&amp;IF(T164&gt;0,"Mismo código con unidades distintas; pedimos aclaración."&amp;CHAR(10),"")&amp;IF(Q164&gt;0,"Hay más precisión que los decimales indicados; cotejamos el formato original."&amp;CHAR(10),"")&amp;IF(U164&gt;0,"Unidad sin normalizar; cotejamos su significado antes de sumar unidades."&amp;CHAR(10),"")&amp;IF(V164&gt;0,"Revisamos dimensiones, cantidades directas, ceros o deducciones en PEGAR."&amp;CHAR(10),"")))</f>
      </c>
      <c r="K164" s="0">
        <f>IF(152&gt;'RESUMEN'!$E$6,"",MATCH(152,'PEGAR'!$W$13:$W$512,0))</f>
      </c>
      <c r="L164" s="0">
        <f>IF(K164="","",INDEX('PEGAR'!$R$13:$R$512,K164))</f>
      </c>
      <c r="M164" s="0">
        <f>IF(B164="","",COUNTIFS('PEGAR'!$O$13:$O$512,B164,'PEGAR'!$P$13:$P$512,"DIMENSIONES")+COUNTIFS('PEGAR'!$O$13:$O$512,B164,'PEGAR'!$P$13:$P$512,"DIRECTA"))</f>
      </c>
      <c r="N164" s="0">
        <f>IF(B164="","",COUNTIFS('PEGAR'!$O$13:$O$512,B164,'PEGAR'!$X$13:$X$512,2))</f>
      </c>
      <c r="O164" s="0">
        <f>IF(B164="","",COUNTIFS('PEGAR'!$O$13:$O$512,B164,'PEGAR'!$P$13:$P$512,"SIN LÍNEAS"))</f>
      </c>
      <c r="P164" s="0">
        <f>IF(B164="","",SUMIFS('PEGAR'!$Y$13:$Y$512,'PEGAR'!$O$13:$O$512,B164))</f>
      </c>
      <c r="Q164" s="0">
        <f>IF(B164="","",SUMIFS('PEGAR'!$Z$13:$Z$512,'PEGAR'!$O$13:$O$512,B164))</f>
      </c>
      <c r="R164" s="0" t="n">
        <f>IF(OR(B164="",D164=""),0,SUMPRODUCT(--($B$13:$B$512&lt;&gt;""),--($D$13:$D$512=D164),--($C$13:$C$512=C164))-1)</f>
        <v>0</v>
      </c>
      <c r="S164" s="0" t="n">
        <f>IF(OR(B164="",D164=""),0,SUMPRODUCT(--($B$13:$B$512&lt;&gt;""),--($D$13:$D$512=D164),--($C$13:$C$512&lt;&gt;C164)))</f>
        <v>0</v>
      </c>
      <c r="T164" s="0" t="n">
        <f>IF(OR(B164="",D164=""),0,SUMPRODUCT(--($B$13:$B$512&lt;&gt;""),--($D$13:$D$512=D164),--($E$13:$E$512&lt;&gt;E164)))</f>
        <v>0</v>
      </c>
      <c r="U164" s="0" t="n">
        <f>IF(B164="",0,IF(SUMPRODUCT(--('LÉEME'!$C$65:$C$86=E164))=0,1,0))</f>
        <v>0</v>
      </c>
      <c r="V164" s="0">
        <f>IF(B164="","",SUMIFS('PEGAR'!$AA$13:$AA$512,'PEGAR'!$O$13:$O$512,B164))</f>
      </c>
      <c r="W164" s="0">
        <f>IF(B164="","",IF(OR(L164=0,N164&gt;0,T164&gt;0,IF(ISNUMBER(H164),ROUND(ABS(H164),8)&gt;$F$6,FALSE)),2,IF(OR(M164=0,O164&gt;0,P164&gt;0,Q164&gt;0,R164&gt;0,S164&gt;0,U164&gt;0,V164&gt;0),1,0)))</f>
      </c>
      <c r="X164" s="0">
        <f>IF(B164="","",IF(ISNUMBER(G164),1,0))</f>
      </c>
      <c r="AB164" s="0">
        <f>IF(AND(ISNUMBER(W164),W164&gt;0),"ID "&amp;B164,"")</f>
      </c>
      <c r="AC164" s="0">
        <f>IF(AND(ISNUMBER(W164),W164&gt;0),C164,"")</f>
      </c>
      <c r="AD164" s="0">
        <f>IF(AND(ISNUMBER(W164),W164&gt;0),D164,"")</f>
      </c>
      <c r="AE164" s="0">
        <f>IF(AND(ISNUMBER(W164),W164&gt;0),IF(INDEX('PEGAR'!$D$13:$D$512,IF(L164&gt;0,L164,K164))="","Sin descripción",INDEX('PEGAR'!$D$13:$D$512,IF(L164&gt;0,L164,K164))),"")</f>
      </c>
      <c r="AF164" s="0">
        <f>IF(AND(ISNUMBER(W164),W164&gt;0),J164,"")</f>
      </c>
      <c r="AG164" s="0" t="n">
        <f>IF(AND(ISNUMBER(W164),W164&gt;0),W164,0)</f>
        <v>0</v>
      </c>
      <c r="AH164" s="0">
        <f>IF(AG164&gt;0,COUNTIFS($AG$13:AG164,"&gt;0"),"")</f>
      </c>
    </row>
    <row r="165" ht="22" customHeight="1">
      <c r="B165" s="27">
        <f>IF(K165="","",INDEX('PEGAR'!$O$13:$O$512,K165))</f>
      </c>
      <c r="C165" s="30">
        <f>IF(B165="","",IF(LEN(TRIM(INDEX('PEGAR'!$B$13:$B$512,IF(L165&gt;0,L165,K165))&amp;""))=0,"Sin capítulo",TRIM(INDEX('PEGAR'!$B$13:$B$512,IF(L165&gt;0,L165,K165))&amp;"")))</f>
      </c>
      <c r="D165" s="27">
        <f>IF(B165="","",IF(LEN(TRIM(INDEX('PEGAR'!$C$13:$C$512,IF(L165&gt;0,L165,K165))&amp;""))=0,"",TRIM(INDEX('PEGAR'!$C$13:$C$512,IF(L165&gt;0,L165,K165))&amp;"")))</f>
      </c>
      <c r="E165" s="27">
        <f>IF(B165="","",INDEX('PEGAR'!$S$13:$S$512,IF(L165&gt;0,L165,K165)))</f>
      </c>
      <c r="F165" s="39">
        <f>IF(B165="","",IF(L165&gt;0,INDEX('PEGAR'!$F$13:$F$512,L165),""))</f>
      </c>
      <c r="G165" s="39">
        <f>IF(B165="","",IF(OR(M165=0,N165&gt;0,O165&gt;0),"",SUMIFS('PEGAR'!$M$13:$M$512,'PEGAR'!$O$13:$O$512,B165)))</f>
      </c>
      <c r="H165" s="39">
        <f>IF(AND(ISNUMBER(F165),ISNUMBER(G165)),G165-F165,"")</f>
      </c>
      <c r="I165" s="27">
        <f>IF(B165="","",IF(W165=2,"ROJO",IF(W165=1,"ÁMBAR","VERDE")))</f>
      </c>
      <c r="J165" s="30">
        <f>IF(B165="","",IF(W165=0,"Sin avisos numéricos. Revisamos el alcance aparte.",IF(L165=0,"Faltan datos completos de partida; no elegimos un total por suposición."&amp;CHAR(10),"")&amp;IF(N165&gt;0,"Hay filas incompletas o contradictorias; las revisamos en PEGAR."&amp;CHAR(10),"")&amp;IF(O165&gt;0,"Faltan las medidas de alguna fila; no cerramos la suma."&amp;CHAR(10),"")&amp;IF(M165=0,"No constan líneas de medición."&amp;CHAR(10),"")&amp;IF(IF(ISNUMBER(H165),ROUND(ABS(H165),8)&gt;$F$6,FALSE),"Las líneas difieren del total en más de 0,01; confirmamos cantidad o exclusión."&amp;CHAR(10),"")&amp;IF(P165&gt;0,"Parece m³: encontramos tres dimensiones bajo m²."&amp;CHAR(10),"")&amp;IF(R165&gt;0,"Código repetido dentro del capítulo; mantenemos sus ID separados."&amp;CHAR(10),"")&amp;IF(S165&gt;0,"Código repetido en otro capítulo; no unimos las partidas."&amp;CHAR(10),"")&amp;IF(T165&gt;0,"Mismo código con unidades distintas; pedimos aclaración."&amp;CHAR(10),"")&amp;IF(Q165&gt;0,"Hay más precisión que los decimales indicados; cotejamos el formato original."&amp;CHAR(10),"")&amp;IF(U165&gt;0,"Unidad sin normalizar; cotejamos su significado antes de sumar unidades."&amp;CHAR(10),"")&amp;IF(V165&gt;0,"Revisamos dimensiones, cantidades directas, ceros o deducciones en PEGAR."&amp;CHAR(10),"")))</f>
      </c>
      <c r="K165" s="0">
        <f>IF(153&gt;'RESUMEN'!$E$6,"",MATCH(153,'PEGAR'!$W$13:$W$512,0))</f>
      </c>
      <c r="L165" s="0">
        <f>IF(K165="","",INDEX('PEGAR'!$R$13:$R$512,K165))</f>
      </c>
      <c r="M165" s="0">
        <f>IF(B165="","",COUNTIFS('PEGAR'!$O$13:$O$512,B165,'PEGAR'!$P$13:$P$512,"DIMENSIONES")+COUNTIFS('PEGAR'!$O$13:$O$512,B165,'PEGAR'!$P$13:$P$512,"DIRECTA"))</f>
      </c>
      <c r="N165" s="0">
        <f>IF(B165="","",COUNTIFS('PEGAR'!$O$13:$O$512,B165,'PEGAR'!$X$13:$X$512,2))</f>
      </c>
      <c r="O165" s="0">
        <f>IF(B165="","",COUNTIFS('PEGAR'!$O$13:$O$512,B165,'PEGAR'!$P$13:$P$512,"SIN LÍNEAS"))</f>
      </c>
      <c r="P165" s="0">
        <f>IF(B165="","",SUMIFS('PEGAR'!$Y$13:$Y$512,'PEGAR'!$O$13:$O$512,B165))</f>
      </c>
      <c r="Q165" s="0">
        <f>IF(B165="","",SUMIFS('PEGAR'!$Z$13:$Z$512,'PEGAR'!$O$13:$O$512,B165))</f>
      </c>
      <c r="R165" s="0" t="n">
        <f>IF(OR(B165="",D165=""),0,SUMPRODUCT(--($B$13:$B$512&lt;&gt;""),--($D$13:$D$512=D165),--($C$13:$C$512=C165))-1)</f>
        <v>0</v>
      </c>
      <c r="S165" s="0" t="n">
        <f>IF(OR(B165="",D165=""),0,SUMPRODUCT(--($B$13:$B$512&lt;&gt;""),--($D$13:$D$512=D165),--($C$13:$C$512&lt;&gt;C165)))</f>
        <v>0</v>
      </c>
      <c r="T165" s="0" t="n">
        <f>IF(OR(B165="",D165=""),0,SUMPRODUCT(--($B$13:$B$512&lt;&gt;""),--($D$13:$D$512=D165),--($E$13:$E$512&lt;&gt;E165)))</f>
        <v>0</v>
      </c>
      <c r="U165" s="0" t="n">
        <f>IF(B165="",0,IF(SUMPRODUCT(--('LÉEME'!$C$65:$C$86=E165))=0,1,0))</f>
        <v>0</v>
      </c>
      <c r="V165" s="0">
        <f>IF(B165="","",SUMIFS('PEGAR'!$AA$13:$AA$512,'PEGAR'!$O$13:$O$512,B165))</f>
      </c>
      <c r="W165" s="0">
        <f>IF(B165="","",IF(OR(L165=0,N165&gt;0,T165&gt;0,IF(ISNUMBER(H165),ROUND(ABS(H165),8)&gt;$F$6,FALSE)),2,IF(OR(M165=0,O165&gt;0,P165&gt;0,Q165&gt;0,R165&gt;0,S165&gt;0,U165&gt;0,V165&gt;0),1,0)))</f>
      </c>
      <c r="X165" s="0">
        <f>IF(B165="","",IF(ISNUMBER(G165),1,0))</f>
      </c>
      <c r="AB165" s="0">
        <f>IF(AND(ISNUMBER(W165),W165&gt;0),"ID "&amp;B165,"")</f>
      </c>
      <c r="AC165" s="0">
        <f>IF(AND(ISNUMBER(W165),W165&gt;0),C165,"")</f>
      </c>
      <c r="AD165" s="0">
        <f>IF(AND(ISNUMBER(W165),W165&gt;0),D165,"")</f>
      </c>
      <c r="AE165" s="0">
        <f>IF(AND(ISNUMBER(W165),W165&gt;0),IF(INDEX('PEGAR'!$D$13:$D$512,IF(L165&gt;0,L165,K165))="","Sin descripción",INDEX('PEGAR'!$D$13:$D$512,IF(L165&gt;0,L165,K165))),"")</f>
      </c>
      <c r="AF165" s="0">
        <f>IF(AND(ISNUMBER(W165),W165&gt;0),J165,"")</f>
      </c>
      <c r="AG165" s="0" t="n">
        <f>IF(AND(ISNUMBER(W165),W165&gt;0),W165,0)</f>
        <v>0</v>
      </c>
      <c r="AH165" s="0">
        <f>IF(AG165&gt;0,COUNTIFS($AG$13:AG165,"&gt;0"),"")</f>
      </c>
    </row>
    <row r="166" ht="22" customHeight="1">
      <c r="B166" s="27">
        <f>IF(K166="","",INDEX('PEGAR'!$O$13:$O$512,K166))</f>
      </c>
      <c r="C166" s="30">
        <f>IF(B166="","",IF(LEN(TRIM(INDEX('PEGAR'!$B$13:$B$512,IF(L166&gt;0,L166,K166))&amp;""))=0,"Sin capítulo",TRIM(INDEX('PEGAR'!$B$13:$B$512,IF(L166&gt;0,L166,K166))&amp;"")))</f>
      </c>
      <c r="D166" s="27">
        <f>IF(B166="","",IF(LEN(TRIM(INDEX('PEGAR'!$C$13:$C$512,IF(L166&gt;0,L166,K166))&amp;""))=0,"",TRIM(INDEX('PEGAR'!$C$13:$C$512,IF(L166&gt;0,L166,K166))&amp;"")))</f>
      </c>
      <c r="E166" s="27">
        <f>IF(B166="","",INDEX('PEGAR'!$S$13:$S$512,IF(L166&gt;0,L166,K166)))</f>
      </c>
      <c r="F166" s="39">
        <f>IF(B166="","",IF(L166&gt;0,INDEX('PEGAR'!$F$13:$F$512,L166),""))</f>
      </c>
      <c r="G166" s="39">
        <f>IF(B166="","",IF(OR(M166=0,N166&gt;0,O166&gt;0),"",SUMIFS('PEGAR'!$M$13:$M$512,'PEGAR'!$O$13:$O$512,B166)))</f>
      </c>
      <c r="H166" s="39">
        <f>IF(AND(ISNUMBER(F166),ISNUMBER(G166)),G166-F166,"")</f>
      </c>
      <c r="I166" s="27">
        <f>IF(B166="","",IF(W166=2,"ROJO",IF(W166=1,"ÁMBAR","VERDE")))</f>
      </c>
      <c r="J166" s="30">
        <f>IF(B166="","",IF(W166=0,"Sin avisos numéricos. Revisamos el alcance aparte.",IF(L166=0,"Faltan datos completos de partida; no elegimos un total por suposición."&amp;CHAR(10),"")&amp;IF(N166&gt;0,"Hay filas incompletas o contradictorias; las revisamos en PEGAR."&amp;CHAR(10),"")&amp;IF(O166&gt;0,"Faltan las medidas de alguna fila; no cerramos la suma."&amp;CHAR(10),"")&amp;IF(M166=0,"No constan líneas de medición."&amp;CHAR(10),"")&amp;IF(IF(ISNUMBER(H166),ROUND(ABS(H166),8)&gt;$F$6,FALSE),"Las líneas difieren del total en más de 0,01; confirmamos cantidad o exclusión."&amp;CHAR(10),"")&amp;IF(P166&gt;0,"Parece m³: encontramos tres dimensiones bajo m²."&amp;CHAR(10),"")&amp;IF(R166&gt;0,"Código repetido dentro del capítulo; mantenemos sus ID separados."&amp;CHAR(10),"")&amp;IF(S166&gt;0,"Código repetido en otro capítulo; no unimos las partidas."&amp;CHAR(10),"")&amp;IF(T166&gt;0,"Mismo código con unidades distintas; pedimos aclaración."&amp;CHAR(10),"")&amp;IF(Q166&gt;0,"Hay más precisión que los decimales indicados; cotejamos el formato original."&amp;CHAR(10),"")&amp;IF(U166&gt;0,"Unidad sin normalizar; cotejamos su significado antes de sumar unidades."&amp;CHAR(10),"")&amp;IF(V166&gt;0,"Revisamos dimensiones, cantidades directas, ceros o deducciones en PEGAR."&amp;CHAR(10),"")))</f>
      </c>
      <c r="K166" s="0">
        <f>IF(154&gt;'RESUMEN'!$E$6,"",MATCH(154,'PEGAR'!$W$13:$W$512,0))</f>
      </c>
      <c r="L166" s="0">
        <f>IF(K166="","",INDEX('PEGAR'!$R$13:$R$512,K166))</f>
      </c>
      <c r="M166" s="0">
        <f>IF(B166="","",COUNTIFS('PEGAR'!$O$13:$O$512,B166,'PEGAR'!$P$13:$P$512,"DIMENSIONES")+COUNTIFS('PEGAR'!$O$13:$O$512,B166,'PEGAR'!$P$13:$P$512,"DIRECTA"))</f>
      </c>
      <c r="N166" s="0">
        <f>IF(B166="","",COUNTIFS('PEGAR'!$O$13:$O$512,B166,'PEGAR'!$X$13:$X$512,2))</f>
      </c>
      <c r="O166" s="0">
        <f>IF(B166="","",COUNTIFS('PEGAR'!$O$13:$O$512,B166,'PEGAR'!$P$13:$P$512,"SIN LÍNEAS"))</f>
      </c>
      <c r="P166" s="0">
        <f>IF(B166="","",SUMIFS('PEGAR'!$Y$13:$Y$512,'PEGAR'!$O$13:$O$512,B166))</f>
      </c>
      <c r="Q166" s="0">
        <f>IF(B166="","",SUMIFS('PEGAR'!$Z$13:$Z$512,'PEGAR'!$O$13:$O$512,B166))</f>
      </c>
      <c r="R166" s="0" t="n">
        <f>IF(OR(B166="",D166=""),0,SUMPRODUCT(--($B$13:$B$512&lt;&gt;""),--($D$13:$D$512=D166),--($C$13:$C$512=C166))-1)</f>
        <v>0</v>
      </c>
      <c r="S166" s="0" t="n">
        <f>IF(OR(B166="",D166=""),0,SUMPRODUCT(--($B$13:$B$512&lt;&gt;""),--($D$13:$D$512=D166),--($C$13:$C$512&lt;&gt;C166)))</f>
        <v>0</v>
      </c>
      <c r="T166" s="0" t="n">
        <f>IF(OR(B166="",D166=""),0,SUMPRODUCT(--($B$13:$B$512&lt;&gt;""),--($D$13:$D$512=D166),--($E$13:$E$512&lt;&gt;E166)))</f>
        <v>0</v>
      </c>
      <c r="U166" s="0" t="n">
        <f>IF(B166="",0,IF(SUMPRODUCT(--('LÉEME'!$C$65:$C$86=E166))=0,1,0))</f>
        <v>0</v>
      </c>
      <c r="V166" s="0">
        <f>IF(B166="","",SUMIFS('PEGAR'!$AA$13:$AA$512,'PEGAR'!$O$13:$O$512,B166))</f>
      </c>
      <c r="W166" s="0">
        <f>IF(B166="","",IF(OR(L166=0,N166&gt;0,T166&gt;0,IF(ISNUMBER(H166),ROUND(ABS(H166),8)&gt;$F$6,FALSE)),2,IF(OR(M166=0,O166&gt;0,P166&gt;0,Q166&gt;0,R166&gt;0,S166&gt;0,U166&gt;0,V166&gt;0),1,0)))</f>
      </c>
      <c r="X166" s="0">
        <f>IF(B166="","",IF(ISNUMBER(G166),1,0))</f>
      </c>
      <c r="AB166" s="0">
        <f>IF(AND(ISNUMBER(W166),W166&gt;0),"ID "&amp;B166,"")</f>
      </c>
      <c r="AC166" s="0">
        <f>IF(AND(ISNUMBER(W166),W166&gt;0),C166,"")</f>
      </c>
      <c r="AD166" s="0">
        <f>IF(AND(ISNUMBER(W166),W166&gt;0),D166,"")</f>
      </c>
      <c r="AE166" s="0">
        <f>IF(AND(ISNUMBER(W166),W166&gt;0),IF(INDEX('PEGAR'!$D$13:$D$512,IF(L166&gt;0,L166,K166))="","Sin descripción",INDEX('PEGAR'!$D$13:$D$512,IF(L166&gt;0,L166,K166))),"")</f>
      </c>
      <c r="AF166" s="0">
        <f>IF(AND(ISNUMBER(W166),W166&gt;0),J166,"")</f>
      </c>
      <c r="AG166" s="0" t="n">
        <f>IF(AND(ISNUMBER(W166),W166&gt;0),W166,0)</f>
        <v>0</v>
      </c>
      <c r="AH166" s="0">
        <f>IF(AG166&gt;0,COUNTIFS($AG$13:AG166,"&gt;0"),"")</f>
      </c>
    </row>
    <row r="167" ht="22" customHeight="1">
      <c r="B167" s="27">
        <f>IF(K167="","",INDEX('PEGAR'!$O$13:$O$512,K167))</f>
      </c>
      <c r="C167" s="30">
        <f>IF(B167="","",IF(LEN(TRIM(INDEX('PEGAR'!$B$13:$B$512,IF(L167&gt;0,L167,K167))&amp;""))=0,"Sin capítulo",TRIM(INDEX('PEGAR'!$B$13:$B$512,IF(L167&gt;0,L167,K167))&amp;"")))</f>
      </c>
      <c r="D167" s="27">
        <f>IF(B167="","",IF(LEN(TRIM(INDEX('PEGAR'!$C$13:$C$512,IF(L167&gt;0,L167,K167))&amp;""))=0,"",TRIM(INDEX('PEGAR'!$C$13:$C$512,IF(L167&gt;0,L167,K167))&amp;"")))</f>
      </c>
      <c r="E167" s="27">
        <f>IF(B167="","",INDEX('PEGAR'!$S$13:$S$512,IF(L167&gt;0,L167,K167)))</f>
      </c>
      <c r="F167" s="39">
        <f>IF(B167="","",IF(L167&gt;0,INDEX('PEGAR'!$F$13:$F$512,L167),""))</f>
      </c>
      <c r="G167" s="39">
        <f>IF(B167="","",IF(OR(M167=0,N167&gt;0,O167&gt;0),"",SUMIFS('PEGAR'!$M$13:$M$512,'PEGAR'!$O$13:$O$512,B167)))</f>
      </c>
      <c r="H167" s="39">
        <f>IF(AND(ISNUMBER(F167),ISNUMBER(G167)),G167-F167,"")</f>
      </c>
      <c r="I167" s="27">
        <f>IF(B167="","",IF(W167=2,"ROJO",IF(W167=1,"ÁMBAR","VERDE")))</f>
      </c>
      <c r="J167" s="30">
        <f>IF(B167="","",IF(W167=0,"Sin avisos numéricos. Revisamos el alcance aparte.",IF(L167=0,"Faltan datos completos de partida; no elegimos un total por suposición."&amp;CHAR(10),"")&amp;IF(N167&gt;0,"Hay filas incompletas o contradictorias; las revisamos en PEGAR."&amp;CHAR(10),"")&amp;IF(O167&gt;0,"Faltan las medidas de alguna fila; no cerramos la suma."&amp;CHAR(10),"")&amp;IF(M167=0,"No constan líneas de medición."&amp;CHAR(10),"")&amp;IF(IF(ISNUMBER(H167),ROUND(ABS(H167),8)&gt;$F$6,FALSE),"Las líneas difieren del total en más de 0,01; confirmamos cantidad o exclusión."&amp;CHAR(10),"")&amp;IF(P167&gt;0,"Parece m³: encontramos tres dimensiones bajo m²."&amp;CHAR(10),"")&amp;IF(R167&gt;0,"Código repetido dentro del capítulo; mantenemos sus ID separados."&amp;CHAR(10),"")&amp;IF(S167&gt;0,"Código repetido en otro capítulo; no unimos las partidas."&amp;CHAR(10),"")&amp;IF(T167&gt;0,"Mismo código con unidades distintas; pedimos aclaración."&amp;CHAR(10),"")&amp;IF(Q167&gt;0,"Hay más precisión que los decimales indicados; cotejamos el formato original."&amp;CHAR(10),"")&amp;IF(U167&gt;0,"Unidad sin normalizar; cotejamos su significado antes de sumar unidades."&amp;CHAR(10),"")&amp;IF(V167&gt;0,"Revisamos dimensiones, cantidades directas, ceros o deducciones en PEGAR."&amp;CHAR(10),"")))</f>
      </c>
      <c r="K167" s="0">
        <f>IF(155&gt;'RESUMEN'!$E$6,"",MATCH(155,'PEGAR'!$W$13:$W$512,0))</f>
      </c>
      <c r="L167" s="0">
        <f>IF(K167="","",INDEX('PEGAR'!$R$13:$R$512,K167))</f>
      </c>
      <c r="M167" s="0">
        <f>IF(B167="","",COUNTIFS('PEGAR'!$O$13:$O$512,B167,'PEGAR'!$P$13:$P$512,"DIMENSIONES")+COUNTIFS('PEGAR'!$O$13:$O$512,B167,'PEGAR'!$P$13:$P$512,"DIRECTA"))</f>
      </c>
      <c r="N167" s="0">
        <f>IF(B167="","",COUNTIFS('PEGAR'!$O$13:$O$512,B167,'PEGAR'!$X$13:$X$512,2))</f>
      </c>
      <c r="O167" s="0">
        <f>IF(B167="","",COUNTIFS('PEGAR'!$O$13:$O$512,B167,'PEGAR'!$P$13:$P$512,"SIN LÍNEAS"))</f>
      </c>
      <c r="P167" s="0">
        <f>IF(B167="","",SUMIFS('PEGAR'!$Y$13:$Y$512,'PEGAR'!$O$13:$O$512,B167))</f>
      </c>
      <c r="Q167" s="0">
        <f>IF(B167="","",SUMIFS('PEGAR'!$Z$13:$Z$512,'PEGAR'!$O$13:$O$512,B167))</f>
      </c>
      <c r="R167" s="0" t="n">
        <f>IF(OR(B167="",D167=""),0,SUMPRODUCT(--($B$13:$B$512&lt;&gt;""),--($D$13:$D$512=D167),--($C$13:$C$512=C167))-1)</f>
        <v>0</v>
      </c>
      <c r="S167" s="0" t="n">
        <f>IF(OR(B167="",D167=""),0,SUMPRODUCT(--($B$13:$B$512&lt;&gt;""),--($D$13:$D$512=D167),--($C$13:$C$512&lt;&gt;C167)))</f>
        <v>0</v>
      </c>
      <c r="T167" s="0" t="n">
        <f>IF(OR(B167="",D167=""),0,SUMPRODUCT(--($B$13:$B$512&lt;&gt;""),--($D$13:$D$512=D167),--($E$13:$E$512&lt;&gt;E167)))</f>
        <v>0</v>
      </c>
      <c r="U167" s="0" t="n">
        <f>IF(B167="",0,IF(SUMPRODUCT(--('LÉEME'!$C$65:$C$86=E167))=0,1,0))</f>
        <v>0</v>
      </c>
      <c r="V167" s="0">
        <f>IF(B167="","",SUMIFS('PEGAR'!$AA$13:$AA$512,'PEGAR'!$O$13:$O$512,B167))</f>
      </c>
      <c r="W167" s="0">
        <f>IF(B167="","",IF(OR(L167=0,N167&gt;0,T167&gt;0,IF(ISNUMBER(H167),ROUND(ABS(H167),8)&gt;$F$6,FALSE)),2,IF(OR(M167=0,O167&gt;0,P167&gt;0,Q167&gt;0,R167&gt;0,S167&gt;0,U167&gt;0,V167&gt;0),1,0)))</f>
      </c>
      <c r="X167" s="0">
        <f>IF(B167="","",IF(ISNUMBER(G167),1,0))</f>
      </c>
      <c r="AB167" s="0">
        <f>IF(AND(ISNUMBER(W167),W167&gt;0),"ID "&amp;B167,"")</f>
      </c>
      <c r="AC167" s="0">
        <f>IF(AND(ISNUMBER(W167),W167&gt;0),C167,"")</f>
      </c>
      <c r="AD167" s="0">
        <f>IF(AND(ISNUMBER(W167),W167&gt;0),D167,"")</f>
      </c>
      <c r="AE167" s="0">
        <f>IF(AND(ISNUMBER(W167),W167&gt;0),IF(INDEX('PEGAR'!$D$13:$D$512,IF(L167&gt;0,L167,K167))="","Sin descripción",INDEX('PEGAR'!$D$13:$D$512,IF(L167&gt;0,L167,K167))),"")</f>
      </c>
      <c r="AF167" s="0">
        <f>IF(AND(ISNUMBER(W167),W167&gt;0),J167,"")</f>
      </c>
      <c r="AG167" s="0" t="n">
        <f>IF(AND(ISNUMBER(W167),W167&gt;0),W167,0)</f>
        <v>0</v>
      </c>
      <c r="AH167" s="0">
        <f>IF(AG167&gt;0,COUNTIFS($AG$13:AG167,"&gt;0"),"")</f>
      </c>
    </row>
    <row r="168" ht="22" customHeight="1">
      <c r="B168" s="27">
        <f>IF(K168="","",INDEX('PEGAR'!$O$13:$O$512,K168))</f>
      </c>
      <c r="C168" s="30">
        <f>IF(B168="","",IF(LEN(TRIM(INDEX('PEGAR'!$B$13:$B$512,IF(L168&gt;0,L168,K168))&amp;""))=0,"Sin capítulo",TRIM(INDEX('PEGAR'!$B$13:$B$512,IF(L168&gt;0,L168,K168))&amp;"")))</f>
      </c>
      <c r="D168" s="27">
        <f>IF(B168="","",IF(LEN(TRIM(INDEX('PEGAR'!$C$13:$C$512,IF(L168&gt;0,L168,K168))&amp;""))=0,"",TRIM(INDEX('PEGAR'!$C$13:$C$512,IF(L168&gt;0,L168,K168))&amp;"")))</f>
      </c>
      <c r="E168" s="27">
        <f>IF(B168="","",INDEX('PEGAR'!$S$13:$S$512,IF(L168&gt;0,L168,K168)))</f>
      </c>
      <c r="F168" s="39">
        <f>IF(B168="","",IF(L168&gt;0,INDEX('PEGAR'!$F$13:$F$512,L168),""))</f>
      </c>
      <c r="G168" s="39">
        <f>IF(B168="","",IF(OR(M168=0,N168&gt;0,O168&gt;0),"",SUMIFS('PEGAR'!$M$13:$M$512,'PEGAR'!$O$13:$O$512,B168)))</f>
      </c>
      <c r="H168" s="39">
        <f>IF(AND(ISNUMBER(F168),ISNUMBER(G168)),G168-F168,"")</f>
      </c>
      <c r="I168" s="27">
        <f>IF(B168="","",IF(W168=2,"ROJO",IF(W168=1,"ÁMBAR","VERDE")))</f>
      </c>
      <c r="J168" s="30">
        <f>IF(B168="","",IF(W168=0,"Sin avisos numéricos. Revisamos el alcance aparte.",IF(L168=0,"Faltan datos completos de partida; no elegimos un total por suposición."&amp;CHAR(10),"")&amp;IF(N168&gt;0,"Hay filas incompletas o contradictorias; las revisamos en PEGAR."&amp;CHAR(10),"")&amp;IF(O168&gt;0,"Faltan las medidas de alguna fila; no cerramos la suma."&amp;CHAR(10),"")&amp;IF(M168=0,"No constan líneas de medición."&amp;CHAR(10),"")&amp;IF(IF(ISNUMBER(H168),ROUND(ABS(H168),8)&gt;$F$6,FALSE),"Las líneas difieren del total en más de 0,01; confirmamos cantidad o exclusión."&amp;CHAR(10),"")&amp;IF(P168&gt;0,"Parece m³: encontramos tres dimensiones bajo m²."&amp;CHAR(10),"")&amp;IF(R168&gt;0,"Código repetido dentro del capítulo; mantenemos sus ID separados."&amp;CHAR(10),"")&amp;IF(S168&gt;0,"Código repetido en otro capítulo; no unimos las partidas."&amp;CHAR(10),"")&amp;IF(T168&gt;0,"Mismo código con unidades distintas; pedimos aclaración."&amp;CHAR(10),"")&amp;IF(Q168&gt;0,"Hay más precisión que los decimales indicados; cotejamos el formato original."&amp;CHAR(10),"")&amp;IF(U168&gt;0,"Unidad sin normalizar; cotejamos su significado antes de sumar unidades."&amp;CHAR(10),"")&amp;IF(V168&gt;0,"Revisamos dimensiones, cantidades directas, ceros o deducciones en PEGAR."&amp;CHAR(10),"")))</f>
      </c>
      <c r="K168" s="0">
        <f>IF(156&gt;'RESUMEN'!$E$6,"",MATCH(156,'PEGAR'!$W$13:$W$512,0))</f>
      </c>
      <c r="L168" s="0">
        <f>IF(K168="","",INDEX('PEGAR'!$R$13:$R$512,K168))</f>
      </c>
      <c r="M168" s="0">
        <f>IF(B168="","",COUNTIFS('PEGAR'!$O$13:$O$512,B168,'PEGAR'!$P$13:$P$512,"DIMENSIONES")+COUNTIFS('PEGAR'!$O$13:$O$512,B168,'PEGAR'!$P$13:$P$512,"DIRECTA"))</f>
      </c>
      <c r="N168" s="0">
        <f>IF(B168="","",COUNTIFS('PEGAR'!$O$13:$O$512,B168,'PEGAR'!$X$13:$X$512,2))</f>
      </c>
      <c r="O168" s="0">
        <f>IF(B168="","",COUNTIFS('PEGAR'!$O$13:$O$512,B168,'PEGAR'!$P$13:$P$512,"SIN LÍNEAS"))</f>
      </c>
      <c r="P168" s="0">
        <f>IF(B168="","",SUMIFS('PEGAR'!$Y$13:$Y$512,'PEGAR'!$O$13:$O$512,B168))</f>
      </c>
      <c r="Q168" s="0">
        <f>IF(B168="","",SUMIFS('PEGAR'!$Z$13:$Z$512,'PEGAR'!$O$13:$O$512,B168))</f>
      </c>
      <c r="R168" s="0" t="n">
        <f>IF(OR(B168="",D168=""),0,SUMPRODUCT(--($B$13:$B$512&lt;&gt;""),--($D$13:$D$512=D168),--($C$13:$C$512=C168))-1)</f>
        <v>0</v>
      </c>
      <c r="S168" s="0" t="n">
        <f>IF(OR(B168="",D168=""),0,SUMPRODUCT(--($B$13:$B$512&lt;&gt;""),--($D$13:$D$512=D168),--($C$13:$C$512&lt;&gt;C168)))</f>
        <v>0</v>
      </c>
      <c r="T168" s="0" t="n">
        <f>IF(OR(B168="",D168=""),0,SUMPRODUCT(--($B$13:$B$512&lt;&gt;""),--($D$13:$D$512=D168),--($E$13:$E$512&lt;&gt;E168)))</f>
        <v>0</v>
      </c>
      <c r="U168" s="0" t="n">
        <f>IF(B168="",0,IF(SUMPRODUCT(--('LÉEME'!$C$65:$C$86=E168))=0,1,0))</f>
        <v>0</v>
      </c>
      <c r="V168" s="0">
        <f>IF(B168="","",SUMIFS('PEGAR'!$AA$13:$AA$512,'PEGAR'!$O$13:$O$512,B168))</f>
      </c>
      <c r="W168" s="0">
        <f>IF(B168="","",IF(OR(L168=0,N168&gt;0,T168&gt;0,IF(ISNUMBER(H168),ROUND(ABS(H168),8)&gt;$F$6,FALSE)),2,IF(OR(M168=0,O168&gt;0,P168&gt;0,Q168&gt;0,R168&gt;0,S168&gt;0,U168&gt;0,V168&gt;0),1,0)))</f>
      </c>
      <c r="X168" s="0">
        <f>IF(B168="","",IF(ISNUMBER(G168),1,0))</f>
      </c>
      <c r="AB168" s="0">
        <f>IF(AND(ISNUMBER(W168),W168&gt;0),"ID "&amp;B168,"")</f>
      </c>
      <c r="AC168" s="0">
        <f>IF(AND(ISNUMBER(W168),W168&gt;0),C168,"")</f>
      </c>
      <c r="AD168" s="0">
        <f>IF(AND(ISNUMBER(W168),W168&gt;0),D168,"")</f>
      </c>
      <c r="AE168" s="0">
        <f>IF(AND(ISNUMBER(W168),W168&gt;0),IF(INDEX('PEGAR'!$D$13:$D$512,IF(L168&gt;0,L168,K168))="","Sin descripción",INDEX('PEGAR'!$D$13:$D$512,IF(L168&gt;0,L168,K168))),"")</f>
      </c>
      <c r="AF168" s="0">
        <f>IF(AND(ISNUMBER(W168),W168&gt;0),J168,"")</f>
      </c>
      <c r="AG168" s="0" t="n">
        <f>IF(AND(ISNUMBER(W168),W168&gt;0),W168,0)</f>
        <v>0</v>
      </c>
      <c r="AH168" s="0">
        <f>IF(AG168&gt;0,COUNTIFS($AG$13:AG168,"&gt;0"),"")</f>
      </c>
    </row>
    <row r="169" ht="22" customHeight="1">
      <c r="B169" s="27">
        <f>IF(K169="","",INDEX('PEGAR'!$O$13:$O$512,K169))</f>
      </c>
      <c r="C169" s="30">
        <f>IF(B169="","",IF(LEN(TRIM(INDEX('PEGAR'!$B$13:$B$512,IF(L169&gt;0,L169,K169))&amp;""))=0,"Sin capítulo",TRIM(INDEX('PEGAR'!$B$13:$B$512,IF(L169&gt;0,L169,K169))&amp;"")))</f>
      </c>
      <c r="D169" s="27">
        <f>IF(B169="","",IF(LEN(TRIM(INDEX('PEGAR'!$C$13:$C$512,IF(L169&gt;0,L169,K169))&amp;""))=0,"",TRIM(INDEX('PEGAR'!$C$13:$C$512,IF(L169&gt;0,L169,K169))&amp;"")))</f>
      </c>
      <c r="E169" s="27">
        <f>IF(B169="","",INDEX('PEGAR'!$S$13:$S$512,IF(L169&gt;0,L169,K169)))</f>
      </c>
      <c r="F169" s="39">
        <f>IF(B169="","",IF(L169&gt;0,INDEX('PEGAR'!$F$13:$F$512,L169),""))</f>
      </c>
      <c r="G169" s="39">
        <f>IF(B169="","",IF(OR(M169=0,N169&gt;0,O169&gt;0),"",SUMIFS('PEGAR'!$M$13:$M$512,'PEGAR'!$O$13:$O$512,B169)))</f>
      </c>
      <c r="H169" s="39">
        <f>IF(AND(ISNUMBER(F169),ISNUMBER(G169)),G169-F169,"")</f>
      </c>
      <c r="I169" s="27">
        <f>IF(B169="","",IF(W169=2,"ROJO",IF(W169=1,"ÁMBAR","VERDE")))</f>
      </c>
      <c r="J169" s="30">
        <f>IF(B169="","",IF(W169=0,"Sin avisos numéricos. Revisamos el alcance aparte.",IF(L169=0,"Faltan datos completos de partida; no elegimos un total por suposición."&amp;CHAR(10),"")&amp;IF(N169&gt;0,"Hay filas incompletas o contradictorias; las revisamos en PEGAR."&amp;CHAR(10),"")&amp;IF(O169&gt;0,"Faltan las medidas de alguna fila; no cerramos la suma."&amp;CHAR(10),"")&amp;IF(M169=0,"No constan líneas de medición."&amp;CHAR(10),"")&amp;IF(IF(ISNUMBER(H169),ROUND(ABS(H169),8)&gt;$F$6,FALSE),"Las líneas difieren del total en más de 0,01; confirmamos cantidad o exclusión."&amp;CHAR(10),"")&amp;IF(P169&gt;0,"Parece m³: encontramos tres dimensiones bajo m²."&amp;CHAR(10),"")&amp;IF(R169&gt;0,"Código repetido dentro del capítulo; mantenemos sus ID separados."&amp;CHAR(10),"")&amp;IF(S169&gt;0,"Código repetido en otro capítulo; no unimos las partidas."&amp;CHAR(10),"")&amp;IF(T169&gt;0,"Mismo código con unidades distintas; pedimos aclaración."&amp;CHAR(10),"")&amp;IF(Q169&gt;0,"Hay más precisión que los decimales indicados; cotejamos el formato original."&amp;CHAR(10),"")&amp;IF(U169&gt;0,"Unidad sin normalizar; cotejamos su significado antes de sumar unidades."&amp;CHAR(10),"")&amp;IF(V169&gt;0,"Revisamos dimensiones, cantidades directas, ceros o deducciones en PEGAR."&amp;CHAR(10),"")))</f>
      </c>
      <c r="K169" s="0">
        <f>IF(157&gt;'RESUMEN'!$E$6,"",MATCH(157,'PEGAR'!$W$13:$W$512,0))</f>
      </c>
      <c r="L169" s="0">
        <f>IF(K169="","",INDEX('PEGAR'!$R$13:$R$512,K169))</f>
      </c>
      <c r="M169" s="0">
        <f>IF(B169="","",COUNTIFS('PEGAR'!$O$13:$O$512,B169,'PEGAR'!$P$13:$P$512,"DIMENSIONES")+COUNTIFS('PEGAR'!$O$13:$O$512,B169,'PEGAR'!$P$13:$P$512,"DIRECTA"))</f>
      </c>
      <c r="N169" s="0">
        <f>IF(B169="","",COUNTIFS('PEGAR'!$O$13:$O$512,B169,'PEGAR'!$X$13:$X$512,2))</f>
      </c>
      <c r="O169" s="0">
        <f>IF(B169="","",COUNTIFS('PEGAR'!$O$13:$O$512,B169,'PEGAR'!$P$13:$P$512,"SIN LÍNEAS"))</f>
      </c>
      <c r="P169" s="0">
        <f>IF(B169="","",SUMIFS('PEGAR'!$Y$13:$Y$512,'PEGAR'!$O$13:$O$512,B169))</f>
      </c>
      <c r="Q169" s="0">
        <f>IF(B169="","",SUMIFS('PEGAR'!$Z$13:$Z$512,'PEGAR'!$O$13:$O$512,B169))</f>
      </c>
      <c r="R169" s="0" t="n">
        <f>IF(OR(B169="",D169=""),0,SUMPRODUCT(--($B$13:$B$512&lt;&gt;""),--($D$13:$D$512=D169),--($C$13:$C$512=C169))-1)</f>
        <v>0</v>
      </c>
      <c r="S169" s="0" t="n">
        <f>IF(OR(B169="",D169=""),0,SUMPRODUCT(--($B$13:$B$512&lt;&gt;""),--($D$13:$D$512=D169),--($C$13:$C$512&lt;&gt;C169)))</f>
        <v>0</v>
      </c>
      <c r="T169" s="0" t="n">
        <f>IF(OR(B169="",D169=""),0,SUMPRODUCT(--($B$13:$B$512&lt;&gt;""),--($D$13:$D$512=D169),--($E$13:$E$512&lt;&gt;E169)))</f>
        <v>0</v>
      </c>
      <c r="U169" s="0" t="n">
        <f>IF(B169="",0,IF(SUMPRODUCT(--('LÉEME'!$C$65:$C$86=E169))=0,1,0))</f>
        <v>0</v>
      </c>
      <c r="V169" s="0">
        <f>IF(B169="","",SUMIFS('PEGAR'!$AA$13:$AA$512,'PEGAR'!$O$13:$O$512,B169))</f>
      </c>
      <c r="W169" s="0">
        <f>IF(B169="","",IF(OR(L169=0,N169&gt;0,T169&gt;0,IF(ISNUMBER(H169),ROUND(ABS(H169),8)&gt;$F$6,FALSE)),2,IF(OR(M169=0,O169&gt;0,P169&gt;0,Q169&gt;0,R169&gt;0,S169&gt;0,U169&gt;0,V169&gt;0),1,0)))</f>
      </c>
      <c r="X169" s="0">
        <f>IF(B169="","",IF(ISNUMBER(G169),1,0))</f>
      </c>
      <c r="AB169" s="0">
        <f>IF(AND(ISNUMBER(W169),W169&gt;0),"ID "&amp;B169,"")</f>
      </c>
      <c r="AC169" s="0">
        <f>IF(AND(ISNUMBER(W169),W169&gt;0),C169,"")</f>
      </c>
      <c r="AD169" s="0">
        <f>IF(AND(ISNUMBER(W169),W169&gt;0),D169,"")</f>
      </c>
      <c r="AE169" s="0">
        <f>IF(AND(ISNUMBER(W169),W169&gt;0),IF(INDEX('PEGAR'!$D$13:$D$512,IF(L169&gt;0,L169,K169))="","Sin descripción",INDEX('PEGAR'!$D$13:$D$512,IF(L169&gt;0,L169,K169))),"")</f>
      </c>
      <c r="AF169" s="0">
        <f>IF(AND(ISNUMBER(W169),W169&gt;0),J169,"")</f>
      </c>
      <c r="AG169" s="0" t="n">
        <f>IF(AND(ISNUMBER(W169),W169&gt;0),W169,0)</f>
        <v>0</v>
      </c>
      <c r="AH169" s="0">
        <f>IF(AG169&gt;0,COUNTIFS($AG$13:AG169,"&gt;0"),"")</f>
      </c>
    </row>
    <row r="170" ht="22" customHeight="1">
      <c r="B170" s="27">
        <f>IF(K170="","",INDEX('PEGAR'!$O$13:$O$512,K170))</f>
      </c>
      <c r="C170" s="30">
        <f>IF(B170="","",IF(LEN(TRIM(INDEX('PEGAR'!$B$13:$B$512,IF(L170&gt;0,L170,K170))&amp;""))=0,"Sin capítulo",TRIM(INDEX('PEGAR'!$B$13:$B$512,IF(L170&gt;0,L170,K170))&amp;"")))</f>
      </c>
      <c r="D170" s="27">
        <f>IF(B170="","",IF(LEN(TRIM(INDEX('PEGAR'!$C$13:$C$512,IF(L170&gt;0,L170,K170))&amp;""))=0,"",TRIM(INDEX('PEGAR'!$C$13:$C$512,IF(L170&gt;0,L170,K170))&amp;"")))</f>
      </c>
      <c r="E170" s="27">
        <f>IF(B170="","",INDEX('PEGAR'!$S$13:$S$512,IF(L170&gt;0,L170,K170)))</f>
      </c>
      <c r="F170" s="39">
        <f>IF(B170="","",IF(L170&gt;0,INDEX('PEGAR'!$F$13:$F$512,L170),""))</f>
      </c>
      <c r="G170" s="39">
        <f>IF(B170="","",IF(OR(M170=0,N170&gt;0,O170&gt;0),"",SUMIFS('PEGAR'!$M$13:$M$512,'PEGAR'!$O$13:$O$512,B170)))</f>
      </c>
      <c r="H170" s="39">
        <f>IF(AND(ISNUMBER(F170),ISNUMBER(G170)),G170-F170,"")</f>
      </c>
      <c r="I170" s="27">
        <f>IF(B170="","",IF(W170=2,"ROJO",IF(W170=1,"ÁMBAR","VERDE")))</f>
      </c>
      <c r="J170" s="30">
        <f>IF(B170="","",IF(W170=0,"Sin avisos numéricos. Revisamos el alcance aparte.",IF(L170=0,"Faltan datos completos de partida; no elegimos un total por suposición."&amp;CHAR(10),"")&amp;IF(N170&gt;0,"Hay filas incompletas o contradictorias; las revisamos en PEGAR."&amp;CHAR(10),"")&amp;IF(O170&gt;0,"Faltan las medidas de alguna fila; no cerramos la suma."&amp;CHAR(10),"")&amp;IF(M170=0,"No constan líneas de medición."&amp;CHAR(10),"")&amp;IF(IF(ISNUMBER(H170),ROUND(ABS(H170),8)&gt;$F$6,FALSE),"Las líneas difieren del total en más de 0,01; confirmamos cantidad o exclusión."&amp;CHAR(10),"")&amp;IF(P170&gt;0,"Parece m³: encontramos tres dimensiones bajo m²."&amp;CHAR(10),"")&amp;IF(R170&gt;0,"Código repetido dentro del capítulo; mantenemos sus ID separados."&amp;CHAR(10),"")&amp;IF(S170&gt;0,"Código repetido en otro capítulo; no unimos las partidas."&amp;CHAR(10),"")&amp;IF(T170&gt;0,"Mismo código con unidades distintas; pedimos aclaración."&amp;CHAR(10),"")&amp;IF(Q170&gt;0,"Hay más precisión que los decimales indicados; cotejamos el formato original."&amp;CHAR(10),"")&amp;IF(U170&gt;0,"Unidad sin normalizar; cotejamos su significado antes de sumar unidades."&amp;CHAR(10),"")&amp;IF(V170&gt;0,"Revisamos dimensiones, cantidades directas, ceros o deducciones en PEGAR."&amp;CHAR(10),"")))</f>
      </c>
      <c r="K170" s="0">
        <f>IF(158&gt;'RESUMEN'!$E$6,"",MATCH(158,'PEGAR'!$W$13:$W$512,0))</f>
      </c>
      <c r="L170" s="0">
        <f>IF(K170="","",INDEX('PEGAR'!$R$13:$R$512,K170))</f>
      </c>
      <c r="M170" s="0">
        <f>IF(B170="","",COUNTIFS('PEGAR'!$O$13:$O$512,B170,'PEGAR'!$P$13:$P$512,"DIMENSIONES")+COUNTIFS('PEGAR'!$O$13:$O$512,B170,'PEGAR'!$P$13:$P$512,"DIRECTA"))</f>
      </c>
      <c r="N170" s="0">
        <f>IF(B170="","",COUNTIFS('PEGAR'!$O$13:$O$512,B170,'PEGAR'!$X$13:$X$512,2))</f>
      </c>
      <c r="O170" s="0">
        <f>IF(B170="","",COUNTIFS('PEGAR'!$O$13:$O$512,B170,'PEGAR'!$P$13:$P$512,"SIN LÍNEAS"))</f>
      </c>
      <c r="P170" s="0">
        <f>IF(B170="","",SUMIFS('PEGAR'!$Y$13:$Y$512,'PEGAR'!$O$13:$O$512,B170))</f>
      </c>
      <c r="Q170" s="0">
        <f>IF(B170="","",SUMIFS('PEGAR'!$Z$13:$Z$512,'PEGAR'!$O$13:$O$512,B170))</f>
      </c>
      <c r="R170" s="0" t="n">
        <f>IF(OR(B170="",D170=""),0,SUMPRODUCT(--($B$13:$B$512&lt;&gt;""),--($D$13:$D$512=D170),--($C$13:$C$512=C170))-1)</f>
        <v>0</v>
      </c>
      <c r="S170" s="0" t="n">
        <f>IF(OR(B170="",D170=""),0,SUMPRODUCT(--($B$13:$B$512&lt;&gt;""),--($D$13:$D$512=D170),--($C$13:$C$512&lt;&gt;C170)))</f>
        <v>0</v>
      </c>
      <c r="T170" s="0" t="n">
        <f>IF(OR(B170="",D170=""),0,SUMPRODUCT(--($B$13:$B$512&lt;&gt;""),--($D$13:$D$512=D170),--($E$13:$E$512&lt;&gt;E170)))</f>
        <v>0</v>
      </c>
      <c r="U170" s="0" t="n">
        <f>IF(B170="",0,IF(SUMPRODUCT(--('LÉEME'!$C$65:$C$86=E170))=0,1,0))</f>
        <v>0</v>
      </c>
      <c r="V170" s="0">
        <f>IF(B170="","",SUMIFS('PEGAR'!$AA$13:$AA$512,'PEGAR'!$O$13:$O$512,B170))</f>
      </c>
      <c r="W170" s="0">
        <f>IF(B170="","",IF(OR(L170=0,N170&gt;0,T170&gt;0,IF(ISNUMBER(H170),ROUND(ABS(H170),8)&gt;$F$6,FALSE)),2,IF(OR(M170=0,O170&gt;0,P170&gt;0,Q170&gt;0,R170&gt;0,S170&gt;0,U170&gt;0,V170&gt;0),1,0)))</f>
      </c>
      <c r="X170" s="0">
        <f>IF(B170="","",IF(ISNUMBER(G170),1,0))</f>
      </c>
      <c r="AB170" s="0">
        <f>IF(AND(ISNUMBER(W170),W170&gt;0),"ID "&amp;B170,"")</f>
      </c>
      <c r="AC170" s="0">
        <f>IF(AND(ISNUMBER(W170),W170&gt;0),C170,"")</f>
      </c>
      <c r="AD170" s="0">
        <f>IF(AND(ISNUMBER(W170),W170&gt;0),D170,"")</f>
      </c>
      <c r="AE170" s="0">
        <f>IF(AND(ISNUMBER(W170),W170&gt;0),IF(INDEX('PEGAR'!$D$13:$D$512,IF(L170&gt;0,L170,K170))="","Sin descripción",INDEX('PEGAR'!$D$13:$D$512,IF(L170&gt;0,L170,K170))),"")</f>
      </c>
      <c r="AF170" s="0">
        <f>IF(AND(ISNUMBER(W170),W170&gt;0),J170,"")</f>
      </c>
      <c r="AG170" s="0" t="n">
        <f>IF(AND(ISNUMBER(W170),W170&gt;0),W170,0)</f>
        <v>0</v>
      </c>
      <c r="AH170" s="0">
        <f>IF(AG170&gt;0,COUNTIFS($AG$13:AG170,"&gt;0"),"")</f>
      </c>
    </row>
    <row r="171" ht="22" customHeight="1">
      <c r="B171" s="27">
        <f>IF(K171="","",INDEX('PEGAR'!$O$13:$O$512,K171))</f>
      </c>
      <c r="C171" s="30">
        <f>IF(B171="","",IF(LEN(TRIM(INDEX('PEGAR'!$B$13:$B$512,IF(L171&gt;0,L171,K171))&amp;""))=0,"Sin capítulo",TRIM(INDEX('PEGAR'!$B$13:$B$512,IF(L171&gt;0,L171,K171))&amp;"")))</f>
      </c>
      <c r="D171" s="27">
        <f>IF(B171="","",IF(LEN(TRIM(INDEX('PEGAR'!$C$13:$C$512,IF(L171&gt;0,L171,K171))&amp;""))=0,"",TRIM(INDEX('PEGAR'!$C$13:$C$512,IF(L171&gt;0,L171,K171))&amp;"")))</f>
      </c>
      <c r="E171" s="27">
        <f>IF(B171="","",INDEX('PEGAR'!$S$13:$S$512,IF(L171&gt;0,L171,K171)))</f>
      </c>
      <c r="F171" s="39">
        <f>IF(B171="","",IF(L171&gt;0,INDEX('PEGAR'!$F$13:$F$512,L171),""))</f>
      </c>
      <c r="G171" s="39">
        <f>IF(B171="","",IF(OR(M171=0,N171&gt;0,O171&gt;0),"",SUMIFS('PEGAR'!$M$13:$M$512,'PEGAR'!$O$13:$O$512,B171)))</f>
      </c>
      <c r="H171" s="39">
        <f>IF(AND(ISNUMBER(F171),ISNUMBER(G171)),G171-F171,"")</f>
      </c>
      <c r="I171" s="27">
        <f>IF(B171="","",IF(W171=2,"ROJO",IF(W171=1,"ÁMBAR","VERDE")))</f>
      </c>
      <c r="J171" s="30">
        <f>IF(B171="","",IF(W171=0,"Sin avisos numéricos. Revisamos el alcance aparte.",IF(L171=0,"Faltan datos completos de partida; no elegimos un total por suposición."&amp;CHAR(10),"")&amp;IF(N171&gt;0,"Hay filas incompletas o contradictorias; las revisamos en PEGAR."&amp;CHAR(10),"")&amp;IF(O171&gt;0,"Faltan las medidas de alguna fila; no cerramos la suma."&amp;CHAR(10),"")&amp;IF(M171=0,"No constan líneas de medición."&amp;CHAR(10),"")&amp;IF(IF(ISNUMBER(H171),ROUND(ABS(H171),8)&gt;$F$6,FALSE),"Las líneas difieren del total en más de 0,01; confirmamos cantidad o exclusión."&amp;CHAR(10),"")&amp;IF(P171&gt;0,"Parece m³: encontramos tres dimensiones bajo m²."&amp;CHAR(10),"")&amp;IF(R171&gt;0,"Código repetido dentro del capítulo; mantenemos sus ID separados."&amp;CHAR(10),"")&amp;IF(S171&gt;0,"Código repetido en otro capítulo; no unimos las partidas."&amp;CHAR(10),"")&amp;IF(T171&gt;0,"Mismo código con unidades distintas; pedimos aclaración."&amp;CHAR(10),"")&amp;IF(Q171&gt;0,"Hay más precisión que los decimales indicados; cotejamos el formato original."&amp;CHAR(10),"")&amp;IF(U171&gt;0,"Unidad sin normalizar; cotejamos su significado antes de sumar unidades."&amp;CHAR(10),"")&amp;IF(V171&gt;0,"Revisamos dimensiones, cantidades directas, ceros o deducciones en PEGAR."&amp;CHAR(10),"")))</f>
      </c>
      <c r="K171" s="0">
        <f>IF(159&gt;'RESUMEN'!$E$6,"",MATCH(159,'PEGAR'!$W$13:$W$512,0))</f>
      </c>
      <c r="L171" s="0">
        <f>IF(K171="","",INDEX('PEGAR'!$R$13:$R$512,K171))</f>
      </c>
      <c r="M171" s="0">
        <f>IF(B171="","",COUNTIFS('PEGAR'!$O$13:$O$512,B171,'PEGAR'!$P$13:$P$512,"DIMENSIONES")+COUNTIFS('PEGAR'!$O$13:$O$512,B171,'PEGAR'!$P$13:$P$512,"DIRECTA"))</f>
      </c>
      <c r="N171" s="0">
        <f>IF(B171="","",COUNTIFS('PEGAR'!$O$13:$O$512,B171,'PEGAR'!$X$13:$X$512,2))</f>
      </c>
      <c r="O171" s="0">
        <f>IF(B171="","",COUNTIFS('PEGAR'!$O$13:$O$512,B171,'PEGAR'!$P$13:$P$512,"SIN LÍNEAS"))</f>
      </c>
      <c r="P171" s="0">
        <f>IF(B171="","",SUMIFS('PEGAR'!$Y$13:$Y$512,'PEGAR'!$O$13:$O$512,B171))</f>
      </c>
      <c r="Q171" s="0">
        <f>IF(B171="","",SUMIFS('PEGAR'!$Z$13:$Z$512,'PEGAR'!$O$13:$O$512,B171))</f>
      </c>
      <c r="R171" s="0" t="n">
        <f>IF(OR(B171="",D171=""),0,SUMPRODUCT(--($B$13:$B$512&lt;&gt;""),--($D$13:$D$512=D171),--($C$13:$C$512=C171))-1)</f>
        <v>0</v>
      </c>
      <c r="S171" s="0" t="n">
        <f>IF(OR(B171="",D171=""),0,SUMPRODUCT(--($B$13:$B$512&lt;&gt;""),--($D$13:$D$512=D171),--($C$13:$C$512&lt;&gt;C171)))</f>
        <v>0</v>
      </c>
      <c r="T171" s="0" t="n">
        <f>IF(OR(B171="",D171=""),0,SUMPRODUCT(--($B$13:$B$512&lt;&gt;""),--($D$13:$D$512=D171),--($E$13:$E$512&lt;&gt;E171)))</f>
        <v>0</v>
      </c>
      <c r="U171" s="0" t="n">
        <f>IF(B171="",0,IF(SUMPRODUCT(--('LÉEME'!$C$65:$C$86=E171))=0,1,0))</f>
        <v>0</v>
      </c>
      <c r="V171" s="0">
        <f>IF(B171="","",SUMIFS('PEGAR'!$AA$13:$AA$512,'PEGAR'!$O$13:$O$512,B171))</f>
      </c>
      <c r="W171" s="0">
        <f>IF(B171="","",IF(OR(L171=0,N171&gt;0,T171&gt;0,IF(ISNUMBER(H171),ROUND(ABS(H171),8)&gt;$F$6,FALSE)),2,IF(OR(M171=0,O171&gt;0,P171&gt;0,Q171&gt;0,R171&gt;0,S171&gt;0,U171&gt;0,V171&gt;0),1,0)))</f>
      </c>
      <c r="X171" s="0">
        <f>IF(B171="","",IF(ISNUMBER(G171),1,0))</f>
      </c>
      <c r="AB171" s="0">
        <f>IF(AND(ISNUMBER(W171),W171&gt;0),"ID "&amp;B171,"")</f>
      </c>
      <c r="AC171" s="0">
        <f>IF(AND(ISNUMBER(W171),W171&gt;0),C171,"")</f>
      </c>
      <c r="AD171" s="0">
        <f>IF(AND(ISNUMBER(W171),W171&gt;0),D171,"")</f>
      </c>
      <c r="AE171" s="0">
        <f>IF(AND(ISNUMBER(W171),W171&gt;0),IF(INDEX('PEGAR'!$D$13:$D$512,IF(L171&gt;0,L171,K171))="","Sin descripción",INDEX('PEGAR'!$D$13:$D$512,IF(L171&gt;0,L171,K171))),"")</f>
      </c>
      <c r="AF171" s="0">
        <f>IF(AND(ISNUMBER(W171),W171&gt;0),J171,"")</f>
      </c>
      <c r="AG171" s="0" t="n">
        <f>IF(AND(ISNUMBER(W171),W171&gt;0),W171,0)</f>
        <v>0</v>
      </c>
      <c r="AH171" s="0">
        <f>IF(AG171&gt;0,COUNTIFS($AG$13:AG171,"&gt;0"),"")</f>
      </c>
    </row>
    <row r="172" ht="22" customHeight="1">
      <c r="B172" s="27">
        <f>IF(K172="","",INDEX('PEGAR'!$O$13:$O$512,K172))</f>
      </c>
      <c r="C172" s="30">
        <f>IF(B172="","",IF(LEN(TRIM(INDEX('PEGAR'!$B$13:$B$512,IF(L172&gt;0,L172,K172))&amp;""))=0,"Sin capítulo",TRIM(INDEX('PEGAR'!$B$13:$B$512,IF(L172&gt;0,L172,K172))&amp;"")))</f>
      </c>
      <c r="D172" s="27">
        <f>IF(B172="","",IF(LEN(TRIM(INDEX('PEGAR'!$C$13:$C$512,IF(L172&gt;0,L172,K172))&amp;""))=0,"",TRIM(INDEX('PEGAR'!$C$13:$C$512,IF(L172&gt;0,L172,K172))&amp;"")))</f>
      </c>
      <c r="E172" s="27">
        <f>IF(B172="","",INDEX('PEGAR'!$S$13:$S$512,IF(L172&gt;0,L172,K172)))</f>
      </c>
      <c r="F172" s="39">
        <f>IF(B172="","",IF(L172&gt;0,INDEX('PEGAR'!$F$13:$F$512,L172),""))</f>
      </c>
      <c r="G172" s="39">
        <f>IF(B172="","",IF(OR(M172=0,N172&gt;0,O172&gt;0),"",SUMIFS('PEGAR'!$M$13:$M$512,'PEGAR'!$O$13:$O$512,B172)))</f>
      </c>
      <c r="H172" s="39">
        <f>IF(AND(ISNUMBER(F172),ISNUMBER(G172)),G172-F172,"")</f>
      </c>
      <c r="I172" s="27">
        <f>IF(B172="","",IF(W172=2,"ROJO",IF(W172=1,"ÁMBAR","VERDE")))</f>
      </c>
      <c r="J172" s="30">
        <f>IF(B172="","",IF(W172=0,"Sin avisos numéricos. Revisamos el alcance aparte.",IF(L172=0,"Faltan datos completos de partida; no elegimos un total por suposición."&amp;CHAR(10),"")&amp;IF(N172&gt;0,"Hay filas incompletas o contradictorias; las revisamos en PEGAR."&amp;CHAR(10),"")&amp;IF(O172&gt;0,"Faltan las medidas de alguna fila; no cerramos la suma."&amp;CHAR(10),"")&amp;IF(M172=0,"No constan líneas de medición."&amp;CHAR(10),"")&amp;IF(IF(ISNUMBER(H172),ROUND(ABS(H172),8)&gt;$F$6,FALSE),"Las líneas difieren del total en más de 0,01; confirmamos cantidad o exclusión."&amp;CHAR(10),"")&amp;IF(P172&gt;0,"Parece m³: encontramos tres dimensiones bajo m²."&amp;CHAR(10),"")&amp;IF(R172&gt;0,"Código repetido dentro del capítulo; mantenemos sus ID separados."&amp;CHAR(10),"")&amp;IF(S172&gt;0,"Código repetido en otro capítulo; no unimos las partidas."&amp;CHAR(10),"")&amp;IF(T172&gt;0,"Mismo código con unidades distintas; pedimos aclaración."&amp;CHAR(10),"")&amp;IF(Q172&gt;0,"Hay más precisión que los decimales indicados; cotejamos el formato original."&amp;CHAR(10),"")&amp;IF(U172&gt;0,"Unidad sin normalizar; cotejamos su significado antes de sumar unidades."&amp;CHAR(10),"")&amp;IF(V172&gt;0,"Revisamos dimensiones, cantidades directas, ceros o deducciones en PEGAR."&amp;CHAR(10),"")))</f>
      </c>
      <c r="K172" s="0">
        <f>IF(160&gt;'RESUMEN'!$E$6,"",MATCH(160,'PEGAR'!$W$13:$W$512,0))</f>
      </c>
      <c r="L172" s="0">
        <f>IF(K172="","",INDEX('PEGAR'!$R$13:$R$512,K172))</f>
      </c>
      <c r="M172" s="0">
        <f>IF(B172="","",COUNTIFS('PEGAR'!$O$13:$O$512,B172,'PEGAR'!$P$13:$P$512,"DIMENSIONES")+COUNTIFS('PEGAR'!$O$13:$O$512,B172,'PEGAR'!$P$13:$P$512,"DIRECTA"))</f>
      </c>
      <c r="N172" s="0">
        <f>IF(B172="","",COUNTIFS('PEGAR'!$O$13:$O$512,B172,'PEGAR'!$X$13:$X$512,2))</f>
      </c>
      <c r="O172" s="0">
        <f>IF(B172="","",COUNTIFS('PEGAR'!$O$13:$O$512,B172,'PEGAR'!$P$13:$P$512,"SIN LÍNEAS"))</f>
      </c>
      <c r="P172" s="0">
        <f>IF(B172="","",SUMIFS('PEGAR'!$Y$13:$Y$512,'PEGAR'!$O$13:$O$512,B172))</f>
      </c>
      <c r="Q172" s="0">
        <f>IF(B172="","",SUMIFS('PEGAR'!$Z$13:$Z$512,'PEGAR'!$O$13:$O$512,B172))</f>
      </c>
      <c r="R172" s="0" t="n">
        <f>IF(OR(B172="",D172=""),0,SUMPRODUCT(--($B$13:$B$512&lt;&gt;""),--($D$13:$D$512=D172),--($C$13:$C$512=C172))-1)</f>
        <v>0</v>
      </c>
      <c r="S172" s="0" t="n">
        <f>IF(OR(B172="",D172=""),0,SUMPRODUCT(--($B$13:$B$512&lt;&gt;""),--($D$13:$D$512=D172),--($C$13:$C$512&lt;&gt;C172)))</f>
        <v>0</v>
      </c>
      <c r="T172" s="0" t="n">
        <f>IF(OR(B172="",D172=""),0,SUMPRODUCT(--($B$13:$B$512&lt;&gt;""),--($D$13:$D$512=D172),--($E$13:$E$512&lt;&gt;E172)))</f>
        <v>0</v>
      </c>
      <c r="U172" s="0" t="n">
        <f>IF(B172="",0,IF(SUMPRODUCT(--('LÉEME'!$C$65:$C$86=E172))=0,1,0))</f>
        <v>0</v>
      </c>
      <c r="V172" s="0">
        <f>IF(B172="","",SUMIFS('PEGAR'!$AA$13:$AA$512,'PEGAR'!$O$13:$O$512,B172))</f>
      </c>
      <c r="W172" s="0">
        <f>IF(B172="","",IF(OR(L172=0,N172&gt;0,T172&gt;0,IF(ISNUMBER(H172),ROUND(ABS(H172),8)&gt;$F$6,FALSE)),2,IF(OR(M172=0,O172&gt;0,P172&gt;0,Q172&gt;0,R172&gt;0,S172&gt;0,U172&gt;0,V172&gt;0),1,0)))</f>
      </c>
      <c r="X172" s="0">
        <f>IF(B172="","",IF(ISNUMBER(G172),1,0))</f>
      </c>
      <c r="AB172" s="0">
        <f>IF(AND(ISNUMBER(W172),W172&gt;0),"ID "&amp;B172,"")</f>
      </c>
      <c r="AC172" s="0">
        <f>IF(AND(ISNUMBER(W172),W172&gt;0),C172,"")</f>
      </c>
      <c r="AD172" s="0">
        <f>IF(AND(ISNUMBER(W172),W172&gt;0),D172,"")</f>
      </c>
      <c r="AE172" s="0">
        <f>IF(AND(ISNUMBER(W172),W172&gt;0),IF(INDEX('PEGAR'!$D$13:$D$512,IF(L172&gt;0,L172,K172))="","Sin descripción",INDEX('PEGAR'!$D$13:$D$512,IF(L172&gt;0,L172,K172))),"")</f>
      </c>
      <c r="AF172" s="0">
        <f>IF(AND(ISNUMBER(W172),W172&gt;0),J172,"")</f>
      </c>
      <c r="AG172" s="0" t="n">
        <f>IF(AND(ISNUMBER(W172),W172&gt;0),W172,0)</f>
        <v>0</v>
      </c>
      <c r="AH172" s="0">
        <f>IF(AG172&gt;0,COUNTIFS($AG$13:AG172,"&gt;0"),"")</f>
      </c>
    </row>
    <row r="173" ht="22" customHeight="1">
      <c r="B173" s="27">
        <f>IF(K173="","",INDEX('PEGAR'!$O$13:$O$512,K173))</f>
      </c>
      <c r="C173" s="30">
        <f>IF(B173="","",IF(LEN(TRIM(INDEX('PEGAR'!$B$13:$B$512,IF(L173&gt;0,L173,K173))&amp;""))=0,"Sin capítulo",TRIM(INDEX('PEGAR'!$B$13:$B$512,IF(L173&gt;0,L173,K173))&amp;"")))</f>
      </c>
      <c r="D173" s="27">
        <f>IF(B173="","",IF(LEN(TRIM(INDEX('PEGAR'!$C$13:$C$512,IF(L173&gt;0,L173,K173))&amp;""))=0,"",TRIM(INDEX('PEGAR'!$C$13:$C$512,IF(L173&gt;0,L173,K173))&amp;"")))</f>
      </c>
      <c r="E173" s="27">
        <f>IF(B173="","",INDEX('PEGAR'!$S$13:$S$512,IF(L173&gt;0,L173,K173)))</f>
      </c>
      <c r="F173" s="39">
        <f>IF(B173="","",IF(L173&gt;0,INDEX('PEGAR'!$F$13:$F$512,L173),""))</f>
      </c>
      <c r="G173" s="39">
        <f>IF(B173="","",IF(OR(M173=0,N173&gt;0,O173&gt;0),"",SUMIFS('PEGAR'!$M$13:$M$512,'PEGAR'!$O$13:$O$512,B173)))</f>
      </c>
      <c r="H173" s="39">
        <f>IF(AND(ISNUMBER(F173),ISNUMBER(G173)),G173-F173,"")</f>
      </c>
      <c r="I173" s="27">
        <f>IF(B173="","",IF(W173=2,"ROJO",IF(W173=1,"ÁMBAR","VERDE")))</f>
      </c>
      <c r="J173" s="30">
        <f>IF(B173="","",IF(W173=0,"Sin avisos numéricos. Revisamos el alcance aparte.",IF(L173=0,"Faltan datos completos de partida; no elegimos un total por suposición."&amp;CHAR(10),"")&amp;IF(N173&gt;0,"Hay filas incompletas o contradictorias; las revisamos en PEGAR."&amp;CHAR(10),"")&amp;IF(O173&gt;0,"Faltan las medidas de alguna fila; no cerramos la suma."&amp;CHAR(10),"")&amp;IF(M173=0,"No constan líneas de medición."&amp;CHAR(10),"")&amp;IF(IF(ISNUMBER(H173),ROUND(ABS(H173),8)&gt;$F$6,FALSE),"Las líneas difieren del total en más de 0,01; confirmamos cantidad o exclusión."&amp;CHAR(10),"")&amp;IF(P173&gt;0,"Parece m³: encontramos tres dimensiones bajo m²."&amp;CHAR(10),"")&amp;IF(R173&gt;0,"Código repetido dentro del capítulo; mantenemos sus ID separados."&amp;CHAR(10),"")&amp;IF(S173&gt;0,"Código repetido en otro capítulo; no unimos las partidas."&amp;CHAR(10),"")&amp;IF(T173&gt;0,"Mismo código con unidades distintas; pedimos aclaración."&amp;CHAR(10),"")&amp;IF(Q173&gt;0,"Hay más precisión que los decimales indicados; cotejamos el formato original."&amp;CHAR(10),"")&amp;IF(U173&gt;0,"Unidad sin normalizar; cotejamos su significado antes de sumar unidades."&amp;CHAR(10),"")&amp;IF(V173&gt;0,"Revisamos dimensiones, cantidades directas, ceros o deducciones en PEGAR."&amp;CHAR(10),"")))</f>
      </c>
      <c r="K173" s="0">
        <f>IF(161&gt;'RESUMEN'!$E$6,"",MATCH(161,'PEGAR'!$W$13:$W$512,0))</f>
      </c>
      <c r="L173" s="0">
        <f>IF(K173="","",INDEX('PEGAR'!$R$13:$R$512,K173))</f>
      </c>
      <c r="M173" s="0">
        <f>IF(B173="","",COUNTIFS('PEGAR'!$O$13:$O$512,B173,'PEGAR'!$P$13:$P$512,"DIMENSIONES")+COUNTIFS('PEGAR'!$O$13:$O$512,B173,'PEGAR'!$P$13:$P$512,"DIRECTA"))</f>
      </c>
      <c r="N173" s="0">
        <f>IF(B173="","",COUNTIFS('PEGAR'!$O$13:$O$512,B173,'PEGAR'!$X$13:$X$512,2))</f>
      </c>
      <c r="O173" s="0">
        <f>IF(B173="","",COUNTIFS('PEGAR'!$O$13:$O$512,B173,'PEGAR'!$P$13:$P$512,"SIN LÍNEAS"))</f>
      </c>
      <c r="P173" s="0">
        <f>IF(B173="","",SUMIFS('PEGAR'!$Y$13:$Y$512,'PEGAR'!$O$13:$O$512,B173))</f>
      </c>
      <c r="Q173" s="0">
        <f>IF(B173="","",SUMIFS('PEGAR'!$Z$13:$Z$512,'PEGAR'!$O$13:$O$512,B173))</f>
      </c>
      <c r="R173" s="0" t="n">
        <f>IF(OR(B173="",D173=""),0,SUMPRODUCT(--($B$13:$B$512&lt;&gt;""),--($D$13:$D$512=D173),--($C$13:$C$512=C173))-1)</f>
        <v>0</v>
      </c>
      <c r="S173" s="0" t="n">
        <f>IF(OR(B173="",D173=""),0,SUMPRODUCT(--($B$13:$B$512&lt;&gt;""),--($D$13:$D$512=D173),--($C$13:$C$512&lt;&gt;C173)))</f>
        <v>0</v>
      </c>
      <c r="T173" s="0" t="n">
        <f>IF(OR(B173="",D173=""),0,SUMPRODUCT(--($B$13:$B$512&lt;&gt;""),--($D$13:$D$512=D173),--($E$13:$E$512&lt;&gt;E173)))</f>
        <v>0</v>
      </c>
      <c r="U173" s="0" t="n">
        <f>IF(B173="",0,IF(SUMPRODUCT(--('LÉEME'!$C$65:$C$86=E173))=0,1,0))</f>
        <v>0</v>
      </c>
      <c r="V173" s="0">
        <f>IF(B173="","",SUMIFS('PEGAR'!$AA$13:$AA$512,'PEGAR'!$O$13:$O$512,B173))</f>
      </c>
      <c r="W173" s="0">
        <f>IF(B173="","",IF(OR(L173=0,N173&gt;0,T173&gt;0,IF(ISNUMBER(H173),ROUND(ABS(H173),8)&gt;$F$6,FALSE)),2,IF(OR(M173=0,O173&gt;0,P173&gt;0,Q173&gt;0,R173&gt;0,S173&gt;0,U173&gt;0,V173&gt;0),1,0)))</f>
      </c>
      <c r="X173" s="0">
        <f>IF(B173="","",IF(ISNUMBER(G173),1,0))</f>
      </c>
      <c r="AB173" s="0">
        <f>IF(AND(ISNUMBER(W173),W173&gt;0),"ID "&amp;B173,"")</f>
      </c>
      <c r="AC173" s="0">
        <f>IF(AND(ISNUMBER(W173),W173&gt;0),C173,"")</f>
      </c>
      <c r="AD173" s="0">
        <f>IF(AND(ISNUMBER(W173),W173&gt;0),D173,"")</f>
      </c>
      <c r="AE173" s="0">
        <f>IF(AND(ISNUMBER(W173),W173&gt;0),IF(INDEX('PEGAR'!$D$13:$D$512,IF(L173&gt;0,L173,K173))="","Sin descripción",INDEX('PEGAR'!$D$13:$D$512,IF(L173&gt;0,L173,K173))),"")</f>
      </c>
      <c r="AF173" s="0">
        <f>IF(AND(ISNUMBER(W173),W173&gt;0),J173,"")</f>
      </c>
      <c r="AG173" s="0" t="n">
        <f>IF(AND(ISNUMBER(W173),W173&gt;0),W173,0)</f>
        <v>0</v>
      </c>
      <c r="AH173" s="0">
        <f>IF(AG173&gt;0,COUNTIFS($AG$13:AG173,"&gt;0"),"")</f>
      </c>
    </row>
    <row r="174" ht="22" customHeight="1">
      <c r="B174" s="27">
        <f>IF(K174="","",INDEX('PEGAR'!$O$13:$O$512,K174))</f>
      </c>
      <c r="C174" s="30">
        <f>IF(B174="","",IF(LEN(TRIM(INDEX('PEGAR'!$B$13:$B$512,IF(L174&gt;0,L174,K174))&amp;""))=0,"Sin capítulo",TRIM(INDEX('PEGAR'!$B$13:$B$512,IF(L174&gt;0,L174,K174))&amp;"")))</f>
      </c>
      <c r="D174" s="27">
        <f>IF(B174="","",IF(LEN(TRIM(INDEX('PEGAR'!$C$13:$C$512,IF(L174&gt;0,L174,K174))&amp;""))=0,"",TRIM(INDEX('PEGAR'!$C$13:$C$512,IF(L174&gt;0,L174,K174))&amp;"")))</f>
      </c>
      <c r="E174" s="27">
        <f>IF(B174="","",INDEX('PEGAR'!$S$13:$S$512,IF(L174&gt;0,L174,K174)))</f>
      </c>
      <c r="F174" s="39">
        <f>IF(B174="","",IF(L174&gt;0,INDEX('PEGAR'!$F$13:$F$512,L174),""))</f>
      </c>
      <c r="G174" s="39">
        <f>IF(B174="","",IF(OR(M174=0,N174&gt;0,O174&gt;0),"",SUMIFS('PEGAR'!$M$13:$M$512,'PEGAR'!$O$13:$O$512,B174)))</f>
      </c>
      <c r="H174" s="39">
        <f>IF(AND(ISNUMBER(F174),ISNUMBER(G174)),G174-F174,"")</f>
      </c>
      <c r="I174" s="27">
        <f>IF(B174="","",IF(W174=2,"ROJO",IF(W174=1,"ÁMBAR","VERDE")))</f>
      </c>
      <c r="J174" s="30">
        <f>IF(B174="","",IF(W174=0,"Sin avisos numéricos. Revisamos el alcance aparte.",IF(L174=0,"Faltan datos completos de partida; no elegimos un total por suposición."&amp;CHAR(10),"")&amp;IF(N174&gt;0,"Hay filas incompletas o contradictorias; las revisamos en PEGAR."&amp;CHAR(10),"")&amp;IF(O174&gt;0,"Faltan las medidas de alguna fila; no cerramos la suma."&amp;CHAR(10),"")&amp;IF(M174=0,"No constan líneas de medición."&amp;CHAR(10),"")&amp;IF(IF(ISNUMBER(H174),ROUND(ABS(H174),8)&gt;$F$6,FALSE),"Las líneas difieren del total en más de 0,01; confirmamos cantidad o exclusión."&amp;CHAR(10),"")&amp;IF(P174&gt;0,"Parece m³: encontramos tres dimensiones bajo m²."&amp;CHAR(10),"")&amp;IF(R174&gt;0,"Código repetido dentro del capítulo; mantenemos sus ID separados."&amp;CHAR(10),"")&amp;IF(S174&gt;0,"Código repetido en otro capítulo; no unimos las partidas."&amp;CHAR(10),"")&amp;IF(T174&gt;0,"Mismo código con unidades distintas; pedimos aclaración."&amp;CHAR(10),"")&amp;IF(Q174&gt;0,"Hay más precisión que los decimales indicados; cotejamos el formato original."&amp;CHAR(10),"")&amp;IF(U174&gt;0,"Unidad sin normalizar; cotejamos su significado antes de sumar unidades."&amp;CHAR(10),"")&amp;IF(V174&gt;0,"Revisamos dimensiones, cantidades directas, ceros o deducciones en PEGAR."&amp;CHAR(10),"")))</f>
      </c>
      <c r="K174" s="0">
        <f>IF(162&gt;'RESUMEN'!$E$6,"",MATCH(162,'PEGAR'!$W$13:$W$512,0))</f>
      </c>
      <c r="L174" s="0">
        <f>IF(K174="","",INDEX('PEGAR'!$R$13:$R$512,K174))</f>
      </c>
      <c r="M174" s="0">
        <f>IF(B174="","",COUNTIFS('PEGAR'!$O$13:$O$512,B174,'PEGAR'!$P$13:$P$512,"DIMENSIONES")+COUNTIFS('PEGAR'!$O$13:$O$512,B174,'PEGAR'!$P$13:$P$512,"DIRECTA"))</f>
      </c>
      <c r="N174" s="0">
        <f>IF(B174="","",COUNTIFS('PEGAR'!$O$13:$O$512,B174,'PEGAR'!$X$13:$X$512,2))</f>
      </c>
      <c r="O174" s="0">
        <f>IF(B174="","",COUNTIFS('PEGAR'!$O$13:$O$512,B174,'PEGAR'!$P$13:$P$512,"SIN LÍNEAS"))</f>
      </c>
      <c r="P174" s="0">
        <f>IF(B174="","",SUMIFS('PEGAR'!$Y$13:$Y$512,'PEGAR'!$O$13:$O$512,B174))</f>
      </c>
      <c r="Q174" s="0">
        <f>IF(B174="","",SUMIFS('PEGAR'!$Z$13:$Z$512,'PEGAR'!$O$13:$O$512,B174))</f>
      </c>
      <c r="R174" s="0" t="n">
        <f>IF(OR(B174="",D174=""),0,SUMPRODUCT(--($B$13:$B$512&lt;&gt;""),--($D$13:$D$512=D174),--($C$13:$C$512=C174))-1)</f>
        <v>0</v>
      </c>
      <c r="S174" s="0" t="n">
        <f>IF(OR(B174="",D174=""),0,SUMPRODUCT(--($B$13:$B$512&lt;&gt;""),--($D$13:$D$512=D174),--($C$13:$C$512&lt;&gt;C174)))</f>
        <v>0</v>
      </c>
      <c r="T174" s="0" t="n">
        <f>IF(OR(B174="",D174=""),0,SUMPRODUCT(--($B$13:$B$512&lt;&gt;""),--($D$13:$D$512=D174),--($E$13:$E$512&lt;&gt;E174)))</f>
        <v>0</v>
      </c>
      <c r="U174" s="0" t="n">
        <f>IF(B174="",0,IF(SUMPRODUCT(--('LÉEME'!$C$65:$C$86=E174))=0,1,0))</f>
        <v>0</v>
      </c>
      <c r="V174" s="0">
        <f>IF(B174="","",SUMIFS('PEGAR'!$AA$13:$AA$512,'PEGAR'!$O$13:$O$512,B174))</f>
      </c>
      <c r="W174" s="0">
        <f>IF(B174="","",IF(OR(L174=0,N174&gt;0,T174&gt;0,IF(ISNUMBER(H174),ROUND(ABS(H174),8)&gt;$F$6,FALSE)),2,IF(OR(M174=0,O174&gt;0,P174&gt;0,Q174&gt;0,R174&gt;0,S174&gt;0,U174&gt;0,V174&gt;0),1,0)))</f>
      </c>
      <c r="X174" s="0">
        <f>IF(B174="","",IF(ISNUMBER(G174),1,0))</f>
      </c>
      <c r="AB174" s="0">
        <f>IF(AND(ISNUMBER(W174),W174&gt;0),"ID "&amp;B174,"")</f>
      </c>
      <c r="AC174" s="0">
        <f>IF(AND(ISNUMBER(W174),W174&gt;0),C174,"")</f>
      </c>
      <c r="AD174" s="0">
        <f>IF(AND(ISNUMBER(W174),W174&gt;0),D174,"")</f>
      </c>
      <c r="AE174" s="0">
        <f>IF(AND(ISNUMBER(W174),W174&gt;0),IF(INDEX('PEGAR'!$D$13:$D$512,IF(L174&gt;0,L174,K174))="","Sin descripción",INDEX('PEGAR'!$D$13:$D$512,IF(L174&gt;0,L174,K174))),"")</f>
      </c>
      <c r="AF174" s="0">
        <f>IF(AND(ISNUMBER(W174),W174&gt;0),J174,"")</f>
      </c>
      <c r="AG174" s="0" t="n">
        <f>IF(AND(ISNUMBER(W174),W174&gt;0),W174,0)</f>
        <v>0</v>
      </c>
      <c r="AH174" s="0">
        <f>IF(AG174&gt;0,COUNTIFS($AG$13:AG174,"&gt;0"),"")</f>
      </c>
    </row>
    <row r="175" ht="22" customHeight="1">
      <c r="B175" s="27">
        <f>IF(K175="","",INDEX('PEGAR'!$O$13:$O$512,K175))</f>
      </c>
      <c r="C175" s="30">
        <f>IF(B175="","",IF(LEN(TRIM(INDEX('PEGAR'!$B$13:$B$512,IF(L175&gt;0,L175,K175))&amp;""))=0,"Sin capítulo",TRIM(INDEX('PEGAR'!$B$13:$B$512,IF(L175&gt;0,L175,K175))&amp;"")))</f>
      </c>
      <c r="D175" s="27">
        <f>IF(B175="","",IF(LEN(TRIM(INDEX('PEGAR'!$C$13:$C$512,IF(L175&gt;0,L175,K175))&amp;""))=0,"",TRIM(INDEX('PEGAR'!$C$13:$C$512,IF(L175&gt;0,L175,K175))&amp;"")))</f>
      </c>
      <c r="E175" s="27">
        <f>IF(B175="","",INDEX('PEGAR'!$S$13:$S$512,IF(L175&gt;0,L175,K175)))</f>
      </c>
      <c r="F175" s="39">
        <f>IF(B175="","",IF(L175&gt;0,INDEX('PEGAR'!$F$13:$F$512,L175),""))</f>
      </c>
      <c r="G175" s="39">
        <f>IF(B175="","",IF(OR(M175=0,N175&gt;0,O175&gt;0),"",SUMIFS('PEGAR'!$M$13:$M$512,'PEGAR'!$O$13:$O$512,B175)))</f>
      </c>
      <c r="H175" s="39">
        <f>IF(AND(ISNUMBER(F175),ISNUMBER(G175)),G175-F175,"")</f>
      </c>
      <c r="I175" s="27">
        <f>IF(B175="","",IF(W175=2,"ROJO",IF(W175=1,"ÁMBAR","VERDE")))</f>
      </c>
      <c r="J175" s="30">
        <f>IF(B175="","",IF(W175=0,"Sin avisos numéricos. Revisamos el alcance aparte.",IF(L175=0,"Faltan datos completos de partida; no elegimos un total por suposición."&amp;CHAR(10),"")&amp;IF(N175&gt;0,"Hay filas incompletas o contradictorias; las revisamos en PEGAR."&amp;CHAR(10),"")&amp;IF(O175&gt;0,"Faltan las medidas de alguna fila; no cerramos la suma."&amp;CHAR(10),"")&amp;IF(M175=0,"No constan líneas de medición."&amp;CHAR(10),"")&amp;IF(IF(ISNUMBER(H175),ROUND(ABS(H175),8)&gt;$F$6,FALSE),"Las líneas difieren del total en más de 0,01; confirmamos cantidad o exclusión."&amp;CHAR(10),"")&amp;IF(P175&gt;0,"Parece m³: encontramos tres dimensiones bajo m²."&amp;CHAR(10),"")&amp;IF(R175&gt;0,"Código repetido dentro del capítulo; mantenemos sus ID separados."&amp;CHAR(10),"")&amp;IF(S175&gt;0,"Código repetido en otro capítulo; no unimos las partidas."&amp;CHAR(10),"")&amp;IF(T175&gt;0,"Mismo código con unidades distintas; pedimos aclaración."&amp;CHAR(10),"")&amp;IF(Q175&gt;0,"Hay más precisión que los decimales indicados; cotejamos el formato original."&amp;CHAR(10),"")&amp;IF(U175&gt;0,"Unidad sin normalizar; cotejamos su significado antes de sumar unidades."&amp;CHAR(10),"")&amp;IF(V175&gt;0,"Revisamos dimensiones, cantidades directas, ceros o deducciones en PEGAR."&amp;CHAR(10),"")))</f>
      </c>
      <c r="K175" s="0">
        <f>IF(163&gt;'RESUMEN'!$E$6,"",MATCH(163,'PEGAR'!$W$13:$W$512,0))</f>
      </c>
      <c r="L175" s="0">
        <f>IF(K175="","",INDEX('PEGAR'!$R$13:$R$512,K175))</f>
      </c>
      <c r="M175" s="0">
        <f>IF(B175="","",COUNTIFS('PEGAR'!$O$13:$O$512,B175,'PEGAR'!$P$13:$P$512,"DIMENSIONES")+COUNTIFS('PEGAR'!$O$13:$O$512,B175,'PEGAR'!$P$13:$P$512,"DIRECTA"))</f>
      </c>
      <c r="N175" s="0">
        <f>IF(B175="","",COUNTIFS('PEGAR'!$O$13:$O$512,B175,'PEGAR'!$X$13:$X$512,2))</f>
      </c>
      <c r="O175" s="0">
        <f>IF(B175="","",COUNTIFS('PEGAR'!$O$13:$O$512,B175,'PEGAR'!$P$13:$P$512,"SIN LÍNEAS"))</f>
      </c>
      <c r="P175" s="0">
        <f>IF(B175="","",SUMIFS('PEGAR'!$Y$13:$Y$512,'PEGAR'!$O$13:$O$512,B175))</f>
      </c>
      <c r="Q175" s="0">
        <f>IF(B175="","",SUMIFS('PEGAR'!$Z$13:$Z$512,'PEGAR'!$O$13:$O$512,B175))</f>
      </c>
      <c r="R175" s="0" t="n">
        <f>IF(OR(B175="",D175=""),0,SUMPRODUCT(--($B$13:$B$512&lt;&gt;""),--($D$13:$D$512=D175),--($C$13:$C$512=C175))-1)</f>
        <v>0</v>
      </c>
      <c r="S175" s="0" t="n">
        <f>IF(OR(B175="",D175=""),0,SUMPRODUCT(--($B$13:$B$512&lt;&gt;""),--($D$13:$D$512=D175),--($C$13:$C$512&lt;&gt;C175)))</f>
        <v>0</v>
      </c>
      <c r="T175" s="0" t="n">
        <f>IF(OR(B175="",D175=""),0,SUMPRODUCT(--($B$13:$B$512&lt;&gt;""),--($D$13:$D$512=D175),--($E$13:$E$512&lt;&gt;E175)))</f>
        <v>0</v>
      </c>
      <c r="U175" s="0" t="n">
        <f>IF(B175="",0,IF(SUMPRODUCT(--('LÉEME'!$C$65:$C$86=E175))=0,1,0))</f>
        <v>0</v>
      </c>
      <c r="V175" s="0">
        <f>IF(B175="","",SUMIFS('PEGAR'!$AA$13:$AA$512,'PEGAR'!$O$13:$O$512,B175))</f>
      </c>
      <c r="W175" s="0">
        <f>IF(B175="","",IF(OR(L175=0,N175&gt;0,T175&gt;0,IF(ISNUMBER(H175),ROUND(ABS(H175),8)&gt;$F$6,FALSE)),2,IF(OR(M175=0,O175&gt;0,P175&gt;0,Q175&gt;0,R175&gt;0,S175&gt;0,U175&gt;0,V175&gt;0),1,0)))</f>
      </c>
      <c r="X175" s="0">
        <f>IF(B175="","",IF(ISNUMBER(G175),1,0))</f>
      </c>
      <c r="AB175" s="0">
        <f>IF(AND(ISNUMBER(W175),W175&gt;0),"ID "&amp;B175,"")</f>
      </c>
      <c r="AC175" s="0">
        <f>IF(AND(ISNUMBER(W175),W175&gt;0),C175,"")</f>
      </c>
      <c r="AD175" s="0">
        <f>IF(AND(ISNUMBER(W175),W175&gt;0),D175,"")</f>
      </c>
      <c r="AE175" s="0">
        <f>IF(AND(ISNUMBER(W175),W175&gt;0),IF(INDEX('PEGAR'!$D$13:$D$512,IF(L175&gt;0,L175,K175))="","Sin descripción",INDEX('PEGAR'!$D$13:$D$512,IF(L175&gt;0,L175,K175))),"")</f>
      </c>
      <c r="AF175" s="0">
        <f>IF(AND(ISNUMBER(W175),W175&gt;0),J175,"")</f>
      </c>
      <c r="AG175" s="0" t="n">
        <f>IF(AND(ISNUMBER(W175),W175&gt;0),W175,0)</f>
        <v>0</v>
      </c>
      <c r="AH175" s="0">
        <f>IF(AG175&gt;0,COUNTIFS($AG$13:AG175,"&gt;0"),"")</f>
      </c>
    </row>
    <row r="176" ht="22" customHeight="1">
      <c r="B176" s="27">
        <f>IF(K176="","",INDEX('PEGAR'!$O$13:$O$512,K176))</f>
      </c>
      <c r="C176" s="30">
        <f>IF(B176="","",IF(LEN(TRIM(INDEX('PEGAR'!$B$13:$B$512,IF(L176&gt;0,L176,K176))&amp;""))=0,"Sin capítulo",TRIM(INDEX('PEGAR'!$B$13:$B$512,IF(L176&gt;0,L176,K176))&amp;"")))</f>
      </c>
      <c r="D176" s="27">
        <f>IF(B176="","",IF(LEN(TRIM(INDEX('PEGAR'!$C$13:$C$512,IF(L176&gt;0,L176,K176))&amp;""))=0,"",TRIM(INDEX('PEGAR'!$C$13:$C$512,IF(L176&gt;0,L176,K176))&amp;"")))</f>
      </c>
      <c r="E176" s="27">
        <f>IF(B176="","",INDEX('PEGAR'!$S$13:$S$512,IF(L176&gt;0,L176,K176)))</f>
      </c>
      <c r="F176" s="39">
        <f>IF(B176="","",IF(L176&gt;0,INDEX('PEGAR'!$F$13:$F$512,L176),""))</f>
      </c>
      <c r="G176" s="39">
        <f>IF(B176="","",IF(OR(M176=0,N176&gt;0,O176&gt;0),"",SUMIFS('PEGAR'!$M$13:$M$512,'PEGAR'!$O$13:$O$512,B176)))</f>
      </c>
      <c r="H176" s="39">
        <f>IF(AND(ISNUMBER(F176),ISNUMBER(G176)),G176-F176,"")</f>
      </c>
      <c r="I176" s="27">
        <f>IF(B176="","",IF(W176=2,"ROJO",IF(W176=1,"ÁMBAR","VERDE")))</f>
      </c>
      <c r="J176" s="30">
        <f>IF(B176="","",IF(W176=0,"Sin avisos numéricos. Revisamos el alcance aparte.",IF(L176=0,"Faltan datos completos de partida; no elegimos un total por suposición."&amp;CHAR(10),"")&amp;IF(N176&gt;0,"Hay filas incompletas o contradictorias; las revisamos en PEGAR."&amp;CHAR(10),"")&amp;IF(O176&gt;0,"Faltan las medidas de alguna fila; no cerramos la suma."&amp;CHAR(10),"")&amp;IF(M176=0,"No constan líneas de medición."&amp;CHAR(10),"")&amp;IF(IF(ISNUMBER(H176),ROUND(ABS(H176),8)&gt;$F$6,FALSE),"Las líneas difieren del total en más de 0,01; confirmamos cantidad o exclusión."&amp;CHAR(10),"")&amp;IF(P176&gt;0,"Parece m³: encontramos tres dimensiones bajo m²."&amp;CHAR(10),"")&amp;IF(R176&gt;0,"Código repetido dentro del capítulo; mantenemos sus ID separados."&amp;CHAR(10),"")&amp;IF(S176&gt;0,"Código repetido en otro capítulo; no unimos las partidas."&amp;CHAR(10),"")&amp;IF(T176&gt;0,"Mismo código con unidades distintas; pedimos aclaración."&amp;CHAR(10),"")&amp;IF(Q176&gt;0,"Hay más precisión que los decimales indicados; cotejamos el formato original."&amp;CHAR(10),"")&amp;IF(U176&gt;0,"Unidad sin normalizar; cotejamos su significado antes de sumar unidades."&amp;CHAR(10),"")&amp;IF(V176&gt;0,"Revisamos dimensiones, cantidades directas, ceros o deducciones en PEGAR."&amp;CHAR(10),"")))</f>
      </c>
      <c r="K176" s="0">
        <f>IF(164&gt;'RESUMEN'!$E$6,"",MATCH(164,'PEGAR'!$W$13:$W$512,0))</f>
      </c>
      <c r="L176" s="0">
        <f>IF(K176="","",INDEX('PEGAR'!$R$13:$R$512,K176))</f>
      </c>
      <c r="M176" s="0">
        <f>IF(B176="","",COUNTIFS('PEGAR'!$O$13:$O$512,B176,'PEGAR'!$P$13:$P$512,"DIMENSIONES")+COUNTIFS('PEGAR'!$O$13:$O$512,B176,'PEGAR'!$P$13:$P$512,"DIRECTA"))</f>
      </c>
      <c r="N176" s="0">
        <f>IF(B176="","",COUNTIFS('PEGAR'!$O$13:$O$512,B176,'PEGAR'!$X$13:$X$512,2))</f>
      </c>
      <c r="O176" s="0">
        <f>IF(B176="","",COUNTIFS('PEGAR'!$O$13:$O$512,B176,'PEGAR'!$P$13:$P$512,"SIN LÍNEAS"))</f>
      </c>
      <c r="P176" s="0">
        <f>IF(B176="","",SUMIFS('PEGAR'!$Y$13:$Y$512,'PEGAR'!$O$13:$O$512,B176))</f>
      </c>
      <c r="Q176" s="0">
        <f>IF(B176="","",SUMIFS('PEGAR'!$Z$13:$Z$512,'PEGAR'!$O$13:$O$512,B176))</f>
      </c>
      <c r="R176" s="0" t="n">
        <f>IF(OR(B176="",D176=""),0,SUMPRODUCT(--($B$13:$B$512&lt;&gt;""),--($D$13:$D$512=D176),--($C$13:$C$512=C176))-1)</f>
        <v>0</v>
      </c>
      <c r="S176" s="0" t="n">
        <f>IF(OR(B176="",D176=""),0,SUMPRODUCT(--($B$13:$B$512&lt;&gt;""),--($D$13:$D$512=D176),--($C$13:$C$512&lt;&gt;C176)))</f>
        <v>0</v>
      </c>
      <c r="T176" s="0" t="n">
        <f>IF(OR(B176="",D176=""),0,SUMPRODUCT(--($B$13:$B$512&lt;&gt;""),--($D$13:$D$512=D176),--($E$13:$E$512&lt;&gt;E176)))</f>
        <v>0</v>
      </c>
      <c r="U176" s="0" t="n">
        <f>IF(B176="",0,IF(SUMPRODUCT(--('LÉEME'!$C$65:$C$86=E176))=0,1,0))</f>
        <v>0</v>
      </c>
      <c r="V176" s="0">
        <f>IF(B176="","",SUMIFS('PEGAR'!$AA$13:$AA$512,'PEGAR'!$O$13:$O$512,B176))</f>
      </c>
      <c r="W176" s="0">
        <f>IF(B176="","",IF(OR(L176=0,N176&gt;0,T176&gt;0,IF(ISNUMBER(H176),ROUND(ABS(H176),8)&gt;$F$6,FALSE)),2,IF(OR(M176=0,O176&gt;0,P176&gt;0,Q176&gt;0,R176&gt;0,S176&gt;0,U176&gt;0,V176&gt;0),1,0)))</f>
      </c>
      <c r="X176" s="0">
        <f>IF(B176="","",IF(ISNUMBER(G176),1,0))</f>
      </c>
      <c r="AB176" s="0">
        <f>IF(AND(ISNUMBER(W176),W176&gt;0),"ID "&amp;B176,"")</f>
      </c>
      <c r="AC176" s="0">
        <f>IF(AND(ISNUMBER(W176),W176&gt;0),C176,"")</f>
      </c>
      <c r="AD176" s="0">
        <f>IF(AND(ISNUMBER(W176),W176&gt;0),D176,"")</f>
      </c>
      <c r="AE176" s="0">
        <f>IF(AND(ISNUMBER(W176),W176&gt;0),IF(INDEX('PEGAR'!$D$13:$D$512,IF(L176&gt;0,L176,K176))="","Sin descripción",INDEX('PEGAR'!$D$13:$D$512,IF(L176&gt;0,L176,K176))),"")</f>
      </c>
      <c r="AF176" s="0">
        <f>IF(AND(ISNUMBER(W176),W176&gt;0),J176,"")</f>
      </c>
      <c r="AG176" s="0" t="n">
        <f>IF(AND(ISNUMBER(W176),W176&gt;0),W176,0)</f>
        <v>0</v>
      </c>
      <c r="AH176" s="0">
        <f>IF(AG176&gt;0,COUNTIFS($AG$13:AG176,"&gt;0"),"")</f>
      </c>
    </row>
    <row r="177" ht="22" customHeight="1">
      <c r="B177" s="27">
        <f>IF(K177="","",INDEX('PEGAR'!$O$13:$O$512,K177))</f>
      </c>
      <c r="C177" s="30">
        <f>IF(B177="","",IF(LEN(TRIM(INDEX('PEGAR'!$B$13:$B$512,IF(L177&gt;0,L177,K177))&amp;""))=0,"Sin capítulo",TRIM(INDEX('PEGAR'!$B$13:$B$512,IF(L177&gt;0,L177,K177))&amp;"")))</f>
      </c>
      <c r="D177" s="27">
        <f>IF(B177="","",IF(LEN(TRIM(INDEX('PEGAR'!$C$13:$C$512,IF(L177&gt;0,L177,K177))&amp;""))=0,"",TRIM(INDEX('PEGAR'!$C$13:$C$512,IF(L177&gt;0,L177,K177))&amp;"")))</f>
      </c>
      <c r="E177" s="27">
        <f>IF(B177="","",INDEX('PEGAR'!$S$13:$S$512,IF(L177&gt;0,L177,K177)))</f>
      </c>
      <c r="F177" s="39">
        <f>IF(B177="","",IF(L177&gt;0,INDEX('PEGAR'!$F$13:$F$512,L177),""))</f>
      </c>
      <c r="G177" s="39">
        <f>IF(B177="","",IF(OR(M177=0,N177&gt;0,O177&gt;0),"",SUMIFS('PEGAR'!$M$13:$M$512,'PEGAR'!$O$13:$O$512,B177)))</f>
      </c>
      <c r="H177" s="39">
        <f>IF(AND(ISNUMBER(F177),ISNUMBER(G177)),G177-F177,"")</f>
      </c>
      <c r="I177" s="27">
        <f>IF(B177="","",IF(W177=2,"ROJO",IF(W177=1,"ÁMBAR","VERDE")))</f>
      </c>
      <c r="J177" s="30">
        <f>IF(B177="","",IF(W177=0,"Sin avisos numéricos. Revisamos el alcance aparte.",IF(L177=0,"Faltan datos completos de partida; no elegimos un total por suposición."&amp;CHAR(10),"")&amp;IF(N177&gt;0,"Hay filas incompletas o contradictorias; las revisamos en PEGAR."&amp;CHAR(10),"")&amp;IF(O177&gt;0,"Faltan las medidas de alguna fila; no cerramos la suma."&amp;CHAR(10),"")&amp;IF(M177=0,"No constan líneas de medición."&amp;CHAR(10),"")&amp;IF(IF(ISNUMBER(H177),ROUND(ABS(H177),8)&gt;$F$6,FALSE),"Las líneas difieren del total en más de 0,01; confirmamos cantidad o exclusión."&amp;CHAR(10),"")&amp;IF(P177&gt;0,"Parece m³: encontramos tres dimensiones bajo m²."&amp;CHAR(10),"")&amp;IF(R177&gt;0,"Código repetido dentro del capítulo; mantenemos sus ID separados."&amp;CHAR(10),"")&amp;IF(S177&gt;0,"Código repetido en otro capítulo; no unimos las partidas."&amp;CHAR(10),"")&amp;IF(T177&gt;0,"Mismo código con unidades distintas; pedimos aclaración."&amp;CHAR(10),"")&amp;IF(Q177&gt;0,"Hay más precisión que los decimales indicados; cotejamos el formato original."&amp;CHAR(10),"")&amp;IF(U177&gt;0,"Unidad sin normalizar; cotejamos su significado antes de sumar unidades."&amp;CHAR(10),"")&amp;IF(V177&gt;0,"Revisamos dimensiones, cantidades directas, ceros o deducciones en PEGAR."&amp;CHAR(10),"")))</f>
      </c>
      <c r="K177" s="0">
        <f>IF(165&gt;'RESUMEN'!$E$6,"",MATCH(165,'PEGAR'!$W$13:$W$512,0))</f>
      </c>
      <c r="L177" s="0">
        <f>IF(K177="","",INDEX('PEGAR'!$R$13:$R$512,K177))</f>
      </c>
      <c r="M177" s="0">
        <f>IF(B177="","",COUNTIFS('PEGAR'!$O$13:$O$512,B177,'PEGAR'!$P$13:$P$512,"DIMENSIONES")+COUNTIFS('PEGAR'!$O$13:$O$512,B177,'PEGAR'!$P$13:$P$512,"DIRECTA"))</f>
      </c>
      <c r="N177" s="0">
        <f>IF(B177="","",COUNTIFS('PEGAR'!$O$13:$O$512,B177,'PEGAR'!$X$13:$X$512,2))</f>
      </c>
      <c r="O177" s="0">
        <f>IF(B177="","",COUNTIFS('PEGAR'!$O$13:$O$512,B177,'PEGAR'!$P$13:$P$512,"SIN LÍNEAS"))</f>
      </c>
      <c r="P177" s="0">
        <f>IF(B177="","",SUMIFS('PEGAR'!$Y$13:$Y$512,'PEGAR'!$O$13:$O$512,B177))</f>
      </c>
      <c r="Q177" s="0">
        <f>IF(B177="","",SUMIFS('PEGAR'!$Z$13:$Z$512,'PEGAR'!$O$13:$O$512,B177))</f>
      </c>
      <c r="R177" s="0" t="n">
        <f>IF(OR(B177="",D177=""),0,SUMPRODUCT(--($B$13:$B$512&lt;&gt;""),--($D$13:$D$512=D177),--($C$13:$C$512=C177))-1)</f>
        <v>0</v>
      </c>
      <c r="S177" s="0" t="n">
        <f>IF(OR(B177="",D177=""),0,SUMPRODUCT(--($B$13:$B$512&lt;&gt;""),--($D$13:$D$512=D177),--($C$13:$C$512&lt;&gt;C177)))</f>
        <v>0</v>
      </c>
      <c r="T177" s="0" t="n">
        <f>IF(OR(B177="",D177=""),0,SUMPRODUCT(--($B$13:$B$512&lt;&gt;""),--($D$13:$D$512=D177),--($E$13:$E$512&lt;&gt;E177)))</f>
        <v>0</v>
      </c>
      <c r="U177" s="0" t="n">
        <f>IF(B177="",0,IF(SUMPRODUCT(--('LÉEME'!$C$65:$C$86=E177))=0,1,0))</f>
        <v>0</v>
      </c>
      <c r="V177" s="0">
        <f>IF(B177="","",SUMIFS('PEGAR'!$AA$13:$AA$512,'PEGAR'!$O$13:$O$512,B177))</f>
      </c>
      <c r="W177" s="0">
        <f>IF(B177="","",IF(OR(L177=0,N177&gt;0,T177&gt;0,IF(ISNUMBER(H177),ROUND(ABS(H177),8)&gt;$F$6,FALSE)),2,IF(OR(M177=0,O177&gt;0,P177&gt;0,Q177&gt;0,R177&gt;0,S177&gt;0,U177&gt;0,V177&gt;0),1,0)))</f>
      </c>
      <c r="X177" s="0">
        <f>IF(B177="","",IF(ISNUMBER(G177),1,0))</f>
      </c>
      <c r="AB177" s="0">
        <f>IF(AND(ISNUMBER(W177),W177&gt;0),"ID "&amp;B177,"")</f>
      </c>
      <c r="AC177" s="0">
        <f>IF(AND(ISNUMBER(W177),W177&gt;0),C177,"")</f>
      </c>
      <c r="AD177" s="0">
        <f>IF(AND(ISNUMBER(W177),W177&gt;0),D177,"")</f>
      </c>
      <c r="AE177" s="0">
        <f>IF(AND(ISNUMBER(W177),W177&gt;0),IF(INDEX('PEGAR'!$D$13:$D$512,IF(L177&gt;0,L177,K177))="","Sin descripción",INDEX('PEGAR'!$D$13:$D$512,IF(L177&gt;0,L177,K177))),"")</f>
      </c>
      <c r="AF177" s="0">
        <f>IF(AND(ISNUMBER(W177),W177&gt;0),J177,"")</f>
      </c>
      <c r="AG177" s="0" t="n">
        <f>IF(AND(ISNUMBER(W177),W177&gt;0),W177,0)</f>
        <v>0</v>
      </c>
      <c r="AH177" s="0">
        <f>IF(AG177&gt;0,COUNTIFS($AG$13:AG177,"&gt;0"),"")</f>
      </c>
    </row>
    <row r="178" ht="22" customHeight="1">
      <c r="B178" s="27">
        <f>IF(K178="","",INDEX('PEGAR'!$O$13:$O$512,K178))</f>
      </c>
      <c r="C178" s="30">
        <f>IF(B178="","",IF(LEN(TRIM(INDEX('PEGAR'!$B$13:$B$512,IF(L178&gt;0,L178,K178))&amp;""))=0,"Sin capítulo",TRIM(INDEX('PEGAR'!$B$13:$B$512,IF(L178&gt;0,L178,K178))&amp;"")))</f>
      </c>
      <c r="D178" s="27">
        <f>IF(B178="","",IF(LEN(TRIM(INDEX('PEGAR'!$C$13:$C$512,IF(L178&gt;0,L178,K178))&amp;""))=0,"",TRIM(INDEX('PEGAR'!$C$13:$C$512,IF(L178&gt;0,L178,K178))&amp;"")))</f>
      </c>
      <c r="E178" s="27">
        <f>IF(B178="","",INDEX('PEGAR'!$S$13:$S$512,IF(L178&gt;0,L178,K178)))</f>
      </c>
      <c r="F178" s="39">
        <f>IF(B178="","",IF(L178&gt;0,INDEX('PEGAR'!$F$13:$F$512,L178),""))</f>
      </c>
      <c r="G178" s="39">
        <f>IF(B178="","",IF(OR(M178=0,N178&gt;0,O178&gt;0),"",SUMIFS('PEGAR'!$M$13:$M$512,'PEGAR'!$O$13:$O$512,B178)))</f>
      </c>
      <c r="H178" s="39">
        <f>IF(AND(ISNUMBER(F178),ISNUMBER(G178)),G178-F178,"")</f>
      </c>
      <c r="I178" s="27">
        <f>IF(B178="","",IF(W178=2,"ROJO",IF(W178=1,"ÁMBAR","VERDE")))</f>
      </c>
      <c r="J178" s="30">
        <f>IF(B178="","",IF(W178=0,"Sin avisos numéricos. Revisamos el alcance aparte.",IF(L178=0,"Faltan datos completos de partida; no elegimos un total por suposición."&amp;CHAR(10),"")&amp;IF(N178&gt;0,"Hay filas incompletas o contradictorias; las revisamos en PEGAR."&amp;CHAR(10),"")&amp;IF(O178&gt;0,"Faltan las medidas de alguna fila; no cerramos la suma."&amp;CHAR(10),"")&amp;IF(M178=0,"No constan líneas de medición."&amp;CHAR(10),"")&amp;IF(IF(ISNUMBER(H178),ROUND(ABS(H178),8)&gt;$F$6,FALSE),"Las líneas difieren del total en más de 0,01; confirmamos cantidad o exclusión."&amp;CHAR(10),"")&amp;IF(P178&gt;0,"Parece m³: encontramos tres dimensiones bajo m²."&amp;CHAR(10),"")&amp;IF(R178&gt;0,"Código repetido dentro del capítulo; mantenemos sus ID separados."&amp;CHAR(10),"")&amp;IF(S178&gt;0,"Código repetido en otro capítulo; no unimos las partidas."&amp;CHAR(10),"")&amp;IF(T178&gt;0,"Mismo código con unidades distintas; pedimos aclaración."&amp;CHAR(10),"")&amp;IF(Q178&gt;0,"Hay más precisión que los decimales indicados; cotejamos el formato original."&amp;CHAR(10),"")&amp;IF(U178&gt;0,"Unidad sin normalizar; cotejamos su significado antes de sumar unidades."&amp;CHAR(10),"")&amp;IF(V178&gt;0,"Revisamos dimensiones, cantidades directas, ceros o deducciones en PEGAR."&amp;CHAR(10),"")))</f>
      </c>
      <c r="K178" s="0">
        <f>IF(166&gt;'RESUMEN'!$E$6,"",MATCH(166,'PEGAR'!$W$13:$W$512,0))</f>
      </c>
      <c r="L178" s="0">
        <f>IF(K178="","",INDEX('PEGAR'!$R$13:$R$512,K178))</f>
      </c>
      <c r="M178" s="0">
        <f>IF(B178="","",COUNTIFS('PEGAR'!$O$13:$O$512,B178,'PEGAR'!$P$13:$P$512,"DIMENSIONES")+COUNTIFS('PEGAR'!$O$13:$O$512,B178,'PEGAR'!$P$13:$P$512,"DIRECTA"))</f>
      </c>
      <c r="N178" s="0">
        <f>IF(B178="","",COUNTIFS('PEGAR'!$O$13:$O$512,B178,'PEGAR'!$X$13:$X$512,2))</f>
      </c>
      <c r="O178" s="0">
        <f>IF(B178="","",COUNTIFS('PEGAR'!$O$13:$O$512,B178,'PEGAR'!$P$13:$P$512,"SIN LÍNEAS"))</f>
      </c>
      <c r="P178" s="0">
        <f>IF(B178="","",SUMIFS('PEGAR'!$Y$13:$Y$512,'PEGAR'!$O$13:$O$512,B178))</f>
      </c>
      <c r="Q178" s="0">
        <f>IF(B178="","",SUMIFS('PEGAR'!$Z$13:$Z$512,'PEGAR'!$O$13:$O$512,B178))</f>
      </c>
      <c r="R178" s="0" t="n">
        <f>IF(OR(B178="",D178=""),0,SUMPRODUCT(--($B$13:$B$512&lt;&gt;""),--($D$13:$D$512=D178),--($C$13:$C$512=C178))-1)</f>
        <v>0</v>
      </c>
      <c r="S178" s="0" t="n">
        <f>IF(OR(B178="",D178=""),0,SUMPRODUCT(--($B$13:$B$512&lt;&gt;""),--($D$13:$D$512=D178),--($C$13:$C$512&lt;&gt;C178)))</f>
        <v>0</v>
      </c>
      <c r="T178" s="0" t="n">
        <f>IF(OR(B178="",D178=""),0,SUMPRODUCT(--($B$13:$B$512&lt;&gt;""),--($D$13:$D$512=D178),--($E$13:$E$512&lt;&gt;E178)))</f>
        <v>0</v>
      </c>
      <c r="U178" s="0" t="n">
        <f>IF(B178="",0,IF(SUMPRODUCT(--('LÉEME'!$C$65:$C$86=E178))=0,1,0))</f>
        <v>0</v>
      </c>
      <c r="V178" s="0">
        <f>IF(B178="","",SUMIFS('PEGAR'!$AA$13:$AA$512,'PEGAR'!$O$13:$O$512,B178))</f>
      </c>
      <c r="W178" s="0">
        <f>IF(B178="","",IF(OR(L178=0,N178&gt;0,T178&gt;0,IF(ISNUMBER(H178),ROUND(ABS(H178),8)&gt;$F$6,FALSE)),2,IF(OR(M178=0,O178&gt;0,P178&gt;0,Q178&gt;0,R178&gt;0,S178&gt;0,U178&gt;0,V178&gt;0),1,0)))</f>
      </c>
      <c r="X178" s="0">
        <f>IF(B178="","",IF(ISNUMBER(G178),1,0))</f>
      </c>
      <c r="AB178" s="0">
        <f>IF(AND(ISNUMBER(W178),W178&gt;0),"ID "&amp;B178,"")</f>
      </c>
      <c r="AC178" s="0">
        <f>IF(AND(ISNUMBER(W178),W178&gt;0),C178,"")</f>
      </c>
      <c r="AD178" s="0">
        <f>IF(AND(ISNUMBER(W178),W178&gt;0),D178,"")</f>
      </c>
      <c r="AE178" s="0">
        <f>IF(AND(ISNUMBER(W178),W178&gt;0),IF(INDEX('PEGAR'!$D$13:$D$512,IF(L178&gt;0,L178,K178))="","Sin descripción",INDEX('PEGAR'!$D$13:$D$512,IF(L178&gt;0,L178,K178))),"")</f>
      </c>
      <c r="AF178" s="0">
        <f>IF(AND(ISNUMBER(W178),W178&gt;0),J178,"")</f>
      </c>
      <c r="AG178" s="0" t="n">
        <f>IF(AND(ISNUMBER(W178),W178&gt;0),W178,0)</f>
        <v>0</v>
      </c>
      <c r="AH178" s="0">
        <f>IF(AG178&gt;0,COUNTIFS($AG$13:AG178,"&gt;0"),"")</f>
      </c>
    </row>
    <row r="179" ht="22" customHeight="1">
      <c r="B179" s="27">
        <f>IF(K179="","",INDEX('PEGAR'!$O$13:$O$512,K179))</f>
      </c>
      <c r="C179" s="30">
        <f>IF(B179="","",IF(LEN(TRIM(INDEX('PEGAR'!$B$13:$B$512,IF(L179&gt;0,L179,K179))&amp;""))=0,"Sin capítulo",TRIM(INDEX('PEGAR'!$B$13:$B$512,IF(L179&gt;0,L179,K179))&amp;"")))</f>
      </c>
      <c r="D179" s="27">
        <f>IF(B179="","",IF(LEN(TRIM(INDEX('PEGAR'!$C$13:$C$512,IF(L179&gt;0,L179,K179))&amp;""))=0,"",TRIM(INDEX('PEGAR'!$C$13:$C$512,IF(L179&gt;0,L179,K179))&amp;"")))</f>
      </c>
      <c r="E179" s="27">
        <f>IF(B179="","",INDEX('PEGAR'!$S$13:$S$512,IF(L179&gt;0,L179,K179)))</f>
      </c>
      <c r="F179" s="39">
        <f>IF(B179="","",IF(L179&gt;0,INDEX('PEGAR'!$F$13:$F$512,L179),""))</f>
      </c>
      <c r="G179" s="39">
        <f>IF(B179="","",IF(OR(M179=0,N179&gt;0,O179&gt;0),"",SUMIFS('PEGAR'!$M$13:$M$512,'PEGAR'!$O$13:$O$512,B179)))</f>
      </c>
      <c r="H179" s="39">
        <f>IF(AND(ISNUMBER(F179),ISNUMBER(G179)),G179-F179,"")</f>
      </c>
      <c r="I179" s="27">
        <f>IF(B179="","",IF(W179=2,"ROJO",IF(W179=1,"ÁMBAR","VERDE")))</f>
      </c>
      <c r="J179" s="30">
        <f>IF(B179="","",IF(W179=0,"Sin avisos numéricos. Revisamos el alcance aparte.",IF(L179=0,"Faltan datos completos de partida; no elegimos un total por suposición."&amp;CHAR(10),"")&amp;IF(N179&gt;0,"Hay filas incompletas o contradictorias; las revisamos en PEGAR."&amp;CHAR(10),"")&amp;IF(O179&gt;0,"Faltan las medidas de alguna fila; no cerramos la suma."&amp;CHAR(10),"")&amp;IF(M179=0,"No constan líneas de medición."&amp;CHAR(10),"")&amp;IF(IF(ISNUMBER(H179),ROUND(ABS(H179),8)&gt;$F$6,FALSE),"Las líneas difieren del total en más de 0,01; confirmamos cantidad o exclusión."&amp;CHAR(10),"")&amp;IF(P179&gt;0,"Parece m³: encontramos tres dimensiones bajo m²."&amp;CHAR(10),"")&amp;IF(R179&gt;0,"Código repetido dentro del capítulo; mantenemos sus ID separados."&amp;CHAR(10),"")&amp;IF(S179&gt;0,"Código repetido en otro capítulo; no unimos las partidas."&amp;CHAR(10),"")&amp;IF(T179&gt;0,"Mismo código con unidades distintas; pedimos aclaración."&amp;CHAR(10),"")&amp;IF(Q179&gt;0,"Hay más precisión que los decimales indicados; cotejamos el formato original."&amp;CHAR(10),"")&amp;IF(U179&gt;0,"Unidad sin normalizar; cotejamos su significado antes de sumar unidades."&amp;CHAR(10),"")&amp;IF(V179&gt;0,"Revisamos dimensiones, cantidades directas, ceros o deducciones en PEGAR."&amp;CHAR(10),"")))</f>
      </c>
      <c r="K179" s="0">
        <f>IF(167&gt;'RESUMEN'!$E$6,"",MATCH(167,'PEGAR'!$W$13:$W$512,0))</f>
      </c>
      <c r="L179" s="0">
        <f>IF(K179="","",INDEX('PEGAR'!$R$13:$R$512,K179))</f>
      </c>
      <c r="M179" s="0">
        <f>IF(B179="","",COUNTIFS('PEGAR'!$O$13:$O$512,B179,'PEGAR'!$P$13:$P$512,"DIMENSIONES")+COUNTIFS('PEGAR'!$O$13:$O$512,B179,'PEGAR'!$P$13:$P$512,"DIRECTA"))</f>
      </c>
      <c r="N179" s="0">
        <f>IF(B179="","",COUNTIFS('PEGAR'!$O$13:$O$512,B179,'PEGAR'!$X$13:$X$512,2))</f>
      </c>
      <c r="O179" s="0">
        <f>IF(B179="","",COUNTIFS('PEGAR'!$O$13:$O$512,B179,'PEGAR'!$P$13:$P$512,"SIN LÍNEAS"))</f>
      </c>
      <c r="P179" s="0">
        <f>IF(B179="","",SUMIFS('PEGAR'!$Y$13:$Y$512,'PEGAR'!$O$13:$O$512,B179))</f>
      </c>
      <c r="Q179" s="0">
        <f>IF(B179="","",SUMIFS('PEGAR'!$Z$13:$Z$512,'PEGAR'!$O$13:$O$512,B179))</f>
      </c>
      <c r="R179" s="0" t="n">
        <f>IF(OR(B179="",D179=""),0,SUMPRODUCT(--($B$13:$B$512&lt;&gt;""),--($D$13:$D$512=D179),--($C$13:$C$512=C179))-1)</f>
        <v>0</v>
      </c>
      <c r="S179" s="0" t="n">
        <f>IF(OR(B179="",D179=""),0,SUMPRODUCT(--($B$13:$B$512&lt;&gt;""),--($D$13:$D$512=D179),--($C$13:$C$512&lt;&gt;C179)))</f>
        <v>0</v>
      </c>
      <c r="T179" s="0" t="n">
        <f>IF(OR(B179="",D179=""),0,SUMPRODUCT(--($B$13:$B$512&lt;&gt;""),--($D$13:$D$512=D179),--($E$13:$E$512&lt;&gt;E179)))</f>
        <v>0</v>
      </c>
      <c r="U179" s="0" t="n">
        <f>IF(B179="",0,IF(SUMPRODUCT(--('LÉEME'!$C$65:$C$86=E179))=0,1,0))</f>
        <v>0</v>
      </c>
      <c r="V179" s="0">
        <f>IF(B179="","",SUMIFS('PEGAR'!$AA$13:$AA$512,'PEGAR'!$O$13:$O$512,B179))</f>
      </c>
      <c r="W179" s="0">
        <f>IF(B179="","",IF(OR(L179=0,N179&gt;0,T179&gt;0,IF(ISNUMBER(H179),ROUND(ABS(H179),8)&gt;$F$6,FALSE)),2,IF(OR(M179=0,O179&gt;0,P179&gt;0,Q179&gt;0,R179&gt;0,S179&gt;0,U179&gt;0,V179&gt;0),1,0)))</f>
      </c>
      <c r="X179" s="0">
        <f>IF(B179="","",IF(ISNUMBER(G179),1,0))</f>
      </c>
      <c r="AB179" s="0">
        <f>IF(AND(ISNUMBER(W179),W179&gt;0),"ID "&amp;B179,"")</f>
      </c>
      <c r="AC179" s="0">
        <f>IF(AND(ISNUMBER(W179),W179&gt;0),C179,"")</f>
      </c>
      <c r="AD179" s="0">
        <f>IF(AND(ISNUMBER(W179),W179&gt;0),D179,"")</f>
      </c>
      <c r="AE179" s="0">
        <f>IF(AND(ISNUMBER(W179),W179&gt;0),IF(INDEX('PEGAR'!$D$13:$D$512,IF(L179&gt;0,L179,K179))="","Sin descripción",INDEX('PEGAR'!$D$13:$D$512,IF(L179&gt;0,L179,K179))),"")</f>
      </c>
      <c r="AF179" s="0">
        <f>IF(AND(ISNUMBER(W179),W179&gt;0),J179,"")</f>
      </c>
      <c r="AG179" s="0" t="n">
        <f>IF(AND(ISNUMBER(W179),W179&gt;0),W179,0)</f>
        <v>0</v>
      </c>
      <c r="AH179" s="0">
        <f>IF(AG179&gt;0,COUNTIFS($AG$13:AG179,"&gt;0"),"")</f>
      </c>
    </row>
    <row r="180" ht="22" customHeight="1">
      <c r="B180" s="27">
        <f>IF(K180="","",INDEX('PEGAR'!$O$13:$O$512,K180))</f>
      </c>
      <c r="C180" s="30">
        <f>IF(B180="","",IF(LEN(TRIM(INDEX('PEGAR'!$B$13:$B$512,IF(L180&gt;0,L180,K180))&amp;""))=0,"Sin capítulo",TRIM(INDEX('PEGAR'!$B$13:$B$512,IF(L180&gt;0,L180,K180))&amp;"")))</f>
      </c>
      <c r="D180" s="27">
        <f>IF(B180="","",IF(LEN(TRIM(INDEX('PEGAR'!$C$13:$C$512,IF(L180&gt;0,L180,K180))&amp;""))=0,"",TRIM(INDEX('PEGAR'!$C$13:$C$512,IF(L180&gt;0,L180,K180))&amp;"")))</f>
      </c>
      <c r="E180" s="27">
        <f>IF(B180="","",INDEX('PEGAR'!$S$13:$S$512,IF(L180&gt;0,L180,K180)))</f>
      </c>
      <c r="F180" s="39">
        <f>IF(B180="","",IF(L180&gt;0,INDEX('PEGAR'!$F$13:$F$512,L180),""))</f>
      </c>
      <c r="G180" s="39">
        <f>IF(B180="","",IF(OR(M180=0,N180&gt;0,O180&gt;0),"",SUMIFS('PEGAR'!$M$13:$M$512,'PEGAR'!$O$13:$O$512,B180)))</f>
      </c>
      <c r="H180" s="39">
        <f>IF(AND(ISNUMBER(F180),ISNUMBER(G180)),G180-F180,"")</f>
      </c>
      <c r="I180" s="27">
        <f>IF(B180="","",IF(W180=2,"ROJO",IF(W180=1,"ÁMBAR","VERDE")))</f>
      </c>
      <c r="J180" s="30">
        <f>IF(B180="","",IF(W180=0,"Sin avisos numéricos. Revisamos el alcance aparte.",IF(L180=0,"Faltan datos completos de partida; no elegimos un total por suposición."&amp;CHAR(10),"")&amp;IF(N180&gt;0,"Hay filas incompletas o contradictorias; las revisamos en PEGAR."&amp;CHAR(10),"")&amp;IF(O180&gt;0,"Faltan las medidas de alguna fila; no cerramos la suma."&amp;CHAR(10),"")&amp;IF(M180=0,"No constan líneas de medición."&amp;CHAR(10),"")&amp;IF(IF(ISNUMBER(H180),ROUND(ABS(H180),8)&gt;$F$6,FALSE),"Las líneas difieren del total en más de 0,01; confirmamos cantidad o exclusión."&amp;CHAR(10),"")&amp;IF(P180&gt;0,"Parece m³: encontramos tres dimensiones bajo m²."&amp;CHAR(10),"")&amp;IF(R180&gt;0,"Código repetido dentro del capítulo; mantenemos sus ID separados."&amp;CHAR(10),"")&amp;IF(S180&gt;0,"Código repetido en otro capítulo; no unimos las partidas."&amp;CHAR(10),"")&amp;IF(T180&gt;0,"Mismo código con unidades distintas; pedimos aclaración."&amp;CHAR(10),"")&amp;IF(Q180&gt;0,"Hay más precisión que los decimales indicados; cotejamos el formato original."&amp;CHAR(10),"")&amp;IF(U180&gt;0,"Unidad sin normalizar; cotejamos su significado antes de sumar unidades."&amp;CHAR(10),"")&amp;IF(V180&gt;0,"Revisamos dimensiones, cantidades directas, ceros o deducciones en PEGAR."&amp;CHAR(10),"")))</f>
      </c>
      <c r="K180" s="0">
        <f>IF(168&gt;'RESUMEN'!$E$6,"",MATCH(168,'PEGAR'!$W$13:$W$512,0))</f>
      </c>
      <c r="L180" s="0">
        <f>IF(K180="","",INDEX('PEGAR'!$R$13:$R$512,K180))</f>
      </c>
      <c r="M180" s="0">
        <f>IF(B180="","",COUNTIFS('PEGAR'!$O$13:$O$512,B180,'PEGAR'!$P$13:$P$512,"DIMENSIONES")+COUNTIFS('PEGAR'!$O$13:$O$512,B180,'PEGAR'!$P$13:$P$512,"DIRECTA"))</f>
      </c>
      <c r="N180" s="0">
        <f>IF(B180="","",COUNTIFS('PEGAR'!$O$13:$O$512,B180,'PEGAR'!$X$13:$X$512,2))</f>
      </c>
      <c r="O180" s="0">
        <f>IF(B180="","",COUNTIFS('PEGAR'!$O$13:$O$512,B180,'PEGAR'!$P$13:$P$512,"SIN LÍNEAS"))</f>
      </c>
      <c r="P180" s="0">
        <f>IF(B180="","",SUMIFS('PEGAR'!$Y$13:$Y$512,'PEGAR'!$O$13:$O$512,B180))</f>
      </c>
      <c r="Q180" s="0">
        <f>IF(B180="","",SUMIFS('PEGAR'!$Z$13:$Z$512,'PEGAR'!$O$13:$O$512,B180))</f>
      </c>
      <c r="R180" s="0" t="n">
        <f>IF(OR(B180="",D180=""),0,SUMPRODUCT(--($B$13:$B$512&lt;&gt;""),--($D$13:$D$512=D180),--($C$13:$C$512=C180))-1)</f>
        <v>0</v>
      </c>
      <c r="S180" s="0" t="n">
        <f>IF(OR(B180="",D180=""),0,SUMPRODUCT(--($B$13:$B$512&lt;&gt;""),--($D$13:$D$512=D180),--($C$13:$C$512&lt;&gt;C180)))</f>
        <v>0</v>
      </c>
      <c r="T180" s="0" t="n">
        <f>IF(OR(B180="",D180=""),0,SUMPRODUCT(--($B$13:$B$512&lt;&gt;""),--($D$13:$D$512=D180),--($E$13:$E$512&lt;&gt;E180)))</f>
        <v>0</v>
      </c>
      <c r="U180" s="0" t="n">
        <f>IF(B180="",0,IF(SUMPRODUCT(--('LÉEME'!$C$65:$C$86=E180))=0,1,0))</f>
        <v>0</v>
      </c>
      <c r="V180" s="0">
        <f>IF(B180="","",SUMIFS('PEGAR'!$AA$13:$AA$512,'PEGAR'!$O$13:$O$512,B180))</f>
      </c>
      <c r="W180" s="0">
        <f>IF(B180="","",IF(OR(L180=0,N180&gt;0,T180&gt;0,IF(ISNUMBER(H180),ROUND(ABS(H180),8)&gt;$F$6,FALSE)),2,IF(OR(M180=0,O180&gt;0,P180&gt;0,Q180&gt;0,R180&gt;0,S180&gt;0,U180&gt;0,V180&gt;0),1,0)))</f>
      </c>
      <c r="X180" s="0">
        <f>IF(B180="","",IF(ISNUMBER(G180),1,0))</f>
      </c>
      <c r="AB180" s="0">
        <f>IF(AND(ISNUMBER(W180),W180&gt;0),"ID "&amp;B180,"")</f>
      </c>
      <c r="AC180" s="0">
        <f>IF(AND(ISNUMBER(W180),W180&gt;0),C180,"")</f>
      </c>
      <c r="AD180" s="0">
        <f>IF(AND(ISNUMBER(W180),W180&gt;0),D180,"")</f>
      </c>
      <c r="AE180" s="0">
        <f>IF(AND(ISNUMBER(W180),W180&gt;0),IF(INDEX('PEGAR'!$D$13:$D$512,IF(L180&gt;0,L180,K180))="","Sin descripción",INDEX('PEGAR'!$D$13:$D$512,IF(L180&gt;0,L180,K180))),"")</f>
      </c>
      <c r="AF180" s="0">
        <f>IF(AND(ISNUMBER(W180),W180&gt;0),J180,"")</f>
      </c>
      <c r="AG180" s="0" t="n">
        <f>IF(AND(ISNUMBER(W180),W180&gt;0),W180,0)</f>
        <v>0</v>
      </c>
      <c r="AH180" s="0">
        <f>IF(AG180&gt;0,COUNTIFS($AG$13:AG180,"&gt;0"),"")</f>
      </c>
    </row>
    <row r="181" ht="22" customHeight="1">
      <c r="B181" s="27">
        <f>IF(K181="","",INDEX('PEGAR'!$O$13:$O$512,K181))</f>
      </c>
      <c r="C181" s="30">
        <f>IF(B181="","",IF(LEN(TRIM(INDEX('PEGAR'!$B$13:$B$512,IF(L181&gt;0,L181,K181))&amp;""))=0,"Sin capítulo",TRIM(INDEX('PEGAR'!$B$13:$B$512,IF(L181&gt;0,L181,K181))&amp;"")))</f>
      </c>
      <c r="D181" s="27">
        <f>IF(B181="","",IF(LEN(TRIM(INDEX('PEGAR'!$C$13:$C$512,IF(L181&gt;0,L181,K181))&amp;""))=0,"",TRIM(INDEX('PEGAR'!$C$13:$C$512,IF(L181&gt;0,L181,K181))&amp;"")))</f>
      </c>
      <c r="E181" s="27">
        <f>IF(B181="","",INDEX('PEGAR'!$S$13:$S$512,IF(L181&gt;0,L181,K181)))</f>
      </c>
      <c r="F181" s="39">
        <f>IF(B181="","",IF(L181&gt;0,INDEX('PEGAR'!$F$13:$F$512,L181),""))</f>
      </c>
      <c r="G181" s="39">
        <f>IF(B181="","",IF(OR(M181=0,N181&gt;0,O181&gt;0),"",SUMIFS('PEGAR'!$M$13:$M$512,'PEGAR'!$O$13:$O$512,B181)))</f>
      </c>
      <c r="H181" s="39">
        <f>IF(AND(ISNUMBER(F181),ISNUMBER(G181)),G181-F181,"")</f>
      </c>
      <c r="I181" s="27">
        <f>IF(B181="","",IF(W181=2,"ROJO",IF(W181=1,"ÁMBAR","VERDE")))</f>
      </c>
      <c r="J181" s="30">
        <f>IF(B181="","",IF(W181=0,"Sin avisos numéricos. Revisamos el alcance aparte.",IF(L181=0,"Faltan datos completos de partida; no elegimos un total por suposición."&amp;CHAR(10),"")&amp;IF(N181&gt;0,"Hay filas incompletas o contradictorias; las revisamos en PEGAR."&amp;CHAR(10),"")&amp;IF(O181&gt;0,"Faltan las medidas de alguna fila; no cerramos la suma."&amp;CHAR(10),"")&amp;IF(M181=0,"No constan líneas de medición."&amp;CHAR(10),"")&amp;IF(IF(ISNUMBER(H181),ROUND(ABS(H181),8)&gt;$F$6,FALSE),"Las líneas difieren del total en más de 0,01; confirmamos cantidad o exclusión."&amp;CHAR(10),"")&amp;IF(P181&gt;0,"Parece m³: encontramos tres dimensiones bajo m²."&amp;CHAR(10),"")&amp;IF(R181&gt;0,"Código repetido dentro del capítulo; mantenemos sus ID separados."&amp;CHAR(10),"")&amp;IF(S181&gt;0,"Código repetido en otro capítulo; no unimos las partidas."&amp;CHAR(10),"")&amp;IF(T181&gt;0,"Mismo código con unidades distintas; pedimos aclaración."&amp;CHAR(10),"")&amp;IF(Q181&gt;0,"Hay más precisión que los decimales indicados; cotejamos el formato original."&amp;CHAR(10),"")&amp;IF(U181&gt;0,"Unidad sin normalizar; cotejamos su significado antes de sumar unidades."&amp;CHAR(10),"")&amp;IF(V181&gt;0,"Revisamos dimensiones, cantidades directas, ceros o deducciones en PEGAR."&amp;CHAR(10),"")))</f>
      </c>
      <c r="K181" s="0">
        <f>IF(169&gt;'RESUMEN'!$E$6,"",MATCH(169,'PEGAR'!$W$13:$W$512,0))</f>
      </c>
      <c r="L181" s="0">
        <f>IF(K181="","",INDEX('PEGAR'!$R$13:$R$512,K181))</f>
      </c>
      <c r="M181" s="0">
        <f>IF(B181="","",COUNTIFS('PEGAR'!$O$13:$O$512,B181,'PEGAR'!$P$13:$P$512,"DIMENSIONES")+COUNTIFS('PEGAR'!$O$13:$O$512,B181,'PEGAR'!$P$13:$P$512,"DIRECTA"))</f>
      </c>
      <c r="N181" s="0">
        <f>IF(B181="","",COUNTIFS('PEGAR'!$O$13:$O$512,B181,'PEGAR'!$X$13:$X$512,2))</f>
      </c>
      <c r="O181" s="0">
        <f>IF(B181="","",COUNTIFS('PEGAR'!$O$13:$O$512,B181,'PEGAR'!$P$13:$P$512,"SIN LÍNEAS"))</f>
      </c>
      <c r="P181" s="0">
        <f>IF(B181="","",SUMIFS('PEGAR'!$Y$13:$Y$512,'PEGAR'!$O$13:$O$512,B181))</f>
      </c>
      <c r="Q181" s="0">
        <f>IF(B181="","",SUMIFS('PEGAR'!$Z$13:$Z$512,'PEGAR'!$O$13:$O$512,B181))</f>
      </c>
      <c r="R181" s="0" t="n">
        <f>IF(OR(B181="",D181=""),0,SUMPRODUCT(--($B$13:$B$512&lt;&gt;""),--($D$13:$D$512=D181),--($C$13:$C$512=C181))-1)</f>
        <v>0</v>
      </c>
      <c r="S181" s="0" t="n">
        <f>IF(OR(B181="",D181=""),0,SUMPRODUCT(--($B$13:$B$512&lt;&gt;""),--($D$13:$D$512=D181),--($C$13:$C$512&lt;&gt;C181)))</f>
        <v>0</v>
      </c>
      <c r="T181" s="0" t="n">
        <f>IF(OR(B181="",D181=""),0,SUMPRODUCT(--($B$13:$B$512&lt;&gt;""),--($D$13:$D$512=D181),--($E$13:$E$512&lt;&gt;E181)))</f>
        <v>0</v>
      </c>
      <c r="U181" s="0" t="n">
        <f>IF(B181="",0,IF(SUMPRODUCT(--('LÉEME'!$C$65:$C$86=E181))=0,1,0))</f>
        <v>0</v>
      </c>
      <c r="V181" s="0">
        <f>IF(B181="","",SUMIFS('PEGAR'!$AA$13:$AA$512,'PEGAR'!$O$13:$O$512,B181))</f>
      </c>
      <c r="W181" s="0">
        <f>IF(B181="","",IF(OR(L181=0,N181&gt;0,T181&gt;0,IF(ISNUMBER(H181),ROUND(ABS(H181),8)&gt;$F$6,FALSE)),2,IF(OR(M181=0,O181&gt;0,P181&gt;0,Q181&gt;0,R181&gt;0,S181&gt;0,U181&gt;0,V181&gt;0),1,0)))</f>
      </c>
      <c r="X181" s="0">
        <f>IF(B181="","",IF(ISNUMBER(G181),1,0))</f>
      </c>
      <c r="AB181" s="0">
        <f>IF(AND(ISNUMBER(W181),W181&gt;0),"ID "&amp;B181,"")</f>
      </c>
      <c r="AC181" s="0">
        <f>IF(AND(ISNUMBER(W181),W181&gt;0),C181,"")</f>
      </c>
      <c r="AD181" s="0">
        <f>IF(AND(ISNUMBER(W181),W181&gt;0),D181,"")</f>
      </c>
      <c r="AE181" s="0">
        <f>IF(AND(ISNUMBER(W181),W181&gt;0),IF(INDEX('PEGAR'!$D$13:$D$512,IF(L181&gt;0,L181,K181))="","Sin descripción",INDEX('PEGAR'!$D$13:$D$512,IF(L181&gt;0,L181,K181))),"")</f>
      </c>
      <c r="AF181" s="0">
        <f>IF(AND(ISNUMBER(W181),W181&gt;0),J181,"")</f>
      </c>
      <c r="AG181" s="0" t="n">
        <f>IF(AND(ISNUMBER(W181),W181&gt;0),W181,0)</f>
        <v>0</v>
      </c>
      <c r="AH181" s="0">
        <f>IF(AG181&gt;0,COUNTIFS($AG$13:AG181,"&gt;0"),"")</f>
      </c>
    </row>
    <row r="182" ht="22" customHeight="1">
      <c r="B182" s="27">
        <f>IF(K182="","",INDEX('PEGAR'!$O$13:$O$512,K182))</f>
      </c>
      <c r="C182" s="30">
        <f>IF(B182="","",IF(LEN(TRIM(INDEX('PEGAR'!$B$13:$B$512,IF(L182&gt;0,L182,K182))&amp;""))=0,"Sin capítulo",TRIM(INDEX('PEGAR'!$B$13:$B$512,IF(L182&gt;0,L182,K182))&amp;"")))</f>
      </c>
      <c r="D182" s="27">
        <f>IF(B182="","",IF(LEN(TRIM(INDEX('PEGAR'!$C$13:$C$512,IF(L182&gt;0,L182,K182))&amp;""))=0,"",TRIM(INDEX('PEGAR'!$C$13:$C$512,IF(L182&gt;0,L182,K182))&amp;"")))</f>
      </c>
      <c r="E182" s="27">
        <f>IF(B182="","",INDEX('PEGAR'!$S$13:$S$512,IF(L182&gt;0,L182,K182)))</f>
      </c>
      <c r="F182" s="39">
        <f>IF(B182="","",IF(L182&gt;0,INDEX('PEGAR'!$F$13:$F$512,L182),""))</f>
      </c>
      <c r="G182" s="39">
        <f>IF(B182="","",IF(OR(M182=0,N182&gt;0,O182&gt;0),"",SUMIFS('PEGAR'!$M$13:$M$512,'PEGAR'!$O$13:$O$512,B182)))</f>
      </c>
      <c r="H182" s="39">
        <f>IF(AND(ISNUMBER(F182),ISNUMBER(G182)),G182-F182,"")</f>
      </c>
      <c r="I182" s="27">
        <f>IF(B182="","",IF(W182=2,"ROJO",IF(W182=1,"ÁMBAR","VERDE")))</f>
      </c>
      <c r="J182" s="30">
        <f>IF(B182="","",IF(W182=0,"Sin avisos numéricos. Revisamos el alcance aparte.",IF(L182=0,"Faltan datos completos de partida; no elegimos un total por suposición."&amp;CHAR(10),"")&amp;IF(N182&gt;0,"Hay filas incompletas o contradictorias; las revisamos en PEGAR."&amp;CHAR(10),"")&amp;IF(O182&gt;0,"Faltan las medidas de alguna fila; no cerramos la suma."&amp;CHAR(10),"")&amp;IF(M182=0,"No constan líneas de medición."&amp;CHAR(10),"")&amp;IF(IF(ISNUMBER(H182),ROUND(ABS(H182),8)&gt;$F$6,FALSE),"Las líneas difieren del total en más de 0,01; confirmamos cantidad o exclusión."&amp;CHAR(10),"")&amp;IF(P182&gt;0,"Parece m³: encontramos tres dimensiones bajo m²."&amp;CHAR(10),"")&amp;IF(R182&gt;0,"Código repetido dentro del capítulo; mantenemos sus ID separados."&amp;CHAR(10),"")&amp;IF(S182&gt;0,"Código repetido en otro capítulo; no unimos las partidas."&amp;CHAR(10),"")&amp;IF(T182&gt;0,"Mismo código con unidades distintas; pedimos aclaración."&amp;CHAR(10),"")&amp;IF(Q182&gt;0,"Hay más precisión que los decimales indicados; cotejamos el formato original."&amp;CHAR(10),"")&amp;IF(U182&gt;0,"Unidad sin normalizar; cotejamos su significado antes de sumar unidades."&amp;CHAR(10),"")&amp;IF(V182&gt;0,"Revisamos dimensiones, cantidades directas, ceros o deducciones en PEGAR."&amp;CHAR(10),"")))</f>
      </c>
      <c r="K182" s="0">
        <f>IF(170&gt;'RESUMEN'!$E$6,"",MATCH(170,'PEGAR'!$W$13:$W$512,0))</f>
      </c>
      <c r="L182" s="0">
        <f>IF(K182="","",INDEX('PEGAR'!$R$13:$R$512,K182))</f>
      </c>
      <c r="M182" s="0">
        <f>IF(B182="","",COUNTIFS('PEGAR'!$O$13:$O$512,B182,'PEGAR'!$P$13:$P$512,"DIMENSIONES")+COUNTIFS('PEGAR'!$O$13:$O$512,B182,'PEGAR'!$P$13:$P$512,"DIRECTA"))</f>
      </c>
      <c r="N182" s="0">
        <f>IF(B182="","",COUNTIFS('PEGAR'!$O$13:$O$512,B182,'PEGAR'!$X$13:$X$512,2))</f>
      </c>
      <c r="O182" s="0">
        <f>IF(B182="","",COUNTIFS('PEGAR'!$O$13:$O$512,B182,'PEGAR'!$P$13:$P$512,"SIN LÍNEAS"))</f>
      </c>
      <c r="P182" s="0">
        <f>IF(B182="","",SUMIFS('PEGAR'!$Y$13:$Y$512,'PEGAR'!$O$13:$O$512,B182))</f>
      </c>
      <c r="Q182" s="0">
        <f>IF(B182="","",SUMIFS('PEGAR'!$Z$13:$Z$512,'PEGAR'!$O$13:$O$512,B182))</f>
      </c>
      <c r="R182" s="0" t="n">
        <f>IF(OR(B182="",D182=""),0,SUMPRODUCT(--($B$13:$B$512&lt;&gt;""),--($D$13:$D$512=D182),--($C$13:$C$512=C182))-1)</f>
        <v>0</v>
      </c>
      <c r="S182" s="0" t="n">
        <f>IF(OR(B182="",D182=""),0,SUMPRODUCT(--($B$13:$B$512&lt;&gt;""),--($D$13:$D$512=D182),--($C$13:$C$512&lt;&gt;C182)))</f>
        <v>0</v>
      </c>
      <c r="T182" s="0" t="n">
        <f>IF(OR(B182="",D182=""),0,SUMPRODUCT(--($B$13:$B$512&lt;&gt;""),--($D$13:$D$512=D182),--($E$13:$E$512&lt;&gt;E182)))</f>
        <v>0</v>
      </c>
      <c r="U182" s="0" t="n">
        <f>IF(B182="",0,IF(SUMPRODUCT(--('LÉEME'!$C$65:$C$86=E182))=0,1,0))</f>
        <v>0</v>
      </c>
      <c r="V182" s="0">
        <f>IF(B182="","",SUMIFS('PEGAR'!$AA$13:$AA$512,'PEGAR'!$O$13:$O$512,B182))</f>
      </c>
      <c r="W182" s="0">
        <f>IF(B182="","",IF(OR(L182=0,N182&gt;0,T182&gt;0,IF(ISNUMBER(H182),ROUND(ABS(H182),8)&gt;$F$6,FALSE)),2,IF(OR(M182=0,O182&gt;0,P182&gt;0,Q182&gt;0,R182&gt;0,S182&gt;0,U182&gt;0,V182&gt;0),1,0)))</f>
      </c>
      <c r="X182" s="0">
        <f>IF(B182="","",IF(ISNUMBER(G182),1,0))</f>
      </c>
      <c r="AB182" s="0">
        <f>IF(AND(ISNUMBER(W182),W182&gt;0),"ID "&amp;B182,"")</f>
      </c>
      <c r="AC182" s="0">
        <f>IF(AND(ISNUMBER(W182),W182&gt;0),C182,"")</f>
      </c>
      <c r="AD182" s="0">
        <f>IF(AND(ISNUMBER(W182),W182&gt;0),D182,"")</f>
      </c>
      <c r="AE182" s="0">
        <f>IF(AND(ISNUMBER(W182),W182&gt;0),IF(INDEX('PEGAR'!$D$13:$D$512,IF(L182&gt;0,L182,K182))="","Sin descripción",INDEX('PEGAR'!$D$13:$D$512,IF(L182&gt;0,L182,K182))),"")</f>
      </c>
      <c r="AF182" s="0">
        <f>IF(AND(ISNUMBER(W182),W182&gt;0),J182,"")</f>
      </c>
      <c r="AG182" s="0" t="n">
        <f>IF(AND(ISNUMBER(W182),W182&gt;0),W182,0)</f>
        <v>0</v>
      </c>
      <c r="AH182" s="0">
        <f>IF(AG182&gt;0,COUNTIFS($AG$13:AG182,"&gt;0"),"")</f>
      </c>
    </row>
    <row r="183" ht="22" customHeight="1">
      <c r="B183" s="27">
        <f>IF(K183="","",INDEX('PEGAR'!$O$13:$O$512,K183))</f>
      </c>
      <c r="C183" s="30">
        <f>IF(B183="","",IF(LEN(TRIM(INDEX('PEGAR'!$B$13:$B$512,IF(L183&gt;0,L183,K183))&amp;""))=0,"Sin capítulo",TRIM(INDEX('PEGAR'!$B$13:$B$512,IF(L183&gt;0,L183,K183))&amp;"")))</f>
      </c>
      <c r="D183" s="27">
        <f>IF(B183="","",IF(LEN(TRIM(INDEX('PEGAR'!$C$13:$C$512,IF(L183&gt;0,L183,K183))&amp;""))=0,"",TRIM(INDEX('PEGAR'!$C$13:$C$512,IF(L183&gt;0,L183,K183))&amp;"")))</f>
      </c>
      <c r="E183" s="27">
        <f>IF(B183="","",INDEX('PEGAR'!$S$13:$S$512,IF(L183&gt;0,L183,K183)))</f>
      </c>
      <c r="F183" s="39">
        <f>IF(B183="","",IF(L183&gt;0,INDEX('PEGAR'!$F$13:$F$512,L183),""))</f>
      </c>
      <c r="G183" s="39">
        <f>IF(B183="","",IF(OR(M183=0,N183&gt;0,O183&gt;0),"",SUMIFS('PEGAR'!$M$13:$M$512,'PEGAR'!$O$13:$O$512,B183)))</f>
      </c>
      <c r="H183" s="39">
        <f>IF(AND(ISNUMBER(F183),ISNUMBER(G183)),G183-F183,"")</f>
      </c>
      <c r="I183" s="27">
        <f>IF(B183="","",IF(W183=2,"ROJO",IF(W183=1,"ÁMBAR","VERDE")))</f>
      </c>
      <c r="J183" s="30">
        <f>IF(B183="","",IF(W183=0,"Sin avisos numéricos. Revisamos el alcance aparte.",IF(L183=0,"Faltan datos completos de partida; no elegimos un total por suposición."&amp;CHAR(10),"")&amp;IF(N183&gt;0,"Hay filas incompletas o contradictorias; las revisamos en PEGAR."&amp;CHAR(10),"")&amp;IF(O183&gt;0,"Faltan las medidas de alguna fila; no cerramos la suma."&amp;CHAR(10),"")&amp;IF(M183=0,"No constan líneas de medición."&amp;CHAR(10),"")&amp;IF(IF(ISNUMBER(H183),ROUND(ABS(H183),8)&gt;$F$6,FALSE),"Las líneas difieren del total en más de 0,01; confirmamos cantidad o exclusión."&amp;CHAR(10),"")&amp;IF(P183&gt;0,"Parece m³: encontramos tres dimensiones bajo m²."&amp;CHAR(10),"")&amp;IF(R183&gt;0,"Código repetido dentro del capítulo; mantenemos sus ID separados."&amp;CHAR(10),"")&amp;IF(S183&gt;0,"Código repetido en otro capítulo; no unimos las partidas."&amp;CHAR(10),"")&amp;IF(T183&gt;0,"Mismo código con unidades distintas; pedimos aclaración."&amp;CHAR(10),"")&amp;IF(Q183&gt;0,"Hay más precisión que los decimales indicados; cotejamos el formato original."&amp;CHAR(10),"")&amp;IF(U183&gt;0,"Unidad sin normalizar; cotejamos su significado antes de sumar unidades."&amp;CHAR(10),"")&amp;IF(V183&gt;0,"Revisamos dimensiones, cantidades directas, ceros o deducciones en PEGAR."&amp;CHAR(10),"")))</f>
      </c>
      <c r="K183" s="0">
        <f>IF(171&gt;'RESUMEN'!$E$6,"",MATCH(171,'PEGAR'!$W$13:$W$512,0))</f>
      </c>
      <c r="L183" s="0">
        <f>IF(K183="","",INDEX('PEGAR'!$R$13:$R$512,K183))</f>
      </c>
      <c r="M183" s="0">
        <f>IF(B183="","",COUNTIFS('PEGAR'!$O$13:$O$512,B183,'PEGAR'!$P$13:$P$512,"DIMENSIONES")+COUNTIFS('PEGAR'!$O$13:$O$512,B183,'PEGAR'!$P$13:$P$512,"DIRECTA"))</f>
      </c>
      <c r="N183" s="0">
        <f>IF(B183="","",COUNTIFS('PEGAR'!$O$13:$O$512,B183,'PEGAR'!$X$13:$X$512,2))</f>
      </c>
      <c r="O183" s="0">
        <f>IF(B183="","",COUNTIFS('PEGAR'!$O$13:$O$512,B183,'PEGAR'!$P$13:$P$512,"SIN LÍNEAS"))</f>
      </c>
      <c r="P183" s="0">
        <f>IF(B183="","",SUMIFS('PEGAR'!$Y$13:$Y$512,'PEGAR'!$O$13:$O$512,B183))</f>
      </c>
      <c r="Q183" s="0">
        <f>IF(B183="","",SUMIFS('PEGAR'!$Z$13:$Z$512,'PEGAR'!$O$13:$O$512,B183))</f>
      </c>
      <c r="R183" s="0" t="n">
        <f>IF(OR(B183="",D183=""),0,SUMPRODUCT(--($B$13:$B$512&lt;&gt;""),--($D$13:$D$512=D183),--($C$13:$C$512=C183))-1)</f>
        <v>0</v>
      </c>
      <c r="S183" s="0" t="n">
        <f>IF(OR(B183="",D183=""),0,SUMPRODUCT(--($B$13:$B$512&lt;&gt;""),--($D$13:$D$512=D183),--($C$13:$C$512&lt;&gt;C183)))</f>
        <v>0</v>
      </c>
      <c r="T183" s="0" t="n">
        <f>IF(OR(B183="",D183=""),0,SUMPRODUCT(--($B$13:$B$512&lt;&gt;""),--($D$13:$D$512=D183),--($E$13:$E$512&lt;&gt;E183)))</f>
        <v>0</v>
      </c>
      <c r="U183" s="0" t="n">
        <f>IF(B183="",0,IF(SUMPRODUCT(--('LÉEME'!$C$65:$C$86=E183))=0,1,0))</f>
        <v>0</v>
      </c>
      <c r="V183" s="0">
        <f>IF(B183="","",SUMIFS('PEGAR'!$AA$13:$AA$512,'PEGAR'!$O$13:$O$512,B183))</f>
      </c>
      <c r="W183" s="0">
        <f>IF(B183="","",IF(OR(L183=0,N183&gt;0,T183&gt;0,IF(ISNUMBER(H183),ROUND(ABS(H183),8)&gt;$F$6,FALSE)),2,IF(OR(M183=0,O183&gt;0,P183&gt;0,Q183&gt;0,R183&gt;0,S183&gt;0,U183&gt;0,V183&gt;0),1,0)))</f>
      </c>
      <c r="X183" s="0">
        <f>IF(B183="","",IF(ISNUMBER(G183),1,0))</f>
      </c>
      <c r="AB183" s="0">
        <f>IF(AND(ISNUMBER(W183),W183&gt;0),"ID "&amp;B183,"")</f>
      </c>
      <c r="AC183" s="0">
        <f>IF(AND(ISNUMBER(W183),W183&gt;0),C183,"")</f>
      </c>
      <c r="AD183" s="0">
        <f>IF(AND(ISNUMBER(W183),W183&gt;0),D183,"")</f>
      </c>
      <c r="AE183" s="0">
        <f>IF(AND(ISNUMBER(W183),W183&gt;0),IF(INDEX('PEGAR'!$D$13:$D$512,IF(L183&gt;0,L183,K183))="","Sin descripción",INDEX('PEGAR'!$D$13:$D$512,IF(L183&gt;0,L183,K183))),"")</f>
      </c>
      <c r="AF183" s="0">
        <f>IF(AND(ISNUMBER(W183),W183&gt;0),J183,"")</f>
      </c>
      <c r="AG183" s="0" t="n">
        <f>IF(AND(ISNUMBER(W183),W183&gt;0),W183,0)</f>
        <v>0</v>
      </c>
      <c r="AH183" s="0">
        <f>IF(AG183&gt;0,COUNTIFS($AG$13:AG183,"&gt;0"),"")</f>
      </c>
    </row>
    <row r="184" ht="22" customHeight="1">
      <c r="B184" s="27">
        <f>IF(K184="","",INDEX('PEGAR'!$O$13:$O$512,K184))</f>
      </c>
      <c r="C184" s="30">
        <f>IF(B184="","",IF(LEN(TRIM(INDEX('PEGAR'!$B$13:$B$512,IF(L184&gt;0,L184,K184))&amp;""))=0,"Sin capítulo",TRIM(INDEX('PEGAR'!$B$13:$B$512,IF(L184&gt;0,L184,K184))&amp;"")))</f>
      </c>
      <c r="D184" s="27">
        <f>IF(B184="","",IF(LEN(TRIM(INDEX('PEGAR'!$C$13:$C$512,IF(L184&gt;0,L184,K184))&amp;""))=0,"",TRIM(INDEX('PEGAR'!$C$13:$C$512,IF(L184&gt;0,L184,K184))&amp;"")))</f>
      </c>
      <c r="E184" s="27">
        <f>IF(B184="","",INDEX('PEGAR'!$S$13:$S$512,IF(L184&gt;0,L184,K184)))</f>
      </c>
      <c r="F184" s="39">
        <f>IF(B184="","",IF(L184&gt;0,INDEX('PEGAR'!$F$13:$F$512,L184),""))</f>
      </c>
      <c r="G184" s="39">
        <f>IF(B184="","",IF(OR(M184=0,N184&gt;0,O184&gt;0),"",SUMIFS('PEGAR'!$M$13:$M$512,'PEGAR'!$O$13:$O$512,B184)))</f>
      </c>
      <c r="H184" s="39">
        <f>IF(AND(ISNUMBER(F184),ISNUMBER(G184)),G184-F184,"")</f>
      </c>
      <c r="I184" s="27">
        <f>IF(B184="","",IF(W184=2,"ROJO",IF(W184=1,"ÁMBAR","VERDE")))</f>
      </c>
      <c r="J184" s="30">
        <f>IF(B184="","",IF(W184=0,"Sin avisos numéricos. Revisamos el alcance aparte.",IF(L184=0,"Faltan datos completos de partida; no elegimos un total por suposición."&amp;CHAR(10),"")&amp;IF(N184&gt;0,"Hay filas incompletas o contradictorias; las revisamos en PEGAR."&amp;CHAR(10),"")&amp;IF(O184&gt;0,"Faltan las medidas de alguna fila; no cerramos la suma."&amp;CHAR(10),"")&amp;IF(M184=0,"No constan líneas de medición."&amp;CHAR(10),"")&amp;IF(IF(ISNUMBER(H184),ROUND(ABS(H184),8)&gt;$F$6,FALSE),"Las líneas difieren del total en más de 0,01; confirmamos cantidad o exclusión."&amp;CHAR(10),"")&amp;IF(P184&gt;0,"Parece m³: encontramos tres dimensiones bajo m²."&amp;CHAR(10),"")&amp;IF(R184&gt;0,"Código repetido dentro del capítulo; mantenemos sus ID separados."&amp;CHAR(10),"")&amp;IF(S184&gt;0,"Código repetido en otro capítulo; no unimos las partidas."&amp;CHAR(10),"")&amp;IF(T184&gt;0,"Mismo código con unidades distintas; pedimos aclaración."&amp;CHAR(10),"")&amp;IF(Q184&gt;0,"Hay más precisión que los decimales indicados; cotejamos el formato original."&amp;CHAR(10),"")&amp;IF(U184&gt;0,"Unidad sin normalizar; cotejamos su significado antes de sumar unidades."&amp;CHAR(10),"")&amp;IF(V184&gt;0,"Revisamos dimensiones, cantidades directas, ceros o deducciones en PEGAR."&amp;CHAR(10),"")))</f>
      </c>
      <c r="K184" s="0">
        <f>IF(172&gt;'RESUMEN'!$E$6,"",MATCH(172,'PEGAR'!$W$13:$W$512,0))</f>
      </c>
      <c r="L184" s="0">
        <f>IF(K184="","",INDEX('PEGAR'!$R$13:$R$512,K184))</f>
      </c>
      <c r="M184" s="0">
        <f>IF(B184="","",COUNTIFS('PEGAR'!$O$13:$O$512,B184,'PEGAR'!$P$13:$P$512,"DIMENSIONES")+COUNTIFS('PEGAR'!$O$13:$O$512,B184,'PEGAR'!$P$13:$P$512,"DIRECTA"))</f>
      </c>
      <c r="N184" s="0">
        <f>IF(B184="","",COUNTIFS('PEGAR'!$O$13:$O$512,B184,'PEGAR'!$X$13:$X$512,2))</f>
      </c>
      <c r="O184" s="0">
        <f>IF(B184="","",COUNTIFS('PEGAR'!$O$13:$O$512,B184,'PEGAR'!$P$13:$P$512,"SIN LÍNEAS"))</f>
      </c>
      <c r="P184" s="0">
        <f>IF(B184="","",SUMIFS('PEGAR'!$Y$13:$Y$512,'PEGAR'!$O$13:$O$512,B184))</f>
      </c>
      <c r="Q184" s="0">
        <f>IF(B184="","",SUMIFS('PEGAR'!$Z$13:$Z$512,'PEGAR'!$O$13:$O$512,B184))</f>
      </c>
      <c r="R184" s="0" t="n">
        <f>IF(OR(B184="",D184=""),0,SUMPRODUCT(--($B$13:$B$512&lt;&gt;""),--($D$13:$D$512=D184),--($C$13:$C$512=C184))-1)</f>
        <v>0</v>
      </c>
      <c r="S184" s="0" t="n">
        <f>IF(OR(B184="",D184=""),0,SUMPRODUCT(--($B$13:$B$512&lt;&gt;""),--($D$13:$D$512=D184),--($C$13:$C$512&lt;&gt;C184)))</f>
        <v>0</v>
      </c>
      <c r="T184" s="0" t="n">
        <f>IF(OR(B184="",D184=""),0,SUMPRODUCT(--($B$13:$B$512&lt;&gt;""),--($D$13:$D$512=D184),--($E$13:$E$512&lt;&gt;E184)))</f>
        <v>0</v>
      </c>
      <c r="U184" s="0" t="n">
        <f>IF(B184="",0,IF(SUMPRODUCT(--('LÉEME'!$C$65:$C$86=E184))=0,1,0))</f>
        <v>0</v>
      </c>
      <c r="V184" s="0">
        <f>IF(B184="","",SUMIFS('PEGAR'!$AA$13:$AA$512,'PEGAR'!$O$13:$O$512,B184))</f>
      </c>
      <c r="W184" s="0">
        <f>IF(B184="","",IF(OR(L184=0,N184&gt;0,T184&gt;0,IF(ISNUMBER(H184),ROUND(ABS(H184),8)&gt;$F$6,FALSE)),2,IF(OR(M184=0,O184&gt;0,P184&gt;0,Q184&gt;0,R184&gt;0,S184&gt;0,U184&gt;0,V184&gt;0),1,0)))</f>
      </c>
      <c r="X184" s="0">
        <f>IF(B184="","",IF(ISNUMBER(G184),1,0))</f>
      </c>
      <c r="AB184" s="0">
        <f>IF(AND(ISNUMBER(W184),W184&gt;0),"ID "&amp;B184,"")</f>
      </c>
      <c r="AC184" s="0">
        <f>IF(AND(ISNUMBER(W184),W184&gt;0),C184,"")</f>
      </c>
      <c r="AD184" s="0">
        <f>IF(AND(ISNUMBER(W184),W184&gt;0),D184,"")</f>
      </c>
      <c r="AE184" s="0">
        <f>IF(AND(ISNUMBER(W184),W184&gt;0),IF(INDEX('PEGAR'!$D$13:$D$512,IF(L184&gt;0,L184,K184))="","Sin descripción",INDEX('PEGAR'!$D$13:$D$512,IF(L184&gt;0,L184,K184))),"")</f>
      </c>
      <c r="AF184" s="0">
        <f>IF(AND(ISNUMBER(W184),W184&gt;0),J184,"")</f>
      </c>
      <c r="AG184" s="0" t="n">
        <f>IF(AND(ISNUMBER(W184),W184&gt;0),W184,0)</f>
        <v>0</v>
      </c>
      <c r="AH184" s="0">
        <f>IF(AG184&gt;0,COUNTIFS($AG$13:AG184,"&gt;0"),"")</f>
      </c>
    </row>
    <row r="185" ht="22" customHeight="1">
      <c r="B185" s="27">
        <f>IF(K185="","",INDEX('PEGAR'!$O$13:$O$512,K185))</f>
      </c>
      <c r="C185" s="30">
        <f>IF(B185="","",IF(LEN(TRIM(INDEX('PEGAR'!$B$13:$B$512,IF(L185&gt;0,L185,K185))&amp;""))=0,"Sin capítulo",TRIM(INDEX('PEGAR'!$B$13:$B$512,IF(L185&gt;0,L185,K185))&amp;"")))</f>
      </c>
      <c r="D185" s="27">
        <f>IF(B185="","",IF(LEN(TRIM(INDEX('PEGAR'!$C$13:$C$512,IF(L185&gt;0,L185,K185))&amp;""))=0,"",TRIM(INDEX('PEGAR'!$C$13:$C$512,IF(L185&gt;0,L185,K185))&amp;"")))</f>
      </c>
      <c r="E185" s="27">
        <f>IF(B185="","",INDEX('PEGAR'!$S$13:$S$512,IF(L185&gt;0,L185,K185)))</f>
      </c>
      <c r="F185" s="39">
        <f>IF(B185="","",IF(L185&gt;0,INDEX('PEGAR'!$F$13:$F$512,L185),""))</f>
      </c>
      <c r="G185" s="39">
        <f>IF(B185="","",IF(OR(M185=0,N185&gt;0,O185&gt;0),"",SUMIFS('PEGAR'!$M$13:$M$512,'PEGAR'!$O$13:$O$512,B185)))</f>
      </c>
      <c r="H185" s="39">
        <f>IF(AND(ISNUMBER(F185),ISNUMBER(G185)),G185-F185,"")</f>
      </c>
      <c r="I185" s="27">
        <f>IF(B185="","",IF(W185=2,"ROJO",IF(W185=1,"ÁMBAR","VERDE")))</f>
      </c>
      <c r="J185" s="30">
        <f>IF(B185="","",IF(W185=0,"Sin avisos numéricos. Revisamos el alcance aparte.",IF(L185=0,"Faltan datos completos de partida; no elegimos un total por suposición."&amp;CHAR(10),"")&amp;IF(N185&gt;0,"Hay filas incompletas o contradictorias; las revisamos en PEGAR."&amp;CHAR(10),"")&amp;IF(O185&gt;0,"Faltan las medidas de alguna fila; no cerramos la suma."&amp;CHAR(10),"")&amp;IF(M185=0,"No constan líneas de medición."&amp;CHAR(10),"")&amp;IF(IF(ISNUMBER(H185),ROUND(ABS(H185),8)&gt;$F$6,FALSE),"Las líneas difieren del total en más de 0,01; confirmamos cantidad o exclusión."&amp;CHAR(10),"")&amp;IF(P185&gt;0,"Parece m³: encontramos tres dimensiones bajo m²."&amp;CHAR(10),"")&amp;IF(R185&gt;0,"Código repetido dentro del capítulo; mantenemos sus ID separados."&amp;CHAR(10),"")&amp;IF(S185&gt;0,"Código repetido en otro capítulo; no unimos las partidas."&amp;CHAR(10),"")&amp;IF(T185&gt;0,"Mismo código con unidades distintas; pedimos aclaración."&amp;CHAR(10),"")&amp;IF(Q185&gt;0,"Hay más precisión que los decimales indicados; cotejamos el formato original."&amp;CHAR(10),"")&amp;IF(U185&gt;0,"Unidad sin normalizar; cotejamos su significado antes de sumar unidades."&amp;CHAR(10),"")&amp;IF(V185&gt;0,"Revisamos dimensiones, cantidades directas, ceros o deducciones en PEGAR."&amp;CHAR(10),"")))</f>
      </c>
      <c r="K185" s="0">
        <f>IF(173&gt;'RESUMEN'!$E$6,"",MATCH(173,'PEGAR'!$W$13:$W$512,0))</f>
      </c>
      <c r="L185" s="0">
        <f>IF(K185="","",INDEX('PEGAR'!$R$13:$R$512,K185))</f>
      </c>
      <c r="M185" s="0">
        <f>IF(B185="","",COUNTIFS('PEGAR'!$O$13:$O$512,B185,'PEGAR'!$P$13:$P$512,"DIMENSIONES")+COUNTIFS('PEGAR'!$O$13:$O$512,B185,'PEGAR'!$P$13:$P$512,"DIRECTA"))</f>
      </c>
      <c r="N185" s="0">
        <f>IF(B185="","",COUNTIFS('PEGAR'!$O$13:$O$512,B185,'PEGAR'!$X$13:$X$512,2))</f>
      </c>
      <c r="O185" s="0">
        <f>IF(B185="","",COUNTIFS('PEGAR'!$O$13:$O$512,B185,'PEGAR'!$P$13:$P$512,"SIN LÍNEAS"))</f>
      </c>
      <c r="P185" s="0">
        <f>IF(B185="","",SUMIFS('PEGAR'!$Y$13:$Y$512,'PEGAR'!$O$13:$O$512,B185))</f>
      </c>
      <c r="Q185" s="0">
        <f>IF(B185="","",SUMIFS('PEGAR'!$Z$13:$Z$512,'PEGAR'!$O$13:$O$512,B185))</f>
      </c>
      <c r="R185" s="0" t="n">
        <f>IF(OR(B185="",D185=""),0,SUMPRODUCT(--($B$13:$B$512&lt;&gt;""),--($D$13:$D$512=D185),--($C$13:$C$512=C185))-1)</f>
        <v>0</v>
      </c>
      <c r="S185" s="0" t="n">
        <f>IF(OR(B185="",D185=""),0,SUMPRODUCT(--($B$13:$B$512&lt;&gt;""),--($D$13:$D$512=D185),--($C$13:$C$512&lt;&gt;C185)))</f>
        <v>0</v>
      </c>
      <c r="T185" s="0" t="n">
        <f>IF(OR(B185="",D185=""),0,SUMPRODUCT(--($B$13:$B$512&lt;&gt;""),--($D$13:$D$512=D185),--($E$13:$E$512&lt;&gt;E185)))</f>
        <v>0</v>
      </c>
      <c r="U185" s="0" t="n">
        <f>IF(B185="",0,IF(SUMPRODUCT(--('LÉEME'!$C$65:$C$86=E185))=0,1,0))</f>
        <v>0</v>
      </c>
      <c r="V185" s="0">
        <f>IF(B185="","",SUMIFS('PEGAR'!$AA$13:$AA$512,'PEGAR'!$O$13:$O$512,B185))</f>
      </c>
      <c r="W185" s="0">
        <f>IF(B185="","",IF(OR(L185=0,N185&gt;0,T185&gt;0,IF(ISNUMBER(H185),ROUND(ABS(H185),8)&gt;$F$6,FALSE)),2,IF(OR(M185=0,O185&gt;0,P185&gt;0,Q185&gt;0,R185&gt;0,S185&gt;0,U185&gt;0,V185&gt;0),1,0)))</f>
      </c>
      <c r="X185" s="0">
        <f>IF(B185="","",IF(ISNUMBER(G185),1,0))</f>
      </c>
      <c r="AB185" s="0">
        <f>IF(AND(ISNUMBER(W185),W185&gt;0),"ID "&amp;B185,"")</f>
      </c>
      <c r="AC185" s="0">
        <f>IF(AND(ISNUMBER(W185),W185&gt;0),C185,"")</f>
      </c>
      <c r="AD185" s="0">
        <f>IF(AND(ISNUMBER(W185),W185&gt;0),D185,"")</f>
      </c>
      <c r="AE185" s="0">
        <f>IF(AND(ISNUMBER(W185),W185&gt;0),IF(INDEX('PEGAR'!$D$13:$D$512,IF(L185&gt;0,L185,K185))="","Sin descripción",INDEX('PEGAR'!$D$13:$D$512,IF(L185&gt;0,L185,K185))),"")</f>
      </c>
      <c r="AF185" s="0">
        <f>IF(AND(ISNUMBER(W185),W185&gt;0),J185,"")</f>
      </c>
      <c r="AG185" s="0" t="n">
        <f>IF(AND(ISNUMBER(W185),W185&gt;0),W185,0)</f>
        <v>0</v>
      </c>
      <c r="AH185" s="0">
        <f>IF(AG185&gt;0,COUNTIFS($AG$13:AG185,"&gt;0"),"")</f>
      </c>
    </row>
    <row r="186" ht="22" customHeight="1">
      <c r="B186" s="27">
        <f>IF(K186="","",INDEX('PEGAR'!$O$13:$O$512,K186))</f>
      </c>
      <c r="C186" s="30">
        <f>IF(B186="","",IF(LEN(TRIM(INDEX('PEGAR'!$B$13:$B$512,IF(L186&gt;0,L186,K186))&amp;""))=0,"Sin capítulo",TRIM(INDEX('PEGAR'!$B$13:$B$512,IF(L186&gt;0,L186,K186))&amp;"")))</f>
      </c>
      <c r="D186" s="27">
        <f>IF(B186="","",IF(LEN(TRIM(INDEX('PEGAR'!$C$13:$C$512,IF(L186&gt;0,L186,K186))&amp;""))=0,"",TRIM(INDEX('PEGAR'!$C$13:$C$512,IF(L186&gt;0,L186,K186))&amp;"")))</f>
      </c>
      <c r="E186" s="27">
        <f>IF(B186="","",INDEX('PEGAR'!$S$13:$S$512,IF(L186&gt;0,L186,K186)))</f>
      </c>
      <c r="F186" s="39">
        <f>IF(B186="","",IF(L186&gt;0,INDEX('PEGAR'!$F$13:$F$512,L186),""))</f>
      </c>
      <c r="G186" s="39">
        <f>IF(B186="","",IF(OR(M186=0,N186&gt;0,O186&gt;0),"",SUMIFS('PEGAR'!$M$13:$M$512,'PEGAR'!$O$13:$O$512,B186)))</f>
      </c>
      <c r="H186" s="39">
        <f>IF(AND(ISNUMBER(F186),ISNUMBER(G186)),G186-F186,"")</f>
      </c>
      <c r="I186" s="27">
        <f>IF(B186="","",IF(W186=2,"ROJO",IF(W186=1,"ÁMBAR","VERDE")))</f>
      </c>
      <c r="J186" s="30">
        <f>IF(B186="","",IF(W186=0,"Sin avisos numéricos. Revisamos el alcance aparte.",IF(L186=0,"Faltan datos completos de partida; no elegimos un total por suposición."&amp;CHAR(10),"")&amp;IF(N186&gt;0,"Hay filas incompletas o contradictorias; las revisamos en PEGAR."&amp;CHAR(10),"")&amp;IF(O186&gt;0,"Faltan las medidas de alguna fila; no cerramos la suma."&amp;CHAR(10),"")&amp;IF(M186=0,"No constan líneas de medición."&amp;CHAR(10),"")&amp;IF(IF(ISNUMBER(H186),ROUND(ABS(H186),8)&gt;$F$6,FALSE),"Las líneas difieren del total en más de 0,01; confirmamos cantidad o exclusión."&amp;CHAR(10),"")&amp;IF(P186&gt;0,"Parece m³: encontramos tres dimensiones bajo m²."&amp;CHAR(10),"")&amp;IF(R186&gt;0,"Código repetido dentro del capítulo; mantenemos sus ID separados."&amp;CHAR(10),"")&amp;IF(S186&gt;0,"Código repetido en otro capítulo; no unimos las partidas."&amp;CHAR(10),"")&amp;IF(T186&gt;0,"Mismo código con unidades distintas; pedimos aclaración."&amp;CHAR(10),"")&amp;IF(Q186&gt;0,"Hay más precisión que los decimales indicados; cotejamos el formato original."&amp;CHAR(10),"")&amp;IF(U186&gt;0,"Unidad sin normalizar; cotejamos su significado antes de sumar unidades."&amp;CHAR(10),"")&amp;IF(V186&gt;0,"Revisamos dimensiones, cantidades directas, ceros o deducciones en PEGAR."&amp;CHAR(10),"")))</f>
      </c>
      <c r="K186" s="0">
        <f>IF(174&gt;'RESUMEN'!$E$6,"",MATCH(174,'PEGAR'!$W$13:$W$512,0))</f>
      </c>
      <c r="L186" s="0">
        <f>IF(K186="","",INDEX('PEGAR'!$R$13:$R$512,K186))</f>
      </c>
      <c r="M186" s="0">
        <f>IF(B186="","",COUNTIFS('PEGAR'!$O$13:$O$512,B186,'PEGAR'!$P$13:$P$512,"DIMENSIONES")+COUNTIFS('PEGAR'!$O$13:$O$512,B186,'PEGAR'!$P$13:$P$512,"DIRECTA"))</f>
      </c>
      <c r="N186" s="0">
        <f>IF(B186="","",COUNTIFS('PEGAR'!$O$13:$O$512,B186,'PEGAR'!$X$13:$X$512,2))</f>
      </c>
      <c r="O186" s="0">
        <f>IF(B186="","",COUNTIFS('PEGAR'!$O$13:$O$512,B186,'PEGAR'!$P$13:$P$512,"SIN LÍNEAS"))</f>
      </c>
      <c r="P186" s="0">
        <f>IF(B186="","",SUMIFS('PEGAR'!$Y$13:$Y$512,'PEGAR'!$O$13:$O$512,B186))</f>
      </c>
      <c r="Q186" s="0">
        <f>IF(B186="","",SUMIFS('PEGAR'!$Z$13:$Z$512,'PEGAR'!$O$13:$O$512,B186))</f>
      </c>
      <c r="R186" s="0" t="n">
        <f>IF(OR(B186="",D186=""),0,SUMPRODUCT(--($B$13:$B$512&lt;&gt;""),--($D$13:$D$512=D186),--($C$13:$C$512=C186))-1)</f>
        <v>0</v>
      </c>
      <c r="S186" s="0" t="n">
        <f>IF(OR(B186="",D186=""),0,SUMPRODUCT(--($B$13:$B$512&lt;&gt;""),--($D$13:$D$512=D186),--($C$13:$C$512&lt;&gt;C186)))</f>
        <v>0</v>
      </c>
      <c r="T186" s="0" t="n">
        <f>IF(OR(B186="",D186=""),0,SUMPRODUCT(--($B$13:$B$512&lt;&gt;""),--($D$13:$D$512=D186),--($E$13:$E$512&lt;&gt;E186)))</f>
        <v>0</v>
      </c>
      <c r="U186" s="0" t="n">
        <f>IF(B186="",0,IF(SUMPRODUCT(--('LÉEME'!$C$65:$C$86=E186))=0,1,0))</f>
        <v>0</v>
      </c>
      <c r="V186" s="0">
        <f>IF(B186="","",SUMIFS('PEGAR'!$AA$13:$AA$512,'PEGAR'!$O$13:$O$512,B186))</f>
      </c>
      <c r="W186" s="0">
        <f>IF(B186="","",IF(OR(L186=0,N186&gt;0,T186&gt;0,IF(ISNUMBER(H186),ROUND(ABS(H186),8)&gt;$F$6,FALSE)),2,IF(OR(M186=0,O186&gt;0,P186&gt;0,Q186&gt;0,R186&gt;0,S186&gt;0,U186&gt;0,V186&gt;0),1,0)))</f>
      </c>
      <c r="X186" s="0">
        <f>IF(B186="","",IF(ISNUMBER(G186),1,0))</f>
      </c>
      <c r="AB186" s="0">
        <f>IF(AND(ISNUMBER(W186),W186&gt;0),"ID "&amp;B186,"")</f>
      </c>
      <c r="AC186" s="0">
        <f>IF(AND(ISNUMBER(W186),W186&gt;0),C186,"")</f>
      </c>
      <c r="AD186" s="0">
        <f>IF(AND(ISNUMBER(W186),W186&gt;0),D186,"")</f>
      </c>
      <c r="AE186" s="0">
        <f>IF(AND(ISNUMBER(W186),W186&gt;0),IF(INDEX('PEGAR'!$D$13:$D$512,IF(L186&gt;0,L186,K186))="","Sin descripción",INDEX('PEGAR'!$D$13:$D$512,IF(L186&gt;0,L186,K186))),"")</f>
      </c>
      <c r="AF186" s="0">
        <f>IF(AND(ISNUMBER(W186),W186&gt;0),J186,"")</f>
      </c>
      <c r="AG186" s="0" t="n">
        <f>IF(AND(ISNUMBER(W186),W186&gt;0),W186,0)</f>
        <v>0</v>
      </c>
      <c r="AH186" s="0">
        <f>IF(AG186&gt;0,COUNTIFS($AG$13:AG186,"&gt;0"),"")</f>
      </c>
    </row>
    <row r="187" ht="22" customHeight="1">
      <c r="B187" s="27">
        <f>IF(K187="","",INDEX('PEGAR'!$O$13:$O$512,K187))</f>
      </c>
      <c r="C187" s="30">
        <f>IF(B187="","",IF(LEN(TRIM(INDEX('PEGAR'!$B$13:$B$512,IF(L187&gt;0,L187,K187))&amp;""))=0,"Sin capítulo",TRIM(INDEX('PEGAR'!$B$13:$B$512,IF(L187&gt;0,L187,K187))&amp;"")))</f>
      </c>
      <c r="D187" s="27">
        <f>IF(B187="","",IF(LEN(TRIM(INDEX('PEGAR'!$C$13:$C$512,IF(L187&gt;0,L187,K187))&amp;""))=0,"",TRIM(INDEX('PEGAR'!$C$13:$C$512,IF(L187&gt;0,L187,K187))&amp;"")))</f>
      </c>
      <c r="E187" s="27">
        <f>IF(B187="","",INDEX('PEGAR'!$S$13:$S$512,IF(L187&gt;0,L187,K187)))</f>
      </c>
      <c r="F187" s="39">
        <f>IF(B187="","",IF(L187&gt;0,INDEX('PEGAR'!$F$13:$F$512,L187),""))</f>
      </c>
      <c r="G187" s="39">
        <f>IF(B187="","",IF(OR(M187=0,N187&gt;0,O187&gt;0),"",SUMIFS('PEGAR'!$M$13:$M$512,'PEGAR'!$O$13:$O$512,B187)))</f>
      </c>
      <c r="H187" s="39">
        <f>IF(AND(ISNUMBER(F187),ISNUMBER(G187)),G187-F187,"")</f>
      </c>
      <c r="I187" s="27">
        <f>IF(B187="","",IF(W187=2,"ROJO",IF(W187=1,"ÁMBAR","VERDE")))</f>
      </c>
      <c r="J187" s="30">
        <f>IF(B187="","",IF(W187=0,"Sin avisos numéricos. Revisamos el alcance aparte.",IF(L187=0,"Faltan datos completos de partida; no elegimos un total por suposición."&amp;CHAR(10),"")&amp;IF(N187&gt;0,"Hay filas incompletas o contradictorias; las revisamos en PEGAR."&amp;CHAR(10),"")&amp;IF(O187&gt;0,"Faltan las medidas de alguna fila; no cerramos la suma."&amp;CHAR(10),"")&amp;IF(M187=0,"No constan líneas de medición."&amp;CHAR(10),"")&amp;IF(IF(ISNUMBER(H187),ROUND(ABS(H187),8)&gt;$F$6,FALSE),"Las líneas difieren del total en más de 0,01; confirmamos cantidad o exclusión."&amp;CHAR(10),"")&amp;IF(P187&gt;0,"Parece m³: encontramos tres dimensiones bajo m²."&amp;CHAR(10),"")&amp;IF(R187&gt;0,"Código repetido dentro del capítulo; mantenemos sus ID separados."&amp;CHAR(10),"")&amp;IF(S187&gt;0,"Código repetido en otro capítulo; no unimos las partidas."&amp;CHAR(10),"")&amp;IF(T187&gt;0,"Mismo código con unidades distintas; pedimos aclaración."&amp;CHAR(10),"")&amp;IF(Q187&gt;0,"Hay más precisión que los decimales indicados; cotejamos el formato original."&amp;CHAR(10),"")&amp;IF(U187&gt;0,"Unidad sin normalizar; cotejamos su significado antes de sumar unidades."&amp;CHAR(10),"")&amp;IF(V187&gt;0,"Revisamos dimensiones, cantidades directas, ceros o deducciones en PEGAR."&amp;CHAR(10),"")))</f>
      </c>
      <c r="K187" s="0">
        <f>IF(175&gt;'RESUMEN'!$E$6,"",MATCH(175,'PEGAR'!$W$13:$W$512,0))</f>
      </c>
      <c r="L187" s="0">
        <f>IF(K187="","",INDEX('PEGAR'!$R$13:$R$512,K187))</f>
      </c>
      <c r="M187" s="0">
        <f>IF(B187="","",COUNTIFS('PEGAR'!$O$13:$O$512,B187,'PEGAR'!$P$13:$P$512,"DIMENSIONES")+COUNTIFS('PEGAR'!$O$13:$O$512,B187,'PEGAR'!$P$13:$P$512,"DIRECTA"))</f>
      </c>
      <c r="N187" s="0">
        <f>IF(B187="","",COUNTIFS('PEGAR'!$O$13:$O$512,B187,'PEGAR'!$X$13:$X$512,2))</f>
      </c>
      <c r="O187" s="0">
        <f>IF(B187="","",COUNTIFS('PEGAR'!$O$13:$O$512,B187,'PEGAR'!$P$13:$P$512,"SIN LÍNEAS"))</f>
      </c>
      <c r="P187" s="0">
        <f>IF(B187="","",SUMIFS('PEGAR'!$Y$13:$Y$512,'PEGAR'!$O$13:$O$512,B187))</f>
      </c>
      <c r="Q187" s="0">
        <f>IF(B187="","",SUMIFS('PEGAR'!$Z$13:$Z$512,'PEGAR'!$O$13:$O$512,B187))</f>
      </c>
      <c r="R187" s="0" t="n">
        <f>IF(OR(B187="",D187=""),0,SUMPRODUCT(--($B$13:$B$512&lt;&gt;""),--($D$13:$D$512=D187),--($C$13:$C$512=C187))-1)</f>
        <v>0</v>
      </c>
      <c r="S187" s="0" t="n">
        <f>IF(OR(B187="",D187=""),0,SUMPRODUCT(--($B$13:$B$512&lt;&gt;""),--($D$13:$D$512=D187),--($C$13:$C$512&lt;&gt;C187)))</f>
        <v>0</v>
      </c>
      <c r="T187" s="0" t="n">
        <f>IF(OR(B187="",D187=""),0,SUMPRODUCT(--($B$13:$B$512&lt;&gt;""),--($D$13:$D$512=D187),--($E$13:$E$512&lt;&gt;E187)))</f>
        <v>0</v>
      </c>
      <c r="U187" s="0" t="n">
        <f>IF(B187="",0,IF(SUMPRODUCT(--('LÉEME'!$C$65:$C$86=E187))=0,1,0))</f>
        <v>0</v>
      </c>
      <c r="V187" s="0">
        <f>IF(B187="","",SUMIFS('PEGAR'!$AA$13:$AA$512,'PEGAR'!$O$13:$O$512,B187))</f>
      </c>
      <c r="W187" s="0">
        <f>IF(B187="","",IF(OR(L187=0,N187&gt;0,T187&gt;0,IF(ISNUMBER(H187),ROUND(ABS(H187),8)&gt;$F$6,FALSE)),2,IF(OR(M187=0,O187&gt;0,P187&gt;0,Q187&gt;0,R187&gt;0,S187&gt;0,U187&gt;0,V187&gt;0),1,0)))</f>
      </c>
      <c r="X187" s="0">
        <f>IF(B187="","",IF(ISNUMBER(G187),1,0))</f>
      </c>
      <c r="AB187" s="0">
        <f>IF(AND(ISNUMBER(W187),W187&gt;0),"ID "&amp;B187,"")</f>
      </c>
      <c r="AC187" s="0">
        <f>IF(AND(ISNUMBER(W187),W187&gt;0),C187,"")</f>
      </c>
      <c r="AD187" s="0">
        <f>IF(AND(ISNUMBER(W187),W187&gt;0),D187,"")</f>
      </c>
      <c r="AE187" s="0">
        <f>IF(AND(ISNUMBER(W187),W187&gt;0),IF(INDEX('PEGAR'!$D$13:$D$512,IF(L187&gt;0,L187,K187))="","Sin descripción",INDEX('PEGAR'!$D$13:$D$512,IF(L187&gt;0,L187,K187))),"")</f>
      </c>
      <c r="AF187" s="0">
        <f>IF(AND(ISNUMBER(W187),W187&gt;0),J187,"")</f>
      </c>
      <c r="AG187" s="0" t="n">
        <f>IF(AND(ISNUMBER(W187),W187&gt;0),W187,0)</f>
        <v>0</v>
      </c>
      <c r="AH187" s="0">
        <f>IF(AG187&gt;0,COUNTIFS($AG$13:AG187,"&gt;0"),"")</f>
      </c>
    </row>
    <row r="188" ht="22" customHeight="1">
      <c r="B188" s="27">
        <f>IF(K188="","",INDEX('PEGAR'!$O$13:$O$512,K188))</f>
      </c>
      <c r="C188" s="30">
        <f>IF(B188="","",IF(LEN(TRIM(INDEX('PEGAR'!$B$13:$B$512,IF(L188&gt;0,L188,K188))&amp;""))=0,"Sin capítulo",TRIM(INDEX('PEGAR'!$B$13:$B$512,IF(L188&gt;0,L188,K188))&amp;"")))</f>
      </c>
      <c r="D188" s="27">
        <f>IF(B188="","",IF(LEN(TRIM(INDEX('PEGAR'!$C$13:$C$512,IF(L188&gt;0,L188,K188))&amp;""))=0,"",TRIM(INDEX('PEGAR'!$C$13:$C$512,IF(L188&gt;0,L188,K188))&amp;"")))</f>
      </c>
      <c r="E188" s="27">
        <f>IF(B188="","",INDEX('PEGAR'!$S$13:$S$512,IF(L188&gt;0,L188,K188)))</f>
      </c>
      <c r="F188" s="39">
        <f>IF(B188="","",IF(L188&gt;0,INDEX('PEGAR'!$F$13:$F$512,L188),""))</f>
      </c>
      <c r="G188" s="39">
        <f>IF(B188="","",IF(OR(M188=0,N188&gt;0,O188&gt;0),"",SUMIFS('PEGAR'!$M$13:$M$512,'PEGAR'!$O$13:$O$512,B188)))</f>
      </c>
      <c r="H188" s="39">
        <f>IF(AND(ISNUMBER(F188),ISNUMBER(G188)),G188-F188,"")</f>
      </c>
      <c r="I188" s="27">
        <f>IF(B188="","",IF(W188=2,"ROJO",IF(W188=1,"ÁMBAR","VERDE")))</f>
      </c>
      <c r="J188" s="30">
        <f>IF(B188="","",IF(W188=0,"Sin avisos numéricos. Revisamos el alcance aparte.",IF(L188=0,"Faltan datos completos de partida; no elegimos un total por suposición."&amp;CHAR(10),"")&amp;IF(N188&gt;0,"Hay filas incompletas o contradictorias; las revisamos en PEGAR."&amp;CHAR(10),"")&amp;IF(O188&gt;0,"Faltan las medidas de alguna fila; no cerramos la suma."&amp;CHAR(10),"")&amp;IF(M188=0,"No constan líneas de medición."&amp;CHAR(10),"")&amp;IF(IF(ISNUMBER(H188),ROUND(ABS(H188),8)&gt;$F$6,FALSE),"Las líneas difieren del total en más de 0,01; confirmamos cantidad o exclusión."&amp;CHAR(10),"")&amp;IF(P188&gt;0,"Parece m³: encontramos tres dimensiones bajo m²."&amp;CHAR(10),"")&amp;IF(R188&gt;0,"Código repetido dentro del capítulo; mantenemos sus ID separados."&amp;CHAR(10),"")&amp;IF(S188&gt;0,"Código repetido en otro capítulo; no unimos las partidas."&amp;CHAR(10),"")&amp;IF(T188&gt;0,"Mismo código con unidades distintas; pedimos aclaración."&amp;CHAR(10),"")&amp;IF(Q188&gt;0,"Hay más precisión que los decimales indicados; cotejamos el formato original."&amp;CHAR(10),"")&amp;IF(U188&gt;0,"Unidad sin normalizar; cotejamos su significado antes de sumar unidades."&amp;CHAR(10),"")&amp;IF(V188&gt;0,"Revisamos dimensiones, cantidades directas, ceros o deducciones en PEGAR."&amp;CHAR(10),"")))</f>
      </c>
      <c r="K188" s="0">
        <f>IF(176&gt;'RESUMEN'!$E$6,"",MATCH(176,'PEGAR'!$W$13:$W$512,0))</f>
      </c>
      <c r="L188" s="0">
        <f>IF(K188="","",INDEX('PEGAR'!$R$13:$R$512,K188))</f>
      </c>
      <c r="M188" s="0">
        <f>IF(B188="","",COUNTIFS('PEGAR'!$O$13:$O$512,B188,'PEGAR'!$P$13:$P$512,"DIMENSIONES")+COUNTIFS('PEGAR'!$O$13:$O$512,B188,'PEGAR'!$P$13:$P$512,"DIRECTA"))</f>
      </c>
      <c r="N188" s="0">
        <f>IF(B188="","",COUNTIFS('PEGAR'!$O$13:$O$512,B188,'PEGAR'!$X$13:$X$512,2))</f>
      </c>
      <c r="O188" s="0">
        <f>IF(B188="","",COUNTIFS('PEGAR'!$O$13:$O$512,B188,'PEGAR'!$P$13:$P$512,"SIN LÍNEAS"))</f>
      </c>
      <c r="P188" s="0">
        <f>IF(B188="","",SUMIFS('PEGAR'!$Y$13:$Y$512,'PEGAR'!$O$13:$O$512,B188))</f>
      </c>
      <c r="Q188" s="0">
        <f>IF(B188="","",SUMIFS('PEGAR'!$Z$13:$Z$512,'PEGAR'!$O$13:$O$512,B188))</f>
      </c>
      <c r="R188" s="0" t="n">
        <f>IF(OR(B188="",D188=""),0,SUMPRODUCT(--($B$13:$B$512&lt;&gt;""),--($D$13:$D$512=D188),--($C$13:$C$512=C188))-1)</f>
        <v>0</v>
      </c>
      <c r="S188" s="0" t="n">
        <f>IF(OR(B188="",D188=""),0,SUMPRODUCT(--($B$13:$B$512&lt;&gt;""),--($D$13:$D$512=D188),--($C$13:$C$512&lt;&gt;C188)))</f>
        <v>0</v>
      </c>
      <c r="T188" s="0" t="n">
        <f>IF(OR(B188="",D188=""),0,SUMPRODUCT(--($B$13:$B$512&lt;&gt;""),--($D$13:$D$512=D188),--($E$13:$E$512&lt;&gt;E188)))</f>
        <v>0</v>
      </c>
      <c r="U188" s="0" t="n">
        <f>IF(B188="",0,IF(SUMPRODUCT(--('LÉEME'!$C$65:$C$86=E188))=0,1,0))</f>
        <v>0</v>
      </c>
      <c r="V188" s="0">
        <f>IF(B188="","",SUMIFS('PEGAR'!$AA$13:$AA$512,'PEGAR'!$O$13:$O$512,B188))</f>
      </c>
      <c r="W188" s="0">
        <f>IF(B188="","",IF(OR(L188=0,N188&gt;0,T188&gt;0,IF(ISNUMBER(H188),ROUND(ABS(H188),8)&gt;$F$6,FALSE)),2,IF(OR(M188=0,O188&gt;0,P188&gt;0,Q188&gt;0,R188&gt;0,S188&gt;0,U188&gt;0,V188&gt;0),1,0)))</f>
      </c>
      <c r="X188" s="0">
        <f>IF(B188="","",IF(ISNUMBER(G188),1,0))</f>
      </c>
      <c r="AB188" s="0">
        <f>IF(AND(ISNUMBER(W188),W188&gt;0),"ID "&amp;B188,"")</f>
      </c>
      <c r="AC188" s="0">
        <f>IF(AND(ISNUMBER(W188),W188&gt;0),C188,"")</f>
      </c>
      <c r="AD188" s="0">
        <f>IF(AND(ISNUMBER(W188),W188&gt;0),D188,"")</f>
      </c>
      <c r="AE188" s="0">
        <f>IF(AND(ISNUMBER(W188),W188&gt;0),IF(INDEX('PEGAR'!$D$13:$D$512,IF(L188&gt;0,L188,K188))="","Sin descripción",INDEX('PEGAR'!$D$13:$D$512,IF(L188&gt;0,L188,K188))),"")</f>
      </c>
      <c r="AF188" s="0">
        <f>IF(AND(ISNUMBER(W188),W188&gt;0),J188,"")</f>
      </c>
      <c r="AG188" s="0" t="n">
        <f>IF(AND(ISNUMBER(W188),W188&gt;0),W188,0)</f>
        <v>0</v>
      </c>
      <c r="AH188" s="0">
        <f>IF(AG188&gt;0,COUNTIFS($AG$13:AG188,"&gt;0"),"")</f>
      </c>
    </row>
    <row r="189" ht="22" customHeight="1">
      <c r="B189" s="27">
        <f>IF(K189="","",INDEX('PEGAR'!$O$13:$O$512,K189))</f>
      </c>
      <c r="C189" s="30">
        <f>IF(B189="","",IF(LEN(TRIM(INDEX('PEGAR'!$B$13:$B$512,IF(L189&gt;0,L189,K189))&amp;""))=0,"Sin capítulo",TRIM(INDEX('PEGAR'!$B$13:$B$512,IF(L189&gt;0,L189,K189))&amp;"")))</f>
      </c>
      <c r="D189" s="27">
        <f>IF(B189="","",IF(LEN(TRIM(INDEX('PEGAR'!$C$13:$C$512,IF(L189&gt;0,L189,K189))&amp;""))=0,"",TRIM(INDEX('PEGAR'!$C$13:$C$512,IF(L189&gt;0,L189,K189))&amp;"")))</f>
      </c>
      <c r="E189" s="27">
        <f>IF(B189="","",INDEX('PEGAR'!$S$13:$S$512,IF(L189&gt;0,L189,K189)))</f>
      </c>
      <c r="F189" s="39">
        <f>IF(B189="","",IF(L189&gt;0,INDEX('PEGAR'!$F$13:$F$512,L189),""))</f>
      </c>
      <c r="G189" s="39">
        <f>IF(B189="","",IF(OR(M189=0,N189&gt;0,O189&gt;0),"",SUMIFS('PEGAR'!$M$13:$M$512,'PEGAR'!$O$13:$O$512,B189)))</f>
      </c>
      <c r="H189" s="39">
        <f>IF(AND(ISNUMBER(F189),ISNUMBER(G189)),G189-F189,"")</f>
      </c>
      <c r="I189" s="27">
        <f>IF(B189="","",IF(W189=2,"ROJO",IF(W189=1,"ÁMBAR","VERDE")))</f>
      </c>
      <c r="J189" s="30">
        <f>IF(B189="","",IF(W189=0,"Sin avisos numéricos. Revisamos el alcance aparte.",IF(L189=0,"Faltan datos completos de partida; no elegimos un total por suposición."&amp;CHAR(10),"")&amp;IF(N189&gt;0,"Hay filas incompletas o contradictorias; las revisamos en PEGAR."&amp;CHAR(10),"")&amp;IF(O189&gt;0,"Faltan las medidas de alguna fila; no cerramos la suma."&amp;CHAR(10),"")&amp;IF(M189=0,"No constan líneas de medición."&amp;CHAR(10),"")&amp;IF(IF(ISNUMBER(H189),ROUND(ABS(H189),8)&gt;$F$6,FALSE),"Las líneas difieren del total en más de 0,01; confirmamos cantidad o exclusión."&amp;CHAR(10),"")&amp;IF(P189&gt;0,"Parece m³: encontramos tres dimensiones bajo m²."&amp;CHAR(10),"")&amp;IF(R189&gt;0,"Código repetido dentro del capítulo; mantenemos sus ID separados."&amp;CHAR(10),"")&amp;IF(S189&gt;0,"Código repetido en otro capítulo; no unimos las partidas."&amp;CHAR(10),"")&amp;IF(T189&gt;0,"Mismo código con unidades distintas; pedimos aclaración."&amp;CHAR(10),"")&amp;IF(Q189&gt;0,"Hay más precisión que los decimales indicados; cotejamos el formato original."&amp;CHAR(10),"")&amp;IF(U189&gt;0,"Unidad sin normalizar; cotejamos su significado antes de sumar unidades."&amp;CHAR(10),"")&amp;IF(V189&gt;0,"Revisamos dimensiones, cantidades directas, ceros o deducciones en PEGAR."&amp;CHAR(10),"")))</f>
      </c>
      <c r="K189" s="0">
        <f>IF(177&gt;'RESUMEN'!$E$6,"",MATCH(177,'PEGAR'!$W$13:$W$512,0))</f>
      </c>
      <c r="L189" s="0">
        <f>IF(K189="","",INDEX('PEGAR'!$R$13:$R$512,K189))</f>
      </c>
      <c r="M189" s="0">
        <f>IF(B189="","",COUNTIFS('PEGAR'!$O$13:$O$512,B189,'PEGAR'!$P$13:$P$512,"DIMENSIONES")+COUNTIFS('PEGAR'!$O$13:$O$512,B189,'PEGAR'!$P$13:$P$512,"DIRECTA"))</f>
      </c>
      <c r="N189" s="0">
        <f>IF(B189="","",COUNTIFS('PEGAR'!$O$13:$O$512,B189,'PEGAR'!$X$13:$X$512,2))</f>
      </c>
      <c r="O189" s="0">
        <f>IF(B189="","",COUNTIFS('PEGAR'!$O$13:$O$512,B189,'PEGAR'!$P$13:$P$512,"SIN LÍNEAS"))</f>
      </c>
      <c r="P189" s="0">
        <f>IF(B189="","",SUMIFS('PEGAR'!$Y$13:$Y$512,'PEGAR'!$O$13:$O$512,B189))</f>
      </c>
      <c r="Q189" s="0">
        <f>IF(B189="","",SUMIFS('PEGAR'!$Z$13:$Z$512,'PEGAR'!$O$13:$O$512,B189))</f>
      </c>
      <c r="R189" s="0" t="n">
        <f>IF(OR(B189="",D189=""),0,SUMPRODUCT(--($B$13:$B$512&lt;&gt;""),--($D$13:$D$512=D189),--($C$13:$C$512=C189))-1)</f>
        <v>0</v>
      </c>
      <c r="S189" s="0" t="n">
        <f>IF(OR(B189="",D189=""),0,SUMPRODUCT(--($B$13:$B$512&lt;&gt;""),--($D$13:$D$512=D189),--($C$13:$C$512&lt;&gt;C189)))</f>
        <v>0</v>
      </c>
      <c r="T189" s="0" t="n">
        <f>IF(OR(B189="",D189=""),0,SUMPRODUCT(--($B$13:$B$512&lt;&gt;""),--($D$13:$D$512=D189),--($E$13:$E$512&lt;&gt;E189)))</f>
        <v>0</v>
      </c>
      <c r="U189" s="0" t="n">
        <f>IF(B189="",0,IF(SUMPRODUCT(--('LÉEME'!$C$65:$C$86=E189))=0,1,0))</f>
        <v>0</v>
      </c>
      <c r="V189" s="0">
        <f>IF(B189="","",SUMIFS('PEGAR'!$AA$13:$AA$512,'PEGAR'!$O$13:$O$512,B189))</f>
      </c>
      <c r="W189" s="0">
        <f>IF(B189="","",IF(OR(L189=0,N189&gt;0,T189&gt;0,IF(ISNUMBER(H189),ROUND(ABS(H189),8)&gt;$F$6,FALSE)),2,IF(OR(M189=0,O189&gt;0,P189&gt;0,Q189&gt;0,R189&gt;0,S189&gt;0,U189&gt;0,V189&gt;0),1,0)))</f>
      </c>
      <c r="X189" s="0">
        <f>IF(B189="","",IF(ISNUMBER(G189),1,0))</f>
      </c>
      <c r="AB189" s="0">
        <f>IF(AND(ISNUMBER(W189),W189&gt;0),"ID "&amp;B189,"")</f>
      </c>
      <c r="AC189" s="0">
        <f>IF(AND(ISNUMBER(W189),W189&gt;0),C189,"")</f>
      </c>
      <c r="AD189" s="0">
        <f>IF(AND(ISNUMBER(W189),W189&gt;0),D189,"")</f>
      </c>
      <c r="AE189" s="0">
        <f>IF(AND(ISNUMBER(W189),W189&gt;0),IF(INDEX('PEGAR'!$D$13:$D$512,IF(L189&gt;0,L189,K189))="","Sin descripción",INDEX('PEGAR'!$D$13:$D$512,IF(L189&gt;0,L189,K189))),"")</f>
      </c>
      <c r="AF189" s="0">
        <f>IF(AND(ISNUMBER(W189),W189&gt;0),J189,"")</f>
      </c>
      <c r="AG189" s="0" t="n">
        <f>IF(AND(ISNUMBER(W189),W189&gt;0),W189,0)</f>
        <v>0</v>
      </c>
      <c r="AH189" s="0">
        <f>IF(AG189&gt;0,COUNTIFS($AG$13:AG189,"&gt;0"),"")</f>
      </c>
    </row>
    <row r="190" ht="22" customHeight="1">
      <c r="B190" s="27">
        <f>IF(K190="","",INDEX('PEGAR'!$O$13:$O$512,K190))</f>
      </c>
      <c r="C190" s="30">
        <f>IF(B190="","",IF(LEN(TRIM(INDEX('PEGAR'!$B$13:$B$512,IF(L190&gt;0,L190,K190))&amp;""))=0,"Sin capítulo",TRIM(INDEX('PEGAR'!$B$13:$B$512,IF(L190&gt;0,L190,K190))&amp;"")))</f>
      </c>
      <c r="D190" s="27">
        <f>IF(B190="","",IF(LEN(TRIM(INDEX('PEGAR'!$C$13:$C$512,IF(L190&gt;0,L190,K190))&amp;""))=0,"",TRIM(INDEX('PEGAR'!$C$13:$C$512,IF(L190&gt;0,L190,K190))&amp;"")))</f>
      </c>
      <c r="E190" s="27">
        <f>IF(B190="","",INDEX('PEGAR'!$S$13:$S$512,IF(L190&gt;0,L190,K190)))</f>
      </c>
      <c r="F190" s="39">
        <f>IF(B190="","",IF(L190&gt;0,INDEX('PEGAR'!$F$13:$F$512,L190),""))</f>
      </c>
      <c r="G190" s="39">
        <f>IF(B190="","",IF(OR(M190=0,N190&gt;0,O190&gt;0),"",SUMIFS('PEGAR'!$M$13:$M$512,'PEGAR'!$O$13:$O$512,B190)))</f>
      </c>
      <c r="H190" s="39">
        <f>IF(AND(ISNUMBER(F190),ISNUMBER(G190)),G190-F190,"")</f>
      </c>
      <c r="I190" s="27">
        <f>IF(B190="","",IF(W190=2,"ROJO",IF(W190=1,"ÁMBAR","VERDE")))</f>
      </c>
      <c r="J190" s="30">
        <f>IF(B190="","",IF(W190=0,"Sin avisos numéricos. Revisamos el alcance aparte.",IF(L190=0,"Faltan datos completos de partida; no elegimos un total por suposición."&amp;CHAR(10),"")&amp;IF(N190&gt;0,"Hay filas incompletas o contradictorias; las revisamos en PEGAR."&amp;CHAR(10),"")&amp;IF(O190&gt;0,"Faltan las medidas de alguna fila; no cerramos la suma."&amp;CHAR(10),"")&amp;IF(M190=0,"No constan líneas de medición."&amp;CHAR(10),"")&amp;IF(IF(ISNUMBER(H190),ROUND(ABS(H190),8)&gt;$F$6,FALSE),"Las líneas difieren del total en más de 0,01; confirmamos cantidad o exclusión."&amp;CHAR(10),"")&amp;IF(P190&gt;0,"Parece m³: encontramos tres dimensiones bajo m²."&amp;CHAR(10),"")&amp;IF(R190&gt;0,"Código repetido dentro del capítulo; mantenemos sus ID separados."&amp;CHAR(10),"")&amp;IF(S190&gt;0,"Código repetido en otro capítulo; no unimos las partidas."&amp;CHAR(10),"")&amp;IF(T190&gt;0,"Mismo código con unidades distintas; pedimos aclaración."&amp;CHAR(10),"")&amp;IF(Q190&gt;0,"Hay más precisión que los decimales indicados; cotejamos el formato original."&amp;CHAR(10),"")&amp;IF(U190&gt;0,"Unidad sin normalizar; cotejamos su significado antes de sumar unidades."&amp;CHAR(10),"")&amp;IF(V190&gt;0,"Revisamos dimensiones, cantidades directas, ceros o deducciones en PEGAR."&amp;CHAR(10),"")))</f>
      </c>
      <c r="K190" s="0">
        <f>IF(178&gt;'RESUMEN'!$E$6,"",MATCH(178,'PEGAR'!$W$13:$W$512,0))</f>
      </c>
      <c r="L190" s="0">
        <f>IF(K190="","",INDEX('PEGAR'!$R$13:$R$512,K190))</f>
      </c>
      <c r="M190" s="0">
        <f>IF(B190="","",COUNTIFS('PEGAR'!$O$13:$O$512,B190,'PEGAR'!$P$13:$P$512,"DIMENSIONES")+COUNTIFS('PEGAR'!$O$13:$O$512,B190,'PEGAR'!$P$13:$P$512,"DIRECTA"))</f>
      </c>
      <c r="N190" s="0">
        <f>IF(B190="","",COUNTIFS('PEGAR'!$O$13:$O$512,B190,'PEGAR'!$X$13:$X$512,2))</f>
      </c>
      <c r="O190" s="0">
        <f>IF(B190="","",COUNTIFS('PEGAR'!$O$13:$O$512,B190,'PEGAR'!$P$13:$P$512,"SIN LÍNEAS"))</f>
      </c>
      <c r="P190" s="0">
        <f>IF(B190="","",SUMIFS('PEGAR'!$Y$13:$Y$512,'PEGAR'!$O$13:$O$512,B190))</f>
      </c>
      <c r="Q190" s="0">
        <f>IF(B190="","",SUMIFS('PEGAR'!$Z$13:$Z$512,'PEGAR'!$O$13:$O$512,B190))</f>
      </c>
      <c r="R190" s="0" t="n">
        <f>IF(OR(B190="",D190=""),0,SUMPRODUCT(--($B$13:$B$512&lt;&gt;""),--($D$13:$D$512=D190),--($C$13:$C$512=C190))-1)</f>
        <v>0</v>
      </c>
      <c r="S190" s="0" t="n">
        <f>IF(OR(B190="",D190=""),0,SUMPRODUCT(--($B$13:$B$512&lt;&gt;""),--($D$13:$D$512=D190),--($C$13:$C$512&lt;&gt;C190)))</f>
        <v>0</v>
      </c>
      <c r="T190" s="0" t="n">
        <f>IF(OR(B190="",D190=""),0,SUMPRODUCT(--($B$13:$B$512&lt;&gt;""),--($D$13:$D$512=D190),--($E$13:$E$512&lt;&gt;E190)))</f>
        <v>0</v>
      </c>
      <c r="U190" s="0" t="n">
        <f>IF(B190="",0,IF(SUMPRODUCT(--('LÉEME'!$C$65:$C$86=E190))=0,1,0))</f>
        <v>0</v>
      </c>
      <c r="V190" s="0">
        <f>IF(B190="","",SUMIFS('PEGAR'!$AA$13:$AA$512,'PEGAR'!$O$13:$O$512,B190))</f>
      </c>
      <c r="W190" s="0">
        <f>IF(B190="","",IF(OR(L190=0,N190&gt;0,T190&gt;0,IF(ISNUMBER(H190),ROUND(ABS(H190),8)&gt;$F$6,FALSE)),2,IF(OR(M190=0,O190&gt;0,P190&gt;0,Q190&gt;0,R190&gt;0,S190&gt;0,U190&gt;0,V190&gt;0),1,0)))</f>
      </c>
      <c r="X190" s="0">
        <f>IF(B190="","",IF(ISNUMBER(G190),1,0))</f>
      </c>
      <c r="AB190" s="0">
        <f>IF(AND(ISNUMBER(W190),W190&gt;0),"ID "&amp;B190,"")</f>
      </c>
      <c r="AC190" s="0">
        <f>IF(AND(ISNUMBER(W190),W190&gt;0),C190,"")</f>
      </c>
      <c r="AD190" s="0">
        <f>IF(AND(ISNUMBER(W190),W190&gt;0),D190,"")</f>
      </c>
      <c r="AE190" s="0">
        <f>IF(AND(ISNUMBER(W190),W190&gt;0),IF(INDEX('PEGAR'!$D$13:$D$512,IF(L190&gt;0,L190,K190))="","Sin descripción",INDEX('PEGAR'!$D$13:$D$512,IF(L190&gt;0,L190,K190))),"")</f>
      </c>
      <c r="AF190" s="0">
        <f>IF(AND(ISNUMBER(W190),W190&gt;0),J190,"")</f>
      </c>
      <c r="AG190" s="0" t="n">
        <f>IF(AND(ISNUMBER(W190),W190&gt;0),W190,0)</f>
        <v>0</v>
      </c>
      <c r="AH190" s="0">
        <f>IF(AG190&gt;0,COUNTIFS($AG$13:AG190,"&gt;0"),"")</f>
      </c>
    </row>
    <row r="191" ht="22" customHeight="1">
      <c r="B191" s="27">
        <f>IF(K191="","",INDEX('PEGAR'!$O$13:$O$512,K191))</f>
      </c>
      <c r="C191" s="30">
        <f>IF(B191="","",IF(LEN(TRIM(INDEX('PEGAR'!$B$13:$B$512,IF(L191&gt;0,L191,K191))&amp;""))=0,"Sin capítulo",TRIM(INDEX('PEGAR'!$B$13:$B$512,IF(L191&gt;0,L191,K191))&amp;"")))</f>
      </c>
      <c r="D191" s="27">
        <f>IF(B191="","",IF(LEN(TRIM(INDEX('PEGAR'!$C$13:$C$512,IF(L191&gt;0,L191,K191))&amp;""))=0,"",TRIM(INDEX('PEGAR'!$C$13:$C$512,IF(L191&gt;0,L191,K191))&amp;"")))</f>
      </c>
      <c r="E191" s="27">
        <f>IF(B191="","",INDEX('PEGAR'!$S$13:$S$512,IF(L191&gt;0,L191,K191)))</f>
      </c>
      <c r="F191" s="39">
        <f>IF(B191="","",IF(L191&gt;0,INDEX('PEGAR'!$F$13:$F$512,L191),""))</f>
      </c>
      <c r="G191" s="39">
        <f>IF(B191="","",IF(OR(M191=0,N191&gt;0,O191&gt;0),"",SUMIFS('PEGAR'!$M$13:$M$512,'PEGAR'!$O$13:$O$512,B191)))</f>
      </c>
      <c r="H191" s="39">
        <f>IF(AND(ISNUMBER(F191),ISNUMBER(G191)),G191-F191,"")</f>
      </c>
      <c r="I191" s="27">
        <f>IF(B191="","",IF(W191=2,"ROJO",IF(W191=1,"ÁMBAR","VERDE")))</f>
      </c>
      <c r="J191" s="30">
        <f>IF(B191="","",IF(W191=0,"Sin avisos numéricos. Revisamos el alcance aparte.",IF(L191=0,"Faltan datos completos de partida; no elegimos un total por suposición."&amp;CHAR(10),"")&amp;IF(N191&gt;0,"Hay filas incompletas o contradictorias; las revisamos en PEGAR."&amp;CHAR(10),"")&amp;IF(O191&gt;0,"Faltan las medidas de alguna fila; no cerramos la suma."&amp;CHAR(10),"")&amp;IF(M191=0,"No constan líneas de medición."&amp;CHAR(10),"")&amp;IF(IF(ISNUMBER(H191),ROUND(ABS(H191),8)&gt;$F$6,FALSE),"Las líneas difieren del total en más de 0,01; confirmamos cantidad o exclusión."&amp;CHAR(10),"")&amp;IF(P191&gt;0,"Parece m³: encontramos tres dimensiones bajo m²."&amp;CHAR(10),"")&amp;IF(R191&gt;0,"Código repetido dentro del capítulo; mantenemos sus ID separados."&amp;CHAR(10),"")&amp;IF(S191&gt;0,"Código repetido en otro capítulo; no unimos las partidas."&amp;CHAR(10),"")&amp;IF(T191&gt;0,"Mismo código con unidades distintas; pedimos aclaración."&amp;CHAR(10),"")&amp;IF(Q191&gt;0,"Hay más precisión que los decimales indicados; cotejamos el formato original."&amp;CHAR(10),"")&amp;IF(U191&gt;0,"Unidad sin normalizar; cotejamos su significado antes de sumar unidades."&amp;CHAR(10),"")&amp;IF(V191&gt;0,"Revisamos dimensiones, cantidades directas, ceros o deducciones en PEGAR."&amp;CHAR(10),"")))</f>
      </c>
      <c r="K191" s="0">
        <f>IF(179&gt;'RESUMEN'!$E$6,"",MATCH(179,'PEGAR'!$W$13:$W$512,0))</f>
      </c>
      <c r="L191" s="0">
        <f>IF(K191="","",INDEX('PEGAR'!$R$13:$R$512,K191))</f>
      </c>
      <c r="M191" s="0">
        <f>IF(B191="","",COUNTIFS('PEGAR'!$O$13:$O$512,B191,'PEGAR'!$P$13:$P$512,"DIMENSIONES")+COUNTIFS('PEGAR'!$O$13:$O$512,B191,'PEGAR'!$P$13:$P$512,"DIRECTA"))</f>
      </c>
      <c r="N191" s="0">
        <f>IF(B191="","",COUNTIFS('PEGAR'!$O$13:$O$512,B191,'PEGAR'!$X$13:$X$512,2))</f>
      </c>
      <c r="O191" s="0">
        <f>IF(B191="","",COUNTIFS('PEGAR'!$O$13:$O$512,B191,'PEGAR'!$P$13:$P$512,"SIN LÍNEAS"))</f>
      </c>
      <c r="P191" s="0">
        <f>IF(B191="","",SUMIFS('PEGAR'!$Y$13:$Y$512,'PEGAR'!$O$13:$O$512,B191))</f>
      </c>
      <c r="Q191" s="0">
        <f>IF(B191="","",SUMIFS('PEGAR'!$Z$13:$Z$512,'PEGAR'!$O$13:$O$512,B191))</f>
      </c>
      <c r="R191" s="0" t="n">
        <f>IF(OR(B191="",D191=""),0,SUMPRODUCT(--($B$13:$B$512&lt;&gt;""),--($D$13:$D$512=D191),--($C$13:$C$512=C191))-1)</f>
        <v>0</v>
      </c>
      <c r="S191" s="0" t="n">
        <f>IF(OR(B191="",D191=""),0,SUMPRODUCT(--($B$13:$B$512&lt;&gt;""),--($D$13:$D$512=D191),--($C$13:$C$512&lt;&gt;C191)))</f>
        <v>0</v>
      </c>
      <c r="T191" s="0" t="n">
        <f>IF(OR(B191="",D191=""),0,SUMPRODUCT(--($B$13:$B$512&lt;&gt;""),--($D$13:$D$512=D191),--($E$13:$E$512&lt;&gt;E191)))</f>
        <v>0</v>
      </c>
      <c r="U191" s="0" t="n">
        <f>IF(B191="",0,IF(SUMPRODUCT(--('LÉEME'!$C$65:$C$86=E191))=0,1,0))</f>
        <v>0</v>
      </c>
      <c r="V191" s="0">
        <f>IF(B191="","",SUMIFS('PEGAR'!$AA$13:$AA$512,'PEGAR'!$O$13:$O$512,B191))</f>
      </c>
      <c r="W191" s="0">
        <f>IF(B191="","",IF(OR(L191=0,N191&gt;0,T191&gt;0,IF(ISNUMBER(H191),ROUND(ABS(H191),8)&gt;$F$6,FALSE)),2,IF(OR(M191=0,O191&gt;0,P191&gt;0,Q191&gt;0,R191&gt;0,S191&gt;0,U191&gt;0,V191&gt;0),1,0)))</f>
      </c>
      <c r="X191" s="0">
        <f>IF(B191="","",IF(ISNUMBER(G191),1,0))</f>
      </c>
      <c r="AB191" s="0">
        <f>IF(AND(ISNUMBER(W191),W191&gt;0),"ID "&amp;B191,"")</f>
      </c>
      <c r="AC191" s="0">
        <f>IF(AND(ISNUMBER(W191),W191&gt;0),C191,"")</f>
      </c>
      <c r="AD191" s="0">
        <f>IF(AND(ISNUMBER(W191),W191&gt;0),D191,"")</f>
      </c>
      <c r="AE191" s="0">
        <f>IF(AND(ISNUMBER(W191),W191&gt;0),IF(INDEX('PEGAR'!$D$13:$D$512,IF(L191&gt;0,L191,K191))="","Sin descripción",INDEX('PEGAR'!$D$13:$D$512,IF(L191&gt;0,L191,K191))),"")</f>
      </c>
      <c r="AF191" s="0">
        <f>IF(AND(ISNUMBER(W191),W191&gt;0),J191,"")</f>
      </c>
      <c r="AG191" s="0" t="n">
        <f>IF(AND(ISNUMBER(W191),W191&gt;0),W191,0)</f>
        <v>0</v>
      </c>
      <c r="AH191" s="0">
        <f>IF(AG191&gt;0,COUNTIFS($AG$13:AG191,"&gt;0"),"")</f>
      </c>
    </row>
    <row r="192" ht="22" customHeight="1">
      <c r="B192" s="27">
        <f>IF(K192="","",INDEX('PEGAR'!$O$13:$O$512,K192))</f>
      </c>
      <c r="C192" s="30">
        <f>IF(B192="","",IF(LEN(TRIM(INDEX('PEGAR'!$B$13:$B$512,IF(L192&gt;0,L192,K192))&amp;""))=0,"Sin capítulo",TRIM(INDEX('PEGAR'!$B$13:$B$512,IF(L192&gt;0,L192,K192))&amp;"")))</f>
      </c>
      <c r="D192" s="27">
        <f>IF(B192="","",IF(LEN(TRIM(INDEX('PEGAR'!$C$13:$C$512,IF(L192&gt;0,L192,K192))&amp;""))=0,"",TRIM(INDEX('PEGAR'!$C$13:$C$512,IF(L192&gt;0,L192,K192))&amp;"")))</f>
      </c>
      <c r="E192" s="27">
        <f>IF(B192="","",INDEX('PEGAR'!$S$13:$S$512,IF(L192&gt;0,L192,K192)))</f>
      </c>
      <c r="F192" s="39">
        <f>IF(B192="","",IF(L192&gt;0,INDEX('PEGAR'!$F$13:$F$512,L192),""))</f>
      </c>
      <c r="G192" s="39">
        <f>IF(B192="","",IF(OR(M192=0,N192&gt;0,O192&gt;0),"",SUMIFS('PEGAR'!$M$13:$M$512,'PEGAR'!$O$13:$O$512,B192)))</f>
      </c>
      <c r="H192" s="39">
        <f>IF(AND(ISNUMBER(F192),ISNUMBER(G192)),G192-F192,"")</f>
      </c>
      <c r="I192" s="27">
        <f>IF(B192="","",IF(W192=2,"ROJO",IF(W192=1,"ÁMBAR","VERDE")))</f>
      </c>
      <c r="J192" s="30">
        <f>IF(B192="","",IF(W192=0,"Sin avisos numéricos. Revisamos el alcance aparte.",IF(L192=0,"Faltan datos completos de partida; no elegimos un total por suposición."&amp;CHAR(10),"")&amp;IF(N192&gt;0,"Hay filas incompletas o contradictorias; las revisamos en PEGAR."&amp;CHAR(10),"")&amp;IF(O192&gt;0,"Faltan las medidas de alguna fila; no cerramos la suma."&amp;CHAR(10),"")&amp;IF(M192=0,"No constan líneas de medición."&amp;CHAR(10),"")&amp;IF(IF(ISNUMBER(H192),ROUND(ABS(H192),8)&gt;$F$6,FALSE),"Las líneas difieren del total en más de 0,01; confirmamos cantidad o exclusión."&amp;CHAR(10),"")&amp;IF(P192&gt;0,"Parece m³: encontramos tres dimensiones bajo m²."&amp;CHAR(10),"")&amp;IF(R192&gt;0,"Código repetido dentro del capítulo; mantenemos sus ID separados."&amp;CHAR(10),"")&amp;IF(S192&gt;0,"Código repetido en otro capítulo; no unimos las partidas."&amp;CHAR(10),"")&amp;IF(T192&gt;0,"Mismo código con unidades distintas; pedimos aclaración."&amp;CHAR(10),"")&amp;IF(Q192&gt;0,"Hay más precisión que los decimales indicados; cotejamos el formato original."&amp;CHAR(10),"")&amp;IF(U192&gt;0,"Unidad sin normalizar; cotejamos su significado antes de sumar unidades."&amp;CHAR(10),"")&amp;IF(V192&gt;0,"Revisamos dimensiones, cantidades directas, ceros o deducciones en PEGAR."&amp;CHAR(10),"")))</f>
      </c>
      <c r="K192" s="0">
        <f>IF(180&gt;'RESUMEN'!$E$6,"",MATCH(180,'PEGAR'!$W$13:$W$512,0))</f>
      </c>
      <c r="L192" s="0">
        <f>IF(K192="","",INDEX('PEGAR'!$R$13:$R$512,K192))</f>
      </c>
      <c r="M192" s="0">
        <f>IF(B192="","",COUNTIFS('PEGAR'!$O$13:$O$512,B192,'PEGAR'!$P$13:$P$512,"DIMENSIONES")+COUNTIFS('PEGAR'!$O$13:$O$512,B192,'PEGAR'!$P$13:$P$512,"DIRECTA"))</f>
      </c>
      <c r="N192" s="0">
        <f>IF(B192="","",COUNTIFS('PEGAR'!$O$13:$O$512,B192,'PEGAR'!$X$13:$X$512,2))</f>
      </c>
      <c r="O192" s="0">
        <f>IF(B192="","",COUNTIFS('PEGAR'!$O$13:$O$512,B192,'PEGAR'!$P$13:$P$512,"SIN LÍNEAS"))</f>
      </c>
      <c r="P192" s="0">
        <f>IF(B192="","",SUMIFS('PEGAR'!$Y$13:$Y$512,'PEGAR'!$O$13:$O$512,B192))</f>
      </c>
      <c r="Q192" s="0">
        <f>IF(B192="","",SUMIFS('PEGAR'!$Z$13:$Z$512,'PEGAR'!$O$13:$O$512,B192))</f>
      </c>
      <c r="R192" s="0" t="n">
        <f>IF(OR(B192="",D192=""),0,SUMPRODUCT(--($B$13:$B$512&lt;&gt;""),--($D$13:$D$512=D192),--($C$13:$C$512=C192))-1)</f>
        <v>0</v>
      </c>
      <c r="S192" s="0" t="n">
        <f>IF(OR(B192="",D192=""),0,SUMPRODUCT(--($B$13:$B$512&lt;&gt;""),--($D$13:$D$512=D192),--($C$13:$C$512&lt;&gt;C192)))</f>
        <v>0</v>
      </c>
      <c r="T192" s="0" t="n">
        <f>IF(OR(B192="",D192=""),0,SUMPRODUCT(--($B$13:$B$512&lt;&gt;""),--($D$13:$D$512=D192),--($E$13:$E$512&lt;&gt;E192)))</f>
        <v>0</v>
      </c>
      <c r="U192" s="0" t="n">
        <f>IF(B192="",0,IF(SUMPRODUCT(--('LÉEME'!$C$65:$C$86=E192))=0,1,0))</f>
        <v>0</v>
      </c>
      <c r="V192" s="0">
        <f>IF(B192="","",SUMIFS('PEGAR'!$AA$13:$AA$512,'PEGAR'!$O$13:$O$512,B192))</f>
      </c>
      <c r="W192" s="0">
        <f>IF(B192="","",IF(OR(L192=0,N192&gt;0,T192&gt;0,IF(ISNUMBER(H192),ROUND(ABS(H192),8)&gt;$F$6,FALSE)),2,IF(OR(M192=0,O192&gt;0,P192&gt;0,Q192&gt;0,R192&gt;0,S192&gt;0,U192&gt;0,V192&gt;0),1,0)))</f>
      </c>
      <c r="X192" s="0">
        <f>IF(B192="","",IF(ISNUMBER(G192),1,0))</f>
      </c>
      <c r="AB192" s="0">
        <f>IF(AND(ISNUMBER(W192),W192&gt;0),"ID "&amp;B192,"")</f>
      </c>
      <c r="AC192" s="0">
        <f>IF(AND(ISNUMBER(W192),W192&gt;0),C192,"")</f>
      </c>
      <c r="AD192" s="0">
        <f>IF(AND(ISNUMBER(W192),W192&gt;0),D192,"")</f>
      </c>
      <c r="AE192" s="0">
        <f>IF(AND(ISNUMBER(W192),W192&gt;0),IF(INDEX('PEGAR'!$D$13:$D$512,IF(L192&gt;0,L192,K192))="","Sin descripción",INDEX('PEGAR'!$D$13:$D$512,IF(L192&gt;0,L192,K192))),"")</f>
      </c>
      <c r="AF192" s="0">
        <f>IF(AND(ISNUMBER(W192),W192&gt;0),J192,"")</f>
      </c>
      <c r="AG192" s="0" t="n">
        <f>IF(AND(ISNUMBER(W192),W192&gt;0),W192,0)</f>
        <v>0</v>
      </c>
      <c r="AH192" s="0">
        <f>IF(AG192&gt;0,COUNTIFS($AG$13:AG192,"&gt;0"),"")</f>
      </c>
    </row>
    <row r="193" ht="22" customHeight="1">
      <c r="B193" s="27">
        <f>IF(K193="","",INDEX('PEGAR'!$O$13:$O$512,K193))</f>
      </c>
      <c r="C193" s="30">
        <f>IF(B193="","",IF(LEN(TRIM(INDEX('PEGAR'!$B$13:$B$512,IF(L193&gt;0,L193,K193))&amp;""))=0,"Sin capítulo",TRIM(INDEX('PEGAR'!$B$13:$B$512,IF(L193&gt;0,L193,K193))&amp;"")))</f>
      </c>
      <c r="D193" s="27">
        <f>IF(B193="","",IF(LEN(TRIM(INDEX('PEGAR'!$C$13:$C$512,IF(L193&gt;0,L193,K193))&amp;""))=0,"",TRIM(INDEX('PEGAR'!$C$13:$C$512,IF(L193&gt;0,L193,K193))&amp;"")))</f>
      </c>
      <c r="E193" s="27">
        <f>IF(B193="","",INDEX('PEGAR'!$S$13:$S$512,IF(L193&gt;0,L193,K193)))</f>
      </c>
      <c r="F193" s="39">
        <f>IF(B193="","",IF(L193&gt;0,INDEX('PEGAR'!$F$13:$F$512,L193),""))</f>
      </c>
      <c r="G193" s="39">
        <f>IF(B193="","",IF(OR(M193=0,N193&gt;0,O193&gt;0),"",SUMIFS('PEGAR'!$M$13:$M$512,'PEGAR'!$O$13:$O$512,B193)))</f>
      </c>
      <c r="H193" s="39">
        <f>IF(AND(ISNUMBER(F193),ISNUMBER(G193)),G193-F193,"")</f>
      </c>
      <c r="I193" s="27">
        <f>IF(B193="","",IF(W193=2,"ROJO",IF(W193=1,"ÁMBAR","VERDE")))</f>
      </c>
      <c r="J193" s="30">
        <f>IF(B193="","",IF(W193=0,"Sin avisos numéricos. Revisamos el alcance aparte.",IF(L193=0,"Faltan datos completos de partida; no elegimos un total por suposición."&amp;CHAR(10),"")&amp;IF(N193&gt;0,"Hay filas incompletas o contradictorias; las revisamos en PEGAR."&amp;CHAR(10),"")&amp;IF(O193&gt;0,"Faltan las medidas de alguna fila; no cerramos la suma."&amp;CHAR(10),"")&amp;IF(M193=0,"No constan líneas de medición."&amp;CHAR(10),"")&amp;IF(IF(ISNUMBER(H193),ROUND(ABS(H193),8)&gt;$F$6,FALSE),"Las líneas difieren del total en más de 0,01; confirmamos cantidad o exclusión."&amp;CHAR(10),"")&amp;IF(P193&gt;0,"Parece m³: encontramos tres dimensiones bajo m²."&amp;CHAR(10),"")&amp;IF(R193&gt;0,"Código repetido dentro del capítulo; mantenemos sus ID separados."&amp;CHAR(10),"")&amp;IF(S193&gt;0,"Código repetido en otro capítulo; no unimos las partidas."&amp;CHAR(10),"")&amp;IF(T193&gt;0,"Mismo código con unidades distintas; pedimos aclaración."&amp;CHAR(10),"")&amp;IF(Q193&gt;0,"Hay más precisión que los decimales indicados; cotejamos el formato original."&amp;CHAR(10),"")&amp;IF(U193&gt;0,"Unidad sin normalizar; cotejamos su significado antes de sumar unidades."&amp;CHAR(10),"")&amp;IF(V193&gt;0,"Revisamos dimensiones, cantidades directas, ceros o deducciones en PEGAR."&amp;CHAR(10),"")))</f>
      </c>
      <c r="K193" s="0">
        <f>IF(181&gt;'RESUMEN'!$E$6,"",MATCH(181,'PEGAR'!$W$13:$W$512,0))</f>
      </c>
      <c r="L193" s="0">
        <f>IF(K193="","",INDEX('PEGAR'!$R$13:$R$512,K193))</f>
      </c>
      <c r="M193" s="0">
        <f>IF(B193="","",COUNTIFS('PEGAR'!$O$13:$O$512,B193,'PEGAR'!$P$13:$P$512,"DIMENSIONES")+COUNTIFS('PEGAR'!$O$13:$O$512,B193,'PEGAR'!$P$13:$P$512,"DIRECTA"))</f>
      </c>
      <c r="N193" s="0">
        <f>IF(B193="","",COUNTIFS('PEGAR'!$O$13:$O$512,B193,'PEGAR'!$X$13:$X$512,2))</f>
      </c>
      <c r="O193" s="0">
        <f>IF(B193="","",COUNTIFS('PEGAR'!$O$13:$O$512,B193,'PEGAR'!$P$13:$P$512,"SIN LÍNEAS"))</f>
      </c>
      <c r="P193" s="0">
        <f>IF(B193="","",SUMIFS('PEGAR'!$Y$13:$Y$512,'PEGAR'!$O$13:$O$512,B193))</f>
      </c>
      <c r="Q193" s="0">
        <f>IF(B193="","",SUMIFS('PEGAR'!$Z$13:$Z$512,'PEGAR'!$O$13:$O$512,B193))</f>
      </c>
      <c r="R193" s="0" t="n">
        <f>IF(OR(B193="",D193=""),0,SUMPRODUCT(--($B$13:$B$512&lt;&gt;""),--($D$13:$D$512=D193),--($C$13:$C$512=C193))-1)</f>
        <v>0</v>
      </c>
      <c r="S193" s="0" t="n">
        <f>IF(OR(B193="",D193=""),0,SUMPRODUCT(--($B$13:$B$512&lt;&gt;""),--($D$13:$D$512=D193),--($C$13:$C$512&lt;&gt;C193)))</f>
        <v>0</v>
      </c>
      <c r="T193" s="0" t="n">
        <f>IF(OR(B193="",D193=""),0,SUMPRODUCT(--($B$13:$B$512&lt;&gt;""),--($D$13:$D$512=D193),--($E$13:$E$512&lt;&gt;E193)))</f>
        <v>0</v>
      </c>
      <c r="U193" s="0" t="n">
        <f>IF(B193="",0,IF(SUMPRODUCT(--('LÉEME'!$C$65:$C$86=E193))=0,1,0))</f>
        <v>0</v>
      </c>
      <c r="V193" s="0">
        <f>IF(B193="","",SUMIFS('PEGAR'!$AA$13:$AA$512,'PEGAR'!$O$13:$O$512,B193))</f>
      </c>
      <c r="W193" s="0">
        <f>IF(B193="","",IF(OR(L193=0,N193&gt;0,T193&gt;0,IF(ISNUMBER(H193),ROUND(ABS(H193),8)&gt;$F$6,FALSE)),2,IF(OR(M193=0,O193&gt;0,P193&gt;0,Q193&gt;0,R193&gt;0,S193&gt;0,U193&gt;0,V193&gt;0),1,0)))</f>
      </c>
      <c r="X193" s="0">
        <f>IF(B193="","",IF(ISNUMBER(G193),1,0))</f>
      </c>
      <c r="AB193" s="0">
        <f>IF(AND(ISNUMBER(W193),W193&gt;0),"ID "&amp;B193,"")</f>
      </c>
      <c r="AC193" s="0">
        <f>IF(AND(ISNUMBER(W193),W193&gt;0),C193,"")</f>
      </c>
      <c r="AD193" s="0">
        <f>IF(AND(ISNUMBER(W193),W193&gt;0),D193,"")</f>
      </c>
      <c r="AE193" s="0">
        <f>IF(AND(ISNUMBER(W193),W193&gt;0),IF(INDEX('PEGAR'!$D$13:$D$512,IF(L193&gt;0,L193,K193))="","Sin descripción",INDEX('PEGAR'!$D$13:$D$512,IF(L193&gt;0,L193,K193))),"")</f>
      </c>
      <c r="AF193" s="0">
        <f>IF(AND(ISNUMBER(W193),W193&gt;0),J193,"")</f>
      </c>
      <c r="AG193" s="0" t="n">
        <f>IF(AND(ISNUMBER(W193),W193&gt;0),W193,0)</f>
        <v>0</v>
      </c>
      <c r="AH193" s="0">
        <f>IF(AG193&gt;0,COUNTIFS($AG$13:AG193,"&gt;0"),"")</f>
      </c>
    </row>
    <row r="194" ht="22" customHeight="1">
      <c r="B194" s="27">
        <f>IF(K194="","",INDEX('PEGAR'!$O$13:$O$512,K194))</f>
      </c>
      <c r="C194" s="30">
        <f>IF(B194="","",IF(LEN(TRIM(INDEX('PEGAR'!$B$13:$B$512,IF(L194&gt;0,L194,K194))&amp;""))=0,"Sin capítulo",TRIM(INDEX('PEGAR'!$B$13:$B$512,IF(L194&gt;0,L194,K194))&amp;"")))</f>
      </c>
      <c r="D194" s="27">
        <f>IF(B194="","",IF(LEN(TRIM(INDEX('PEGAR'!$C$13:$C$512,IF(L194&gt;0,L194,K194))&amp;""))=0,"",TRIM(INDEX('PEGAR'!$C$13:$C$512,IF(L194&gt;0,L194,K194))&amp;"")))</f>
      </c>
      <c r="E194" s="27">
        <f>IF(B194="","",INDEX('PEGAR'!$S$13:$S$512,IF(L194&gt;0,L194,K194)))</f>
      </c>
      <c r="F194" s="39">
        <f>IF(B194="","",IF(L194&gt;0,INDEX('PEGAR'!$F$13:$F$512,L194),""))</f>
      </c>
      <c r="G194" s="39">
        <f>IF(B194="","",IF(OR(M194=0,N194&gt;0,O194&gt;0),"",SUMIFS('PEGAR'!$M$13:$M$512,'PEGAR'!$O$13:$O$512,B194)))</f>
      </c>
      <c r="H194" s="39">
        <f>IF(AND(ISNUMBER(F194),ISNUMBER(G194)),G194-F194,"")</f>
      </c>
      <c r="I194" s="27">
        <f>IF(B194="","",IF(W194=2,"ROJO",IF(W194=1,"ÁMBAR","VERDE")))</f>
      </c>
      <c r="J194" s="30">
        <f>IF(B194="","",IF(W194=0,"Sin avisos numéricos. Revisamos el alcance aparte.",IF(L194=0,"Faltan datos completos de partida; no elegimos un total por suposición."&amp;CHAR(10),"")&amp;IF(N194&gt;0,"Hay filas incompletas o contradictorias; las revisamos en PEGAR."&amp;CHAR(10),"")&amp;IF(O194&gt;0,"Faltan las medidas de alguna fila; no cerramos la suma."&amp;CHAR(10),"")&amp;IF(M194=0,"No constan líneas de medición."&amp;CHAR(10),"")&amp;IF(IF(ISNUMBER(H194),ROUND(ABS(H194),8)&gt;$F$6,FALSE),"Las líneas difieren del total en más de 0,01; confirmamos cantidad o exclusión."&amp;CHAR(10),"")&amp;IF(P194&gt;0,"Parece m³: encontramos tres dimensiones bajo m²."&amp;CHAR(10),"")&amp;IF(R194&gt;0,"Código repetido dentro del capítulo; mantenemos sus ID separados."&amp;CHAR(10),"")&amp;IF(S194&gt;0,"Código repetido en otro capítulo; no unimos las partidas."&amp;CHAR(10),"")&amp;IF(T194&gt;0,"Mismo código con unidades distintas; pedimos aclaración."&amp;CHAR(10),"")&amp;IF(Q194&gt;0,"Hay más precisión que los decimales indicados; cotejamos el formato original."&amp;CHAR(10),"")&amp;IF(U194&gt;0,"Unidad sin normalizar; cotejamos su significado antes de sumar unidades."&amp;CHAR(10),"")&amp;IF(V194&gt;0,"Revisamos dimensiones, cantidades directas, ceros o deducciones en PEGAR."&amp;CHAR(10),"")))</f>
      </c>
      <c r="K194" s="0">
        <f>IF(182&gt;'RESUMEN'!$E$6,"",MATCH(182,'PEGAR'!$W$13:$W$512,0))</f>
      </c>
      <c r="L194" s="0">
        <f>IF(K194="","",INDEX('PEGAR'!$R$13:$R$512,K194))</f>
      </c>
      <c r="M194" s="0">
        <f>IF(B194="","",COUNTIFS('PEGAR'!$O$13:$O$512,B194,'PEGAR'!$P$13:$P$512,"DIMENSIONES")+COUNTIFS('PEGAR'!$O$13:$O$512,B194,'PEGAR'!$P$13:$P$512,"DIRECTA"))</f>
      </c>
      <c r="N194" s="0">
        <f>IF(B194="","",COUNTIFS('PEGAR'!$O$13:$O$512,B194,'PEGAR'!$X$13:$X$512,2))</f>
      </c>
      <c r="O194" s="0">
        <f>IF(B194="","",COUNTIFS('PEGAR'!$O$13:$O$512,B194,'PEGAR'!$P$13:$P$512,"SIN LÍNEAS"))</f>
      </c>
      <c r="P194" s="0">
        <f>IF(B194="","",SUMIFS('PEGAR'!$Y$13:$Y$512,'PEGAR'!$O$13:$O$512,B194))</f>
      </c>
      <c r="Q194" s="0">
        <f>IF(B194="","",SUMIFS('PEGAR'!$Z$13:$Z$512,'PEGAR'!$O$13:$O$512,B194))</f>
      </c>
      <c r="R194" s="0" t="n">
        <f>IF(OR(B194="",D194=""),0,SUMPRODUCT(--($B$13:$B$512&lt;&gt;""),--($D$13:$D$512=D194),--($C$13:$C$512=C194))-1)</f>
        <v>0</v>
      </c>
      <c r="S194" s="0" t="n">
        <f>IF(OR(B194="",D194=""),0,SUMPRODUCT(--($B$13:$B$512&lt;&gt;""),--($D$13:$D$512=D194),--($C$13:$C$512&lt;&gt;C194)))</f>
        <v>0</v>
      </c>
      <c r="T194" s="0" t="n">
        <f>IF(OR(B194="",D194=""),0,SUMPRODUCT(--($B$13:$B$512&lt;&gt;""),--($D$13:$D$512=D194),--($E$13:$E$512&lt;&gt;E194)))</f>
        <v>0</v>
      </c>
      <c r="U194" s="0" t="n">
        <f>IF(B194="",0,IF(SUMPRODUCT(--('LÉEME'!$C$65:$C$86=E194))=0,1,0))</f>
        <v>0</v>
      </c>
      <c r="V194" s="0">
        <f>IF(B194="","",SUMIFS('PEGAR'!$AA$13:$AA$512,'PEGAR'!$O$13:$O$512,B194))</f>
      </c>
      <c r="W194" s="0">
        <f>IF(B194="","",IF(OR(L194=0,N194&gt;0,T194&gt;0,IF(ISNUMBER(H194),ROUND(ABS(H194),8)&gt;$F$6,FALSE)),2,IF(OR(M194=0,O194&gt;0,P194&gt;0,Q194&gt;0,R194&gt;0,S194&gt;0,U194&gt;0,V194&gt;0),1,0)))</f>
      </c>
      <c r="X194" s="0">
        <f>IF(B194="","",IF(ISNUMBER(G194),1,0))</f>
      </c>
      <c r="AB194" s="0">
        <f>IF(AND(ISNUMBER(W194),W194&gt;0),"ID "&amp;B194,"")</f>
      </c>
      <c r="AC194" s="0">
        <f>IF(AND(ISNUMBER(W194),W194&gt;0),C194,"")</f>
      </c>
      <c r="AD194" s="0">
        <f>IF(AND(ISNUMBER(W194),W194&gt;0),D194,"")</f>
      </c>
      <c r="AE194" s="0">
        <f>IF(AND(ISNUMBER(W194),W194&gt;0),IF(INDEX('PEGAR'!$D$13:$D$512,IF(L194&gt;0,L194,K194))="","Sin descripción",INDEX('PEGAR'!$D$13:$D$512,IF(L194&gt;0,L194,K194))),"")</f>
      </c>
      <c r="AF194" s="0">
        <f>IF(AND(ISNUMBER(W194),W194&gt;0),J194,"")</f>
      </c>
      <c r="AG194" s="0" t="n">
        <f>IF(AND(ISNUMBER(W194),W194&gt;0),W194,0)</f>
        <v>0</v>
      </c>
      <c r="AH194" s="0">
        <f>IF(AG194&gt;0,COUNTIFS($AG$13:AG194,"&gt;0"),"")</f>
      </c>
    </row>
    <row r="195" ht="22" customHeight="1">
      <c r="B195" s="27">
        <f>IF(K195="","",INDEX('PEGAR'!$O$13:$O$512,K195))</f>
      </c>
      <c r="C195" s="30">
        <f>IF(B195="","",IF(LEN(TRIM(INDEX('PEGAR'!$B$13:$B$512,IF(L195&gt;0,L195,K195))&amp;""))=0,"Sin capítulo",TRIM(INDEX('PEGAR'!$B$13:$B$512,IF(L195&gt;0,L195,K195))&amp;"")))</f>
      </c>
      <c r="D195" s="27">
        <f>IF(B195="","",IF(LEN(TRIM(INDEX('PEGAR'!$C$13:$C$512,IF(L195&gt;0,L195,K195))&amp;""))=0,"",TRIM(INDEX('PEGAR'!$C$13:$C$512,IF(L195&gt;0,L195,K195))&amp;"")))</f>
      </c>
      <c r="E195" s="27">
        <f>IF(B195="","",INDEX('PEGAR'!$S$13:$S$512,IF(L195&gt;0,L195,K195)))</f>
      </c>
      <c r="F195" s="39">
        <f>IF(B195="","",IF(L195&gt;0,INDEX('PEGAR'!$F$13:$F$512,L195),""))</f>
      </c>
      <c r="G195" s="39">
        <f>IF(B195="","",IF(OR(M195=0,N195&gt;0,O195&gt;0),"",SUMIFS('PEGAR'!$M$13:$M$512,'PEGAR'!$O$13:$O$512,B195)))</f>
      </c>
      <c r="H195" s="39">
        <f>IF(AND(ISNUMBER(F195),ISNUMBER(G195)),G195-F195,"")</f>
      </c>
      <c r="I195" s="27">
        <f>IF(B195="","",IF(W195=2,"ROJO",IF(W195=1,"ÁMBAR","VERDE")))</f>
      </c>
      <c r="J195" s="30">
        <f>IF(B195="","",IF(W195=0,"Sin avisos numéricos. Revisamos el alcance aparte.",IF(L195=0,"Faltan datos completos de partida; no elegimos un total por suposición."&amp;CHAR(10),"")&amp;IF(N195&gt;0,"Hay filas incompletas o contradictorias; las revisamos en PEGAR."&amp;CHAR(10),"")&amp;IF(O195&gt;0,"Faltan las medidas de alguna fila; no cerramos la suma."&amp;CHAR(10),"")&amp;IF(M195=0,"No constan líneas de medición."&amp;CHAR(10),"")&amp;IF(IF(ISNUMBER(H195),ROUND(ABS(H195),8)&gt;$F$6,FALSE),"Las líneas difieren del total en más de 0,01; confirmamos cantidad o exclusión."&amp;CHAR(10),"")&amp;IF(P195&gt;0,"Parece m³: encontramos tres dimensiones bajo m²."&amp;CHAR(10),"")&amp;IF(R195&gt;0,"Código repetido dentro del capítulo; mantenemos sus ID separados."&amp;CHAR(10),"")&amp;IF(S195&gt;0,"Código repetido en otro capítulo; no unimos las partidas."&amp;CHAR(10),"")&amp;IF(T195&gt;0,"Mismo código con unidades distintas; pedimos aclaración."&amp;CHAR(10),"")&amp;IF(Q195&gt;0,"Hay más precisión que los decimales indicados; cotejamos el formato original."&amp;CHAR(10),"")&amp;IF(U195&gt;0,"Unidad sin normalizar; cotejamos su significado antes de sumar unidades."&amp;CHAR(10),"")&amp;IF(V195&gt;0,"Revisamos dimensiones, cantidades directas, ceros o deducciones en PEGAR."&amp;CHAR(10),"")))</f>
      </c>
      <c r="K195" s="0">
        <f>IF(183&gt;'RESUMEN'!$E$6,"",MATCH(183,'PEGAR'!$W$13:$W$512,0))</f>
      </c>
      <c r="L195" s="0">
        <f>IF(K195="","",INDEX('PEGAR'!$R$13:$R$512,K195))</f>
      </c>
      <c r="M195" s="0">
        <f>IF(B195="","",COUNTIFS('PEGAR'!$O$13:$O$512,B195,'PEGAR'!$P$13:$P$512,"DIMENSIONES")+COUNTIFS('PEGAR'!$O$13:$O$512,B195,'PEGAR'!$P$13:$P$512,"DIRECTA"))</f>
      </c>
      <c r="N195" s="0">
        <f>IF(B195="","",COUNTIFS('PEGAR'!$O$13:$O$512,B195,'PEGAR'!$X$13:$X$512,2))</f>
      </c>
      <c r="O195" s="0">
        <f>IF(B195="","",COUNTIFS('PEGAR'!$O$13:$O$512,B195,'PEGAR'!$P$13:$P$512,"SIN LÍNEAS"))</f>
      </c>
      <c r="P195" s="0">
        <f>IF(B195="","",SUMIFS('PEGAR'!$Y$13:$Y$512,'PEGAR'!$O$13:$O$512,B195))</f>
      </c>
      <c r="Q195" s="0">
        <f>IF(B195="","",SUMIFS('PEGAR'!$Z$13:$Z$512,'PEGAR'!$O$13:$O$512,B195))</f>
      </c>
      <c r="R195" s="0" t="n">
        <f>IF(OR(B195="",D195=""),0,SUMPRODUCT(--($B$13:$B$512&lt;&gt;""),--($D$13:$D$512=D195),--($C$13:$C$512=C195))-1)</f>
        <v>0</v>
      </c>
      <c r="S195" s="0" t="n">
        <f>IF(OR(B195="",D195=""),0,SUMPRODUCT(--($B$13:$B$512&lt;&gt;""),--($D$13:$D$512=D195),--($C$13:$C$512&lt;&gt;C195)))</f>
        <v>0</v>
      </c>
      <c r="T195" s="0" t="n">
        <f>IF(OR(B195="",D195=""),0,SUMPRODUCT(--($B$13:$B$512&lt;&gt;""),--($D$13:$D$512=D195),--($E$13:$E$512&lt;&gt;E195)))</f>
        <v>0</v>
      </c>
      <c r="U195" s="0" t="n">
        <f>IF(B195="",0,IF(SUMPRODUCT(--('LÉEME'!$C$65:$C$86=E195))=0,1,0))</f>
        <v>0</v>
      </c>
      <c r="V195" s="0">
        <f>IF(B195="","",SUMIFS('PEGAR'!$AA$13:$AA$512,'PEGAR'!$O$13:$O$512,B195))</f>
      </c>
      <c r="W195" s="0">
        <f>IF(B195="","",IF(OR(L195=0,N195&gt;0,T195&gt;0,IF(ISNUMBER(H195),ROUND(ABS(H195),8)&gt;$F$6,FALSE)),2,IF(OR(M195=0,O195&gt;0,P195&gt;0,Q195&gt;0,R195&gt;0,S195&gt;0,U195&gt;0,V195&gt;0),1,0)))</f>
      </c>
      <c r="X195" s="0">
        <f>IF(B195="","",IF(ISNUMBER(G195),1,0))</f>
      </c>
      <c r="AB195" s="0">
        <f>IF(AND(ISNUMBER(W195),W195&gt;0),"ID "&amp;B195,"")</f>
      </c>
      <c r="AC195" s="0">
        <f>IF(AND(ISNUMBER(W195),W195&gt;0),C195,"")</f>
      </c>
      <c r="AD195" s="0">
        <f>IF(AND(ISNUMBER(W195),W195&gt;0),D195,"")</f>
      </c>
      <c r="AE195" s="0">
        <f>IF(AND(ISNUMBER(W195),W195&gt;0),IF(INDEX('PEGAR'!$D$13:$D$512,IF(L195&gt;0,L195,K195))="","Sin descripción",INDEX('PEGAR'!$D$13:$D$512,IF(L195&gt;0,L195,K195))),"")</f>
      </c>
      <c r="AF195" s="0">
        <f>IF(AND(ISNUMBER(W195),W195&gt;0),J195,"")</f>
      </c>
      <c r="AG195" s="0" t="n">
        <f>IF(AND(ISNUMBER(W195),W195&gt;0),W195,0)</f>
        <v>0</v>
      </c>
      <c r="AH195" s="0">
        <f>IF(AG195&gt;0,COUNTIFS($AG$13:AG195,"&gt;0"),"")</f>
      </c>
    </row>
    <row r="196" ht="22" customHeight="1">
      <c r="B196" s="27">
        <f>IF(K196="","",INDEX('PEGAR'!$O$13:$O$512,K196))</f>
      </c>
      <c r="C196" s="30">
        <f>IF(B196="","",IF(LEN(TRIM(INDEX('PEGAR'!$B$13:$B$512,IF(L196&gt;0,L196,K196))&amp;""))=0,"Sin capítulo",TRIM(INDEX('PEGAR'!$B$13:$B$512,IF(L196&gt;0,L196,K196))&amp;"")))</f>
      </c>
      <c r="D196" s="27">
        <f>IF(B196="","",IF(LEN(TRIM(INDEX('PEGAR'!$C$13:$C$512,IF(L196&gt;0,L196,K196))&amp;""))=0,"",TRIM(INDEX('PEGAR'!$C$13:$C$512,IF(L196&gt;0,L196,K196))&amp;"")))</f>
      </c>
      <c r="E196" s="27">
        <f>IF(B196="","",INDEX('PEGAR'!$S$13:$S$512,IF(L196&gt;0,L196,K196)))</f>
      </c>
      <c r="F196" s="39">
        <f>IF(B196="","",IF(L196&gt;0,INDEX('PEGAR'!$F$13:$F$512,L196),""))</f>
      </c>
      <c r="G196" s="39">
        <f>IF(B196="","",IF(OR(M196=0,N196&gt;0,O196&gt;0),"",SUMIFS('PEGAR'!$M$13:$M$512,'PEGAR'!$O$13:$O$512,B196)))</f>
      </c>
      <c r="H196" s="39">
        <f>IF(AND(ISNUMBER(F196),ISNUMBER(G196)),G196-F196,"")</f>
      </c>
      <c r="I196" s="27">
        <f>IF(B196="","",IF(W196=2,"ROJO",IF(W196=1,"ÁMBAR","VERDE")))</f>
      </c>
      <c r="J196" s="30">
        <f>IF(B196="","",IF(W196=0,"Sin avisos numéricos. Revisamos el alcance aparte.",IF(L196=0,"Faltan datos completos de partida; no elegimos un total por suposición."&amp;CHAR(10),"")&amp;IF(N196&gt;0,"Hay filas incompletas o contradictorias; las revisamos en PEGAR."&amp;CHAR(10),"")&amp;IF(O196&gt;0,"Faltan las medidas de alguna fila; no cerramos la suma."&amp;CHAR(10),"")&amp;IF(M196=0,"No constan líneas de medición."&amp;CHAR(10),"")&amp;IF(IF(ISNUMBER(H196),ROUND(ABS(H196),8)&gt;$F$6,FALSE),"Las líneas difieren del total en más de 0,01; confirmamos cantidad o exclusión."&amp;CHAR(10),"")&amp;IF(P196&gt;0,"Parece m³: encontramos tres dimensiones bajo m²."&amp;CHAR(10),"")&amp;IF(R196&gt;0,"Código repetido dentro del capítulo; mantenemos sus ID separados."&amp;CHAR(10),"")&amp;IF(S196&gt;0,"Código repetido en otro capítulo; no unimos las partidas."&amp;CHAR(10),"")&amp;IF(T196&gt;0,"Mismo código con unidades distintas; pedimos aclaración."&amp;CHAR(10),"")&amp;IF(Q196&gt;0,"Hay más precisión que los decimales indicados; cotejamos el formato original."&amp;CHAR(10),"")&amp;IF(U196&gt;0,"Unidad sin normalizar; cotejamos su significado antes de sumar unidades."&amp;CHAR(10),"")&amp;IF(V196&gt;0,"Revisamos dimensiones, cantidades directas, ceros o deducciones en PEGAR."&amp;CHAR(10),"")))</f>
      </c>
      <c r="K196" s="0">
        <f>IF(184&gt;'RESUMEN'!$E$6,"",MATCH(184,'PEGAR'!$W$13:$W$512,0))</f>
      </c>
      <c r="L196" s="0">
        <f>IF(K196="","",INDEX('PEGAR'!$R$13:$R$512,K196))</f>
      </c>
      <c r="M196" s="0">
        <f>IF(B196="","",COUNTIFS('PEGAR'!$O$13:$O$512,B196,'PEGAR'!$P$13:$P$512,"DIMENSIONES")+COUNTIFS('PEGAR'!$O$13:$O$512,B196,'PEGAR'!$P$13:$P$512,"DIRECTA"))</f>
      </c>
      <c r="N196" s="0">
        <f>IF(B196="","",COUNTIFS('PEGAR'!$O$13:$O$512,B196,'PEGAR'!$X$13:$X$512,2))</f>
      </c>
      <c r="O196" s="0">
        <f>IF(B196="","",COUNTIFS('PEGAR'!$O$13:$O$512,B196,'PEGAR'!$P$13:$P$512,"SIN LÍNEAS"))</f>
      </c>
      <c r="P196" s="0">
        <f>IF(B196="","",SUMIFS('PEGAR'!$Y$13:$Y$512,'PEGAR'!$O$13:$O$512,B196))</f>
      </c>
      <c r="Q196" s="0">
        <f>IF(B196="","",SUMIFS('PEGAR'!$Z$13:$Z$512,'PEGAR'!$O$13:$O$512,B196))</f>
      </c>
      <c r="R196" s="0" t="n">
        <f>IF(OR(B196="",D196=""),0,SUMPRODUCT(--($B$13:$B$512&lt;&gt;""),--($D$13:$D$512=D196),--($C$13:$C$512=C196))-1)</f>
        <v>0</v>
      </c>
      <c r="S196" s="0" t="n">
        <f>IF(OR(B196="",D196=""),0,SUMPRODUCT(--($B$13:$B$512&lt;&gt;""),--($D$13:$D$512=D196),--($C$13:$C$512&lt;&gt;C196)))</f>
        <v>0</v>
      </c>
      <c r="T196" s="0" t="n">
        <f>IF(OR(B196="",D196=""),0,SUMPRODUCT(--($B$13:$B$512&lt;&gt;""),--($D$13:$D$512=D196),--($E$13:$E$512&lt;&gt;E196)))</f>
        <v>0</v>
      </c>
      <c r="U196" s="0" t="n">
        <f>IF(B196="",0,IF(SUMPRODUCT(--('LÉEME'!$C$65:$C$86=E196))=0,1,0))</f>
        <v>0</v>
      </c>
      <c r="V196" s="0">
        <f>IF(B196="","",SUMIFS('PEGAR'!$AA$13:$AA$512,'PEGAR'!$O$13:$O$512,B196))</f>
      </c>
      <c r="W196" s="0">
        <f>IF(B196="","",IF(OR(L196=0,N196&gt;0,T196&gt;0,IF(ISNUMBER(H196),ROUND(ABS(H196),8)&gt;$F$6,FALSE)),2,IF(OR(M196=0,O196&gt;0,P196&gt;0,Q196&gt;0,R196&gt;0,S196&gt;0,U196&gt;0,V196&gt;0),1,0)))</f>
      </c>
      <c r="X196" s="0">
        <f>IF(B196="","",IF(ISNUMBER(G196),1,0))</f>
      </c>
      <c r="AB196" s="0">
        <f>IF(AND(ISNUMBER(W196),W196&gt;0),"ID "&amp;B196,"")</f>
      </c>
      <c r="AC196" s="0">
        <f>IF(AND(ISNUMBER(W196),W196&gt;0),C196,"")</f>
      </c>
      <c r="AD196" s="0">
        <f>IF(AND(ISNUMBER(W196),W196&gt;0),D196,"")</f>
      </c>
      <c r="AE196" s="0">
        <f>IF(AND(ISNUMBER(W196),W196&gt;0),IF(INDEX('PEGAR'!$D$13:$D$512,IF(L196&gt;0,L196,K196))="","Sin descripción",INDEX('PEGAR'!$D$13:$D$512,IF(L196&gt;0,L196,K196))),"")</f>
      </c>
      <c r="AF196" s="0">
        <f>IF(AND(ISNUMBER(W196),W196&gt;0),J196,"")</f>
      </c>
      <c r="AG196" s="0" t="n">
        <f>IF(AND(ISNUMBER(W196),W196&gt;0),W196,0)</f>
        <v>0</v>
      </c>
      <c r="AH196" s="0">
        <f>IF(AG196&gt;0,COUNTIFS($AG$13:AG196,"&gt;0"),"")</f>
      </c>
    </row>
    <row r="197" ht="22" customHeight="1">
      <c r="B197" s="27">
        <f>IF(K197="","",INDEX('PEGAR'!$O$13:$O$512,K197))</f>
      </c>
      <c r="C197" s="30">
        <f>IF(B197="","",IF(LEN(TRIM(INDEX('PEGAR'!$B$13:$B$512,IF(L197&gt;0,L197,K197))&amp;""))=0,"Sin capítulo",TRIM(INDEX('PEGAR'!$B$13:$B$512,IF(L197&gt;0,L197,K197))&amp;"")))</f>
      </c>
      <c r="D197" s="27">
        <f>IF(B197="","",IF(LEN(TRIM(INDEX('PEGAR'!$C$13:$C$512,IF(L197&gt;0,L197,K197))&amp;""))=0,"",TRIM(INDEX('PEGAR'!$C$13:$C$512,IF(L197&gt;0,L197,K197))&amp;"")))</f>
      </c>
      <c r="E197" s="27">
        <f>IF(B197="","",INDEX('PEGAR'!$S$13:$S$512,IF(L197&gt;0,L197,K197)))</f>
      </c>
      <c r="F197" s="39">
        <f>IF(B197="","",IF(L197&gt;0,INDEX('PEGAR'!$F$13:$F$512,L197),""))</f>
      </c>
      <c r="G197" s="39">
        <f>IF(B197="","",IF(OR(M197=0,N197&gt;0,O197&gt;0),"",SUMIFS('PEGAR'!$M$13:$M$512,'PEGAR'!$O$13:$O$512,B197)))</f>
      </c>
      <c r="H197" s="39">
        <f>IF(AND(ISNUMBER(F197),ISNUMBER(G197)),G197-F197,"")</f>
      </c>
      <c r="I197" s="27">
        <f>IF(B197="","",IF(W197=2,"ROJO",IF(W197=1,"ÁMBAR","VERDE")))</f>
      </c>
      <c r="J197" s="30">
        <f>IF(B197="","",IF(W197=0,"Sin avisos numéricos. Revisamos el alcance aparte.",IF(L197=0,"Faltan datos completos de partida; no elegimos un total por suposición."&amp;CHAR(10),"")&amp;IF(N197&gt;0,"Hay filas incompletas o contradictorias; las revisamos en PEGAR."&amp;CHAR(10),"")&amp;IF(O197&gt;0,"Faltan las medidas de alguna fila; no cerramos la suma."&amp;CHAR(10),"")&amp;IF(M197=0,"No constan líneas de medición."&amp;CHAR(10),"")&amp;IF(IF(ISNUMBER(H197),ROUND(ABS(H197),8)&gt;$F$6,FALSE),"Las líneas difieren del total en más de 0,01; confirmamos cantidad o exclusión."&amp;CHAR(10),"")&amp;IF(P197&gt;0,"Parece m³: encontramos tres dimensiones bajo m²."&amp;CHAR(10),"")&amp;IF(R197&gt;0,"Código repetido dentro del capítulo; mantenemos sus ID separados."&amp;CHAR(10),"")&amp;IF(S197&gt;0,"Código repetido en otro capítulo; no unimos las partidas."&amp;CHAR(10),"")&amp;IF(T197&gt;0,"Mismo código con unidades distintas; pedimos aclaración."&amp;CHAR(10),"")&amp;IF(Q197&gt;0,"Hay más precisión que los decimales indicados; cotejamos el formato original."&amp;CHAR(10),"")&amp;IF(U197&gt;0,"Unidad sin normalizar; cotejamos su significado antes de sumar unidades."&amp;CHAR(10),"")&amp;IF(V197&gt;0,"Revisamos dimensiones, cantidades directas, ceros o deducciones en PEGAR."&amp;CHAR(10),"")))</f>
      </c>
      <c r="K197" s="0">
        <f>IF(185&gt;'RESUMEN'!$E$6,"",MATCH(185,'PEGAR'!$W$13:$W$512,0))</f>
      </c>
      <c r="L197" s="0">
        <f>IF(K197="","",INDEX('PEGAR'!$R$13:$R$512,K197))</f>
      </c>
      <c r="M197" s="0">
        <f>IF(B197="","",COUNTIFS('PEGAR'!$O$13:$O$512,B197,'PEGAR'!$P$13:$P$512,"DIMENSIONES")+COUNTIFS('PEGAR'!$O$13:$O$512,B197,'PEGAR'!$P$13:$P$512,"DIRECTA"))</f>
      </c>
      <c r="N197" s="0">
        <f>IF(B197="","",COUNTIFS('PEGAR'!$O$13:$O$512,B197,'PEGAR'!$X$13:$X$512,2))</f>
      </c>
      <c r="O197" s="0">
        <f>IF(B197="","",COUNTIFS('PEGAR'!$O$13:$O$512,B197,'PEGAR'!$P$13:$P$512,"SIN LÍNEAS"))</f>
      </c>
      <c r="P197" s="0">
        <f>IF(B197="","",SUMIFS('PEGAR'!$Y$13:$Y$512,'PEGAR'!$O$13:$O$512,B197))</f>
      </c>
      <c r="Q197" s="0">
        <f>IF(B197="","",SUMIFS('PEGAR'!$Z$13:$Z$512,'PEGAR'!$O$13:$O$512,B197))</f>
      </c>
      <c r="R197" s="0" t="n">
        <f>IF(OR(B197="",D197=""),0,SUMPRODUCT(--($B$13:$B$512&lt;&gt;""),--($D$13:$D$512=D197),--($C$13:$C$512=C197))-1)</f>
        <v>0</v>
      </c>
      <c r="S197" s="0" t="n">
        <f>IF(OR(B197="",D197=""),0,SUMPRODUCT(--($B$13:$B$512&lt;&gt;""),--($D$13:$D$512=D197),--($C$13:$C$512&lt;&gt;C197)))</f>
        <v>0</v>
      </c>
      <c r="T197" s="0" t="n">
        <f>IF(OR(B197="",D197=""),0,SUMPRODUCT(--($B$13:$B$512&lt;&gt;""),--($D$13:$D$512=D197),--($E$13:$E$512&lt;&gt;E197)))</f>
        <v>0</v>
      </c>
      <c r="U197" s="0" t="n">
        <f>IF(B197="",0,IF(SUMPRODUCT(--('LÉEME'!$C$65:$C$86=E197))=0,1,0))</f>
        <v>0</v>
      </c>
      <c r="V197" s="0">
        <f>IF(B197="","",SUMIFS('PEGAR'!$AA$13:$AA$512,'PEGAR'!$O$13:$O$512,B197))</f>
      </c>
      <c r="W197" s="0">
        <f>IF(B197="","",IF(OR(L197=0,N197&gt;0,T197&gt;0,IF(ISNUMBER(H197),ROUND(ABS(H197),8)&gt;$F$6,FALSE)),2,IF(OR(M197=0,O197&gt;0,P197&gt;0,Q197&gt;0,R197&gt;0,S197&gt;0,U197&gt;0,V197&gt;0),1,0)))</f>
      </c>
      <c r="X197" s="0">
        <f>IF(B197="","",IF(ISNUMBER(G197),1,0))</f>
      </c>
      <c r="AB197" s="0">
        <f>IF(AND(ISNUMBER(W197),W197&gt;0),"ID "&amp;B197,"")</f>
      </c>
      <c r="AC197" s="0">
        <f>IF(AND(ISNUMBER(W197),W197&gt;0),C197,"")</f>
      </c>
      <c r="AD197" s="0">
        <f>IF(AND(ISNUMBER(W197),W197&gt;0),D197,"")</f>
      </c>
      <c r="AE197" s="0">
        <f>IF(AND(ISNUMBER(W197),W197&gt;0),IF(INDEX('PEGAR'!$D$13:$D$512,IF(L197&gt;0,L197,K197))="","Sin descripción",INDEX('PEGAR'!$D$13:$D$512,IF(L197&gt;0,L197,K197))),"")</f>
      </c>
      <c r="AF197" s="0">
        <f>IF(AND(ISNUMBER(W197),W197&gt;0),J197,"")</f>
      </c>
      <c r="AG197" s="0" t="n">
        <f>IF(AND(ISNUMBER(W197),W197&gt;0),W197,0)</f>
        <v>0</v>
      </c>
      <c r="AH197" s="0">
        <f>IF(AG197&gt;0,COUNTIFS($AG$13:AG197,"&gt;0"),"")</f>
      </c>
    </row>
    <row r="198" ht="22" customHeight="1">
      <c r="B198" s="27">
        <f>IF(K198="","",INDEX('PEGAR'!$O$13:$O$512,K198))</f>
      </c>
      <c r="C198" s="30">
        <f>IF(B198="","",IF(LEN(TRIM(INDEX('PEGAR'!$B$13:$B$512,IF(L198&gt;0,L198,K198))&amp;""))=0,"Sin capítulo",TRIM(INDEX('PEGAR'!$B$13:$B$512,IF(L198&gt;0,L198,K198))&amp;"")))</f>
      </c>
      <c r="D198" s="27">
        <f>IF(B198="","",IF(LEN(TRIM(INDEX('PEGAR'!$C$13:$C$512,IF(L198&gt;0,L198,K198))&amp;""))=0,"",TRIM(INDEX('PEGAR'!$C$13:$C$512,IF(L198&gt;0,L198,K198))&amp;"")))</f>
      </c>
      <c r="E198" s="27">
        <f>IF(B198="","",INDEX('PEGAR'!$S$13:$S$512,IF(L198&gt;0,L198,K198)))</f>
      </c>
      <c r="F198" s="39">
        <f>IF(B198="","",IF(L198&gt;0,INDEX('PEGAR'!$F$13:$F$512,L198),""))</f>
      </c>
      <c r="G198" s="39">
        <f>IF(B198="","",IF(OR(M198=0,N198&gt;0,O198&gt;0),"",SUMIFS('PEGAR'!$M$13:$M$512,'PEGAR'!$O$13:$O$512,B198)))</f>
      </c>
      <c r="H198" s="39">
        <f>IF(AND(ISNUMBER(F198),ISNUMBER(G198)),G198-F198,"")</f>
      </c>
      <c r="I198" s="27">
        <f>IF(B198="","",IF(W198=2,"ROJO",IF(W198=1,"ÁMBAR","VERDE")))</f>
      </c>
      <c r="J198" s="30">
        <f>IF(B198="","",IF(W198=0,"Sin avisos numéricos. Revisamos el alcance aparte.",IF(L198=0,"Faltan datos completos de partida; no elegimos un total por suposición."&amp;CHAR(10),"")&amp;IF(N198&gt;0,"Hay filas incompletas o contradictorias; las revisamos en PEGAR."&amp;CHAR(10),"")&amp;IF(O198&gt;0,"Faltan las medidas de alguna fila; no cerramos la suma."&amp;CHAR(10),"")&amp;IF(M198=0,"No constan líneas de medición."&amp;CHAR(10),"")&amp;IF(IF(ISNUMBER(H198),ROUND(ABS(H198),8)&gt;$F$6,FALSE),"Las líneas difieren del total en más de 0,01; confirmamos cantidad o exclusión."&amp;CHAR(10),"")&amp;IF(P198&gt;0,"Parece m³: encontramos tres dimensiones bajo m²."&amp;CHAR(10),"")&amp;IF(R198&gt;0,"Código repetido dentro del capítulo; mantenemos sus ID separados."&amp;CHAR(10),"")&amp;IF(S198&gt;0,"Código repetido en otro capítulo; no unimos las partidas."&amp;CHAR(10),"")&amp;IF(T198&gt;0,"Mismo código con unidades distintas; pedimos aclaración."&amp;CHAR(10),"")&amp;IF(Q198&gt;0,"Hay más precisión que los decimales indicados; cotejamos el formato original."&amp;CHAR(10),"")&amp;IF(U198&gt;0,"Unidad sin normalizar; cotejamos su significado antes de sumar unidades."&amp;CHAR(10),"")&amp;IF(V198&gt;0,"Revisamos dimensiones, cantidades directas, ceros o deducciones en PEGAR."&amp;CHAR(10),"")))</f>
      </c>
      <c r="K198" s="0">
        <f>IF(186&gt;'RESUMEN'!$E$6,"",MATCH(186,'PEGAR'!$W$13:$W$512,0))</f>
      </c>
      <c r="L198" s="0">
        <f>IF(K198="","",INDEX('PEGAR'!$R$13:$R$512,K198))</f>
      </c>
      <c r="M198" s="0">
        <f>IF(B198="","",COUNTIFS('PEGAR'!$O$13:$O$512,B198,'PEGAR'!$P$13:$P$512,"DIMENSIONES")+COUNTIFS('PEGAR'!$O$13:$O$512,B198,'PEGAR'!$P$13:$P$512,"DIRECTA"))</f>
      </c>
      <c r="N198" s="0">
        <f>IF(B198="","",COUNTIFS('PEGAR'!$O$13:$O$512,B198,'PEGAR'!$X$13:$X$512,2))</f>
      </c>
      <c r="O198" s="0">
        <f>IF(B198="","",COUNTIFS('PEGAR'!$O$13:$O$512,B198,'PEGAR'!$P$13:$P$512,"SIN LÍNEAS"))</f>
      </c>
      <c r="P198" s="0">
        <f>IF(B198="","",SUMIFS('PEGAR'!$Y$13:$Y$512,'PEGAR'!$O$13:$O$512,B198))</f>
      </c>
      <c r="Q198" s="0">
        <f>IF(B198="","",SUMIFS('PEGAR'!$Z$13:$Z$512,'PEGAR'!$O$13:$O$512,B198))</f>
      </c>
      <c r="R198" s="0" t="n">
        <f>IF(OR(B198="",D198=""),0,SUMPRODUCT(--($B$13:$B$512&lt;&gt;""),--($D$13:$D$512=D198),--($C$13:$C$512=C198))-1)</f>
        <v>0</v>
      </c>
      <c r="S198" s="0" t="n">
        <f>IF(OR(B198="",D198=""),0,SUMPRODUCT(--($B$13:$B$512&lt;&gt;""),--($D$13:$D$512=D198),--($C$13:$C$512&lt;&gt;C198)))</f>
        <v>0</v>
      </c>
      <c r="T198" s="0" t="n">
        <f>IF(OR(B198="",D198=""),0,SUMPRODUCT(--($B$13:$B$512&lt;&gt;""),--($D$13:$D$512=D198),--($E$13:$E$512&lt;&gt;E198)))</f>
        <v>0</v>
      </c>
      <c r="U198" s="0" t="n">
        <f>IF(B198="",0,IF(SUMPRODUCT(--('LÉEME'!$C$65:$C$86=E198))=0,1,0))</f>
        <v>0</v>
      </c>
      <c r="V198" s="0">
        <f>IF(B198="","",SUMIFS('PEGAR'!$AA$13:$AA$512,'PEGAR'!$O$13:$O$512,B198))</f>
      </c>
      <c r="W198" s="0">
        <f>IF(B198="","",IF(OR(L198=0,N198&gt;0,T198&gt;0,IF(ISNUMBER(H198),ROUND(ABS(H198),8)&gt;$F$6,FALSE)),2,IF(OR(M198=0,O198&gt;0,P198&gt;0,Q198&gt;0,R198&gt;0,S198&gt;0,U198&gt;0,V198&gt;0),1,0)))</f>
      </c>
      <c r="X198" s="0">
        <f>IF(B198="","",IF(ISNUMBER(G198),1,0))</f>
      </c>
      <c r="AB198" s="0">
        <f>IF(AND(ISNUMBER(W198),W198&gt;0),"ID "&amp;B198,"")</f>
      </c>
      <c r="AC198" s="0">
        <f>IF(AND(ISNUMBER(W198),W198&gt;0),C198,"")</f>
      </c>
      <c r="AD198" s="0">
        <f>IF(AND(ISNUMBER(W198),W198&gt;0),D198,"")</f>
      </c>
      <c r="AE198" s="0">
        <f>IF(AND(ISNUMBER(W198),W198&gt;0),IF(INDEX('PEGAR'!$D$13:$D$512,IF(L198&gt;0,L198,K198))="","Sin descripción",INDEX('PEGAR'!$D$13:$D$512,IF(L198&gt;0,L198,K198))),"")</f>
      </c>
      <c r="AF198" s="0">
        <f>IF(AND(ISNUMBER(W198),W198&gt;0),J198,"")</f>
      </c>
      <c r="AG198" s="0" t="n">
        <f>IF(AND(ISNUMBER(W198),W198&gt;0),W198,0)</f>
        <v>0</v>
      </c>
      <c r="AH198" s="0">
        <f>IF(AG198&gt;0,COUNTIFS($AG$13:AG198,"&gt;0"),"")</f>
      </c>
    </row>
    <row r="199" ht="22" customHeight="1">
      <c r="B199" s="27">
        <f>IF(K199="","",INDEX('PEGAR'!$O$13:$O$512,K199))</f>
      </c>
      <c r="C199" s="30">
        <f>IF(B199="","",IF(LEN(TRIM(INDEX('PEGAR'!$B$13:$B$512,IF(L199&gt;0,L199,K199))&amp;""))=0,"Sin capítulo",TRIM(INDEX('PEGAR'!$B$13:$B$512,IF(L199&gt;0,L199,K199))&amp;"")))</f>
      </c>
      <c r="D199" s="27">
        <f>IF(B199="","",IF(LEN(TRIM(INDEX('PEGAR'!$C$13:$C$512,IF(L199&gt;0,L199,K199))&amp;""))=0,"",TRIM(INDEX('PEGAR'!$C$13:$C$512,IF(L199&gt;0,L199,K199))&amp;"")))</f>
      </c>
      <c r="E199" s="27">
        <f>IF(B199="","",INDEX('PEGAR'!$S$13:$S$512,IF(L199&gt;0,L199,K199)))</f>
      </c>
      <c r="F199" s="39">
        <f>IF(B199="","",IF(L199&gt;0,INDEX('PEGAR'!$F$13:$F$512,L199),""))</f>
      </c>
      <c r="G199" s="39">
        <f>IF(B199="","",IF(OR(M199=0,N199&gt;0,O199&gt;0),"",SUMIFS('PEGAR'!$M$13:$M$512,'PEGAR'!$O$13:$O$512,B199)))</f>
      </c>
      <c r="H199" s="39">
        <f>IF(AND(ISNUMBER(F199),ISNUMBER(G199)),G199-F199,"")</f>
      </c>
      <c r="I199" s="27">
        <f>IF(B199="","",IF(W199=2,"ROJO",IF(W199=1,"ÁMBAR","VERDE")))</f>
      </c>
      <c r="J199" s="30">
        <f>IF(B199="","",IF(W199=0,"Sin avisos numéricos. Revisamos el alcance aparte.",IF(L199=0,"Faltan datos completos de partida; no elegimos un total por suposición."&amp;CHAR(10),"")&amp;IF(N199&gt;0,"Hay filas incompletas o contradictorias; las revisamos en PEGAR."&amp;CHAR(10),"")&amp;IF(O199&gt;0,"Faltan las medidas de alguna fila; no cerramos la suma."&amp;CHAR(10),"")&amp;IF(M199=0,"No constan líneas de medición."&amp;CHAR(10),"")&amp;IF(IF(ISNUMBER(H199),ROUND(ABS(H199),8)&gt;$F$6,FALSE),"Las líneas difieren del total en más de 0,01; confirmamos cantidad o exclusión."&amp;CHAR(10),"")&amp;IF(P199&gt;0,"Parece m³: encontramos tres dimensiones bajo m²."&amp;CHAR(10),"")&amp;IF(R199&gt;0,"Código repetido dentro del capítulo; mantenemos sus ID separados."&amp;CHAR(10),"")&amp;IF(S199&gt;0,"Código repetido en otro capítulo; no unimos las partidas."&amp;CHAR(10),"")&amp;IF(T199&gt;0,"Mismo código con unidades distintas; pedimos aclaración."&amp;CHAR(10),"")&amp;IF(Q199&gt;0,"Hay más precisión que los decimales indicados; cotejamos el formato original."&amp;CHAR(10),"")&amp;IF(U199&gt;0,"Unidad sin normalizar; cotejamos su significado antes de sumar unidades."&amp;CHAR(10),"")&amp;IF(V199&gt;0,"Revisamos dimensiones, cantidades directas, ceros o deducciones en PEGAR."&amp;CHAR(10),"")))</f>
      </c>
      <c r="K199" s="0">
        <f>IF(187&gt;'RESUMEN'!$E$6,"",MATCH(187,'PEGAR'!$W$13:$W$512,0))</f>
      </c>
      <c r="L199" s="0">
        <f>IF(K199="","",INDEX('PEGAR'!$R$13:$R$512,K199))</f>
      </c>
      <c r="M199" s="0">
        <f>IF(B199="","",COUNTIFS('PEGAR'!$O$13:$O$512,B199,'PEGAR'!$P$13:$P$512,"DIMENSIONES")+COUNTIFS('PEGAR'!$O$13:$O$512,B199,'PEGAR'!$P$13:$P$512,"DIRECTA"))</f>
      </c>
      <c r="N199" s="0">
        <f>IF(B199="","",COUNTIFS('PEGAR'!$O$13:$O$512,B199,'PEGAR'!$X$13:$X$512,2))</f>
      </c>
      <c r="O199" s="0">
        <f>IF(B199="","",COUNTIFS('PEGAR'!$O$13:$O$512,B199,'PEGAR'!$P$13:$P$512,"SIN LÍNEAS"))</f>
      </c>
      <c r="P199" s="0">
        <f>IF(B199="","",SUMIFS('PEGAR'!$Y$13:$Y$512,'PEGAR'!$O$13:$O$512,B199))</f>
      </c>
      <c r="Q199" s="0">
        <f>IF(B199="","",SUMIFS('PEGAR'!$Z$13:$Z$512,'PEGAR'!$O$13:$O$512,B199))</f>
      </c>
      <c r="R199" s="0" t="n">
        <f>IF(OR(B199="",D199=""),0,SUMPRODUCT(--($B$13:$B$512&lt;&gt;""),--($D$13:$D$512=D199),--($C$13:$C$512=C199))-1)</f>
        <v>0</v>
      </c>
      <c r="S199" s="0" t="n">
        <f>IF(OR(B199="",D199=""),0,SUMPRODUCT(--($B$13:$B$512&lt;&gt;""),--($D$13:$D$512=D199),--($C$13:$C$512&lt;&gt;C199)))</f>
        <v>0</v>
      </c>
      <c r="T199" s="0" t="n">
        <f>IF(OR(B199="",D199=""),0,SUMPRODUCT(--($B$13:$B$512&lt;&gt;""),--($D$13:$D$512=D199),--($E$13:$E$512&lt;&gt;E199)))</f>
        <v>0</v>
      </c>
      <c r="U199" s="0" t="n">
        <f>IF(B199="",0,IF(SUMPRODUCT(--('LÉEME'!$C$65:$C$86=E199))=0,1,0))</f>
        <v>0</v>
      </c>
      <c r="V199" s="0">
        <f>IF(B199="","",SUMIFS('PEGAR'!$AA$13:$AA$512,'PEGAR'!$O$13:$O$512,B199))</f>
      </c>
      <c r="W199" s="0">
        <f>IF(B199="","",IF(OR(L199=0,N199&gt;0,T199&gt;0,IF(ISNUMBER(H199),ROUND(ABS(H199),8)&gt;$F$6,FALSE)),2,IF(OR(M199=0,O199&gt;0,P199&gt;0,Q199&gt;0,R199&gt;0,S199&gt;0,U199&gt;0,V199&gt;0),1,0)))</f>
      </c>
      <c r="X199" s="0">
        <f>IF(B199="","",IF(ISNUMBER(G199),1,0))</f>
      </c>
      <c r="AB199" s="0">
        <f>IF(AND(ISNUMBER(W199),W199&gt;0),"ID "&amp;B199,"")</f>
      </c>
      <c r="AC199" s="0">
        <f>IF(AND(ISNUMBER(W199),W199&gt;0),C199,"")</f>
      </c>
      <c r="AD199" s="0">
        <f>IF(AND(ISNUMBER(W199),W199&gt;0),D199,"")</f>
      </c>
      <c r="AE199" s="0">
        <f>IF(AND(ISNUMBER(W199),W199&gt;0),IF(INDEX('PEGAR'!$D$13:$D$512,IF(L199&gt;0,L199,K199))="","Sin descripción",INDEX('PEGAR'!$D$13:$D$512,IF(L199&gt;0,L199,K199))),"")</f>
      </c>
      <c r="AF199" s="0">
        <f>IF(AND(ISNUMBER(W199),W199&gt;0),J199,"")</f>
      </c>
      <c r="AG199" s="0" t="n">
        <f>IF(AND(ISNUMBER(W199),W199&gt;0),W199,0)</f>
        <v>0</v>
      </c>
      <c r="AH199" s="0">
        <f>IF(AG199&gt;0,COUNTIFS($AG$13:AG199,"&gt;0"),"")</f>
      </c>
    </row>
    <row r="200" ht="22" customHeight="1">
      <c r="B200" s="27">
        <f>IF(K200="","",INDEX('PEGAR'!$O$13:$O$512,K200))</f>
      </c>
      <c r="C200" s="30">
        <f>IF(B200="","",IF(LEN(TRIM(INDEX('PEGAR'!$B$13:$B$512,IF(L200&gt;0,L200,K200))&amp;""))=0,"Sin capítulo",TRIM(INDEX('PEGAR'!$B$13:$B$512,IF(L200&gt;0,L200,K200))&amp;"")))</f>
      </c>
      <c r="D200" s="27">
        <f>IF(B200="","",IF(LEN(TRIM(INDEX('PEGAR'!$C$13:$C$512,IF(L200&gt;0,L200,K200))&amp;""))=0,"",TRIM(INDEX('PEGAR'!$C$13:$C$512,IF(L200&gt;0,L200,K200))&amp;"")))</f>
      </c>
      <c r="E200" s="27">
        <f>IF(B200="","",INDEX('PEGAR'!$S$13:$S$512,IF(L200&gt;0,L200,K200)))</f>
      </c>
      <c r="F200" s="39">
        <f>IF(B200="","",IF(L200&gt;0,INDEX('PEGAR'!$F$13:$F$512,L200),""))</f>
      </c>
      <c r="G200" s="39">
        <f>IF(B200="","",IF(OR(M200=0,N200&gt;0,O200&gt;0),"",SUMIFS('PEGAR'!$M$13:$M$512,'PEGAR'!$O$13:$O$512,B200)))</f>
      </c>
      <c r="H200" s="39">
        <f>IF(AND(ISNUMBER(F200),ISNUMBER(G200)),G200-F200,"")</f>
      </c>
      <c r="I200" s="27">
        <f>IF(B200="","",IF(W200=2,"ROJO",IF(W200=1,"ÁMBAR","VERDE")))</f>
      </c>
      <c r="J200" s="30">
        <f>IF(B200="","",IF(W200=0,"Sin avisos numéricos. Revisamos el alcance aparte.",IF(L200=0,"Faltan datos completos de partida; no elegimos un total por suposición."&amp;CHAR(10),"")&amp;IF(N200&gt;0,"Hay filas incompletas o contradictorias; las revisamos en PEGAR."&amp;CHAR(10),"")&amp;IF(O200&gt;0,"Faltan las medidas de alguna fila; no cerramos la suma."&amp;CHAR(10),"")&amp;IF(M200=0,"No constan líneas de medición."&amp;CHAR(10),"")&amp;IF(IF(ISNUMBER(H200),ROUND(ABS(H200),8)&gt;$F$6,FALSE),"Las líneas difieren del total en más de 0,01; confirmamos cantidad o exclusión."&amp;CHAR(10),"")&amp;IF(P200&gt;0,"Parece m³: encontramos tres dimensiones bajo m²."&amp;CHAR(10),"")&amp;IF(R200&gt;0,"Código repetido dentro del capítulo; mantenemos sus ID separados."&amp;CHAR(10),"")&amp;IF(S200&gt;0,"Código repetido en otro capítulo; no unimos las partidas."&amp;CHAR(10),"")&amp;IF(T200&gt;0,"Mismo código con unidades distintas; pedimos aclaración."&amp;CHAR(10),"")&amp;IF(Q200&gt;0,"Hay más precisión que los decimales indicados; cotejamos el formato original."&amp;CHAR(10),"")&amp;IF(U200&gt;0,"Unidad sin normalizar; cotejamos su significado antes de sumar unidades."&amp;CHAR(10),"")&amp;IF(V200&gt;0,"Revisamos dimensiones, cantidades directas, ceros o deducciones en PEGAR."&amp;CHAR(10),"")))</f>
      </c>
      <c r="K200" s="0">
        <f>IF(188&gt;'RESUMEN'!$E$6,"",MATCH(188,'PEGAR'!$W$13:$W$512,0))</f>
      </c>
      <c r="L200" s="0">
        <f>IF(K200="","",INDEX('PEGAR'!$R$13:$R$512,K200))</f>
      </c>
      <c r="M200" s="0">
        <f>IF(B200="","",COUNTIFS('PEGAR'!$O$13:$O$512,B200,'PEGAR'!$P$13:$P$512,"DIMENSIONES")+COUNTIFS('PEGAR'!$O$13:$O$512,B200,'PEGAR'!$P$13:$P$512,"DIRECTA"))</f>
      </c>
      <c r="N200" s="0">
        <f>IF(B200="","",COUNTIFS('PEGAR'!$O$13:$O$512,B200,'PEGAR'!$X$13:$X$512,2))</f>
      </c>
      <c r="O200" s="0">
        <f>IF(B200="","",COUNTIFS('PEGAR'!$O$13:$O$512,B200,'PEGAR'!$P$13:$P$512,"SIN LÍNEAS"))</f>
      </c>
      <c r="P200" s="0">
        <f>IF(B200="","",SUMIFS('PEGAR'!$Y$13:$Y$512,'PEGAR'!$O$13:$O$512,B200))</f>
      </c>
      <c r="Q200" s="0">
        <f>IF(B200="","",SUMIFS('PEGAR'!$Z$13:$Z$512,'PEGAR'!$O$13:$O$512,B200))</f>
      </c>
      <c r="R200" s="0" t="n">
        <f>IF(OR(B200="",D200=""),0,SUMPRODUCT(--($B$13:$B$512&lt;&gt;""),--($D$13:$D$512=D200),--($C$13:$C$512=C200))-1)</f>
        <v>0</v>
      </c>
      <c r="S200" s="0" t="n">
        <f>IF(OR(B200="",D200=""),0,SUMPRODUCT(--($B$13:$B$512&lt;&gt;""),--($D$13:$D$512=D200),--($C$13:$C$512&lt;&gt;C200)))</f>
        <v>0</v>
      </c>
      <c r="T200" s="0" t="n">
        <f>IF(OR(B200="",D200=""),0,SUMPRODUCT(--($B$13:$B$512&lt;&gt;""),--($D$13:$D$512=D200),--($E$13:$E$512&lt;&gt;E200)))</f>
        <v>0</v>
      </c>
      <c r="U200" s="0" t="n">
        <f>IF(B200="",0,IF(SUMPRODUCT(--('LÉEME'!$C$65:$C$86=E200))=0,1,0))</f>
        <v>0</v>
      </c>
      <c r="V200" s="0">
        <f>IF(B200="","",SUMIFS('PEGAR'!$AA$13:$AA$512,'PEGAR'!$O$13:$O$512,B200))</f>
      </c>
      <c r="W200" s="0">
        <f>IF(B200="","",IF(OR(L200=0,N200&gt;0,T200&gt;0,IF(ISNUMBER(H200),ROUND(ABS(H200),8)&gt;$F$6,FALSE)),2,IF(OR(M200=0,O200&gt;0,P200&gt;0,Q200&gt;0,R200&gt;0,S200&gt;0,U200&gt;0,V200&gt;0),1,0)))</f>
      </c>
      <c r="X200" s="0">
        <f>IF(B200="","",IF(ISNUMBER(G200),1,0))</f>
      </c>
      <c r="AB200" s="0">
        <f>IF(AND(ISNUMBER(W200),W200&gt;0),"ID "&amp;B200,"")</f>
      </c>
      <c r="AC200" s="0">
        <f>IF(AND(ISNUMBER(W200),W200&gt;0),C200,"")</f>
      </c>
      <c r="AD200" s="0">
        <f>IF(AND(ISNUMBER(W200),W200&gt;0),D200,"")</f>
      </c>
      <c r="AE200" s="0">
        <f>IF(AND(ISNUMBER(W200),W200&gt;0),IF(INDEX('PEGAR'!$D$13:$D$512,IF(L200&gt;0,L200,K200))="","Sin descripción",INDEX('PEGAR'!$D$13:$D$512,IF(L200&gt;0,L200,K200))),"")</f>
      </c>
      <c r="AF200" s="0">
        <f>IF(AND(ISNUMBER(W200),W200&gt;0),J200,"")</f>
      </c>
      <c r="AG200" s="0" t="n">
        <f>IF(AND(ISNUMBER(W200),W200&gt;0),W200,0)</f>
        <v>0</v>
      </c>
      <c r="AH200" s="0">
        <f>IF(AG200&gt;0,COUNTIFS($AG$13:AG200,"&gt;0"),"")</f>
      </c>
    </row>
    <row r="201" ht="22" customHeight="1">
      <c r="B201" s="27">
        <f>IF(K201="","",INDEX('PEGAR'!$O$13:$O$512,K201))</f>
      </c>
      <c r="C201" s="30">
        <f>IF(B201="","",IF(LEN(TRIM(INDEX('PEGAR'!$B$13:$B$512,IF(L201&gt;0,L201,K201))&amp;""))=0,"Sin capítulo",TRIM(INDEX('PEGAR'!$B$13:$B$512,IF(L201&gt;0,L201,K201))&amp;"")))</f>
      </c>
      <c r="D201" s="27">
        <f>IF(B201="","",IF(LEN(TRIM(INDEX('PEGAR'!$C$13:$C$512,IF(L201&gt;0,L201,K201))&amp;""))=0,"",TRIM(INDEX('PEGAR'!$C$13:$C$512,IF(L201&gt;0,L201,K201))&amp;"")))</f>
      </c>
      <c r="E201" s="27">
        <f>IF(B201="","",INDEX('PEGAR'!$S$13:$S$512,IF(L201&gt;0,L201,K201)))</f>
      </c>
      <c r="F201" s="39">
        <f>IF(B201="","",IF(L201&gt;0,INDEX('PEGAR'!$F$13:$F$512,L201),""))</f>
      </c>
      <c r="G201" s="39">
        <f>IF(B201="","",IF(OR(M201=0,N201&gt;0,O201&gt;0),"",SUMIFS('PEGAR'!$M$13:$M$512,'PEGAR'!$O$13:$O$512,B201)))</f>
      </c>
      <c r="H201" s="39">
        <f>IF(AND(ISNUMBER(F201),ISNUMBER(G201)),G201-F201,"")</f>
      </c>
      <c r="I201" s="27">
        <f>IF(B201="","",IF(W201=2,"ROJO",IF(W201=1,"ÁMBAR","VERDE")))</f>
      </c>
      <c r="J201" s="30">
        <f>IF(B201="","",IF(W201=0,"Sin avisos numéricos. Revisamos el alcance aparte.",IF(L201=0,"Faltan datos completos de partida; no elegimos un total por suposición."&amp;CHAR(10),"")&amp;IF(N201&gt;0,"Hay filas incompletas o contradictorias; las revisamos en PEGAR."&amp;CHAR(10),"")&amp;IF(O201&gt;0,"Faltan las medidas de alguna fila; no cerramos la suma."&amp;CHAR(10),"")&amp;IF(M201=0,"No constan líneas de medición."&amp;CHAR(10),"")&amp;IF(IF(ISNUMBER(H201),ROUND(ABS(H201),8)&gt;$F$6,FALSE),"Las líneas difieren del total en más de 0,01; confirmamos cantidad o exclusión."&amp;CHAR(10),"")&amp;IF(P201&gt;0,"Parece m³: encontramos tres dimensiones bajo m²."&amp;CHAR(10),"")&amp;IF(R201&gt;0,"Código repetido dentro del capítulo; mantenemos sus ID separados."&amp;CHAR(10),"")&amp;IF(S201&gt;0,"Código repetido en otro capítulo; no unimos las partidas."&amp;CHAR(10),"")&amp;IF(T201&gt;0,"Mismo código con unidades distintas; pedimos aclaración."&amp;CHAR(10),"")&amp;IF(Q201&gt;0,"Hay más precisión que los decimales indicados; cotejamos el formato original."&amp;CHAR(10),"")&amp;IF(U201&gt;0,"Unidad sin normalizar; cotejamos su significado antes de sumar unidades."&amp;CHAR(10),"")&amp;IF(V201&gt;0,"Revisamos dimensiones, cantidades directas, ceros o deducciones en PEGAR."&amp;CHAR(10),"")))</f>
      </c>
      <c r="K201" s="0">
        <f>IF(189&gt;'RESUMEN'!$E$6,"",MATCH(189,'PEGAR'!$W$13:$W$512,0))</f>
      </c>
      <c r="L201" s="0">
        <f>IF(K201="","",INDEX('PEGAR'!$R$13:$R$512,K201))</f>
      </c>
      <c r="M201" s="0">
        <f>IF(B201="","",COUNTIFS('PEGAR'!$O$13:$O$512,B201,'PEGAR'!$P$13:$P$512,"DIMENSIONES")+COUNTIFS('PEGAR'!$O$13:$O$512,B201,'PEGAR'!$P$13:$P$512,"DIRECTA"))</f>
      </c>
      <c r="N201" s="0">
        <f>IF(B201="","",COUNTIFS('PEGAR'!$O$13:$O$512,B201,'PEGAR'!$X$13:$X$512,2))</f>
      </c>
      <c r="O201" s="0">
        <f>IF(B201="","",COUNTIFS('PEGAR'!$O$13:$O$512,B201,'PEGAR'!$P$13:$P$512,"SIN LÍNEAS"))</f>
      </c>
      <c r="P201" s="0">
        <f>IF(B201="","",SUMIFS('PEGAR'!$Y$13:$Y$512,'PEGAR'!$O$13:$O$512,B201))</f>
      </c>
      <c r="Q201" s="0">
        <f>IF(B201="","",SUMIFS('PEGAR'!$Z$13:$Z$512,'PEGAR'!$O$13:$O$512,B201))</f>
      </c>
      <c r="R201" s="0" t="n">
        <f>IF(OR(B201="",D201=""),0,SUMPRODUCT(--($B$13:$B$512&lt;&gt;""),--($D$13:$D$512=D201),--($C$13:$C$512=C201))-1)</f>
        <v>0</v>
      </c>
      <c r="S201" s="0" t="n">
        <f>IF(OR(B201="",D201=""),0,SUMPRODUCT(--($B$13:$B$512&lt;&gt;""),--($D$13:$D$512=D201),--($C$13:$C$512&lt;&gt;C201)))</f>
        <v>0</v>
      </c>
      <c r="T201" s="0" t="n">
        <f>IF(OR(B201="",D201=""),0,SUMPRODUCT(--($B$13:$B$512&lt;&gt;""),--($D$13:$D$512=D201),--($E$13:$E$512&lt;&gt;E201)))</f>
        <v>0</v>
      </c>
      <c r="U201" s="0" t="n">
        <f>IF(B201="",0,IF(SUMPRODUCT(--('LÉEME'!$C$65:$C$86=E201))=0,1,0))</f>
        <v>0</v>
      </c>
      <c r="V201" s="0">
        <f>IF(B201="","",SUMIFS('PEGAR'!$AA$13:$AA$512,'PEGAR'!$O$13:$O$512,B201))</f>
      </c>
      <c r="W201" s="0">
        <f>IF(B201="","",IF(OR(L201=0,N201&gt;0,T201&gt;0,IF(ISNUMBER(H201),ROUND(ABS(H201),8)&gt;$F$6,FALSE)),2,IF(OR(M201=0,O201&gt;0,P201&gt;0,Q201&gt;0,R201&gt;0,S201&gt;0,U201&gt;0,V201&gt;0),1,0)))</f>
      </c>
      <c r="X201" s="0">
        <f>IF(B201="","",IF(ISNUMBER(G201),1,0))</f>
      </c>
      <c r="AB201" s="0">
        <f>IF(AND(ISNUMBER(W201),W201&gt;0),"ID "&amp;B201,"")</f>
      </c>
      <c r="AC201" s="0">
        <f>IF(AND(ISNUMBER(W201),W201&gt;0),C201,"")</f>
      </c>
      <c r="AD201" s="0">
        <f>IF(AND(ISNUMBER(W201),W201&gt;0),D201,"")</f>
      </c>
      <c r="AE201" s="0">
        <f>IF(AND(ISNUMBER(W201),W201&gt;0),IF(INDEX('PEGAR'!$D$13:$D$512,IF(L201&gt;0,L201,K201))="","Sin descripción",INDEX('PEGAR'!$D$13:$D$512,IF(L201&gt;0,L201,K201))),"")</f>
      </c>
      <c r="AF201" s="0">
        <f>IF(AND(ISNUMBER(W201),W201&gt;0),J201,"")</f>
      </c>
      <c r="AG201" s="0" t="n">
        <f>IF(AND(ISNUMBER(W201),W201&gt;0),W201,0)</f>
        <v>0</v>
      </c>
      <c r="AH201" s="0">
        <f>IF(AG201&gt;0,COUNTIFS($AG$13:AG201,"&gt;0"),"")</f>
      </c>
    </row>
    <row r="202" ht="22" customHeight="1">
      <c r="B202" s="27">
        <f>IF(K202="","",INDEX('PEGAR'!$O$13:$O$512,K202))</f>
      </c>
      <c r="C202" s="30">
        <f>IF(B202="","",IF(LEN(TRIM(INDEX('PEGAR'!$B$13:$B$512,IF(L202&gt;0,L202,K202))&amp;""))=0,"Sin capítulo",TRIM(INDEX('PEGAR'!$B$13:$B$512,IF(L202&gt;0,L202,K202))&amp;"")))</f>
      </c>
      <c r="D202" s="27">
        <f>IF(B202="","",IF(LEN(TRIM(INDEX('PEGAR'!$C$13:$C$512,IF(L202&gt;0,L202,K202))&amp;""))=0,"",TRIM(INDEX('PEGAR'!$C$13:$C$512,IF(L202&gt;0,L202,K202))&amp;"")))</f>
      </c>
      <c r="E202" s="27">
        <f>IF(B202="","",INDEX('PEGAR'!$S$13:$S$512,IF(L202&gt;0,L202,K202)))</f>
      </c>
      <c r="F202" s="39">
        <f>IF(B202="","",IF(L202&gt;0,INDEX('PEGAR'!$F$13:$F$512,L202),""))</f>
      </c>
      <c r="G202" s="39">
        <f>IF(B202="","",IF(OR(M202=0,N202&gt;0,O202&gt;0),"",SUMIFS('PEGAR'!$M$13:$M$512,'PEGAR'!$O$13:$O$512,B202)))</f>
      </c>
      <c r="H202" s="39">
        <f>IF(AND(ISNUMBER(F202),ISNUMBER(G202)),G202-F202,"")</f>
      </c>
      <c r="I202" s="27">
        <f>IF(B202="","",IF(W202=2,"ROJO",IF(W202=1,"ÁMBAR","VERDE")))</f>
      </c>
      <c r="J202" s="30">
        <f>IF(B202="","",IF(W202=0,"Sin avisos numéricos. Revisamos el alcance aparte.",IF(L202=0,"Faltan datos completos de partida; no elegimos un total por suposición."&amp;CHAR(10),"")&amp;IF(N202&gt;0,"Hay filas incompletas o contradictorias; las revisamos en PEGAR."&amp;CHAR(10),"")&amp;IF(O202&gt;0,"Faltan las medidas de alguna fila; no cerramos la suma."&amp;CHAR(10),"")&amp;IF(M202=0,"No constan líneas de medición."&amp;CHAR(10),"")&amp;IF(IF(ISNUMBER(H202),ROUND(ABS(H202),8)&gt;$F$6,FALSE),"Las líneas difieren del total en más de 0,01; confirmamos cantidad o exclusión."&amp;CHAR(10),"")&amp;IF(P202&gt;0,"Parece m³: encontramos tres dimensiones bajo m²."&amp;CHAR(10),"")&amp;IF(R202&gt;0,"Código repetido dentro del capítulo; mantenemos sus ID separados."&amp;CHAR(10),"")&amp;IF(S202&gt;0,"Código repetido en otro capítulo; no unimos las partidas."&amp;CHAR(10),"")&amp;IF(T202&gt;0,"Mismo código con unidades distintas; pedimos aclaración."&amp;CHAR(10),"")&amp;IF(Q202&gt;0,"Hay más precisión que los decimales indicados; cotejamos el formato original."&amp;CHAR(10),"")&amp;IF(U202&gt;0,"Unidad sin normalizar; cotejamos su significado antes de sumar unidades."&amp;CHAR(10),"")&amp;IF(V202&gt;0,"Revisamos dimensiones, cantidades directas, ceros o deducciones en PEGAR."&amp;CHAR(10),"")))</f>
      </c>
      <c r="K202" s="0">
        <f>IF(190&gt;'RESUMEN'!$E$6,"",MATCH(190,'PEGAR'!$W$13:$W$512,0))</f>
      </c>
      <c r="L202" s="0">
        <f>IF(K202="","",INDEX('PEGAR'!$R$13:$R$512,K202))</f>
      </c>
      <c r="M202" s="0">
        <f>IF(B202="","",COUNTIFS('PEGAR'!$O$13:$O$512,B202,'PEGAR'!$P$13:$P$512,"DIMENSIONES")+COUNTIFS('PEGAR'!$O$13:$O$512,B202,'PEGAR'!$P$13:$P$512,"DIRECTA"))</f>
      </c>
      <c r="N202" s="0">
        <f>IF(B202="","",COUNTIFS('PEGAR'!$O$13:$O$512,B202,'PEGAR'!$X$13:$X$512,2))</f>
      </c>
      <c r="O202" s="0">
        <f>IF(B202="","",COUNTIFS('PEGAR'!$O$13:$O$512,B202,'PEGAR'!$P$13:$P$512,"SIN LÍNEAS"))</f>
      </c>
      <c r="P202" s="0">
        <f>IF(B202="","",SUMIFS('PEGAR'!$Y$13:$Y$512,'PEGAR'!$O$13:$O$512,B202))</f>
      </c>
      <c r="Q202" s="0">
        <f>IF(B202="","",SUMIFS('PEGAR'!$Z$13:$Z$512,'PEGAR'!$O$13:$O$512,B202))</f>
      </c>
      <c r="R202" s="0" t="n">
        <f>IF(OR(B202="",D202=""),0,SUMPRODUCT(--($B$13:$B$512&lt;&gt;""),--($D$13:$D$512=D202),--($C$13:$C$512=C202))-1)</f>
        <v>0</v>
      </c>
      <c r="S202" s="0" t="n">
        <f>IF(OR(B202="",D202=""),0,SUMPRODUCT(--($B$13:$B$512&lt;&gt;""),--($D$13:$D$512=D202),--($C$13:$C$512&lt;&gt;C202)))</f>
        <v>0</v>
      </c>
      <c r="T202" s="0" t="n">
        <f>IF(OR(B202="",D202=""),0,SUMPRODUCT(--($B$13:$B$512&lt;&gt;""),--($D$13:$D$512=D202),--($E$13:$E$512&lt;&gt;E202)))</f>
        <v>0</v>
      </c>
      <c r="U202" s="0" t="n">
        <f>IF(B202="",0,IF(SUMPRODUCT(--('LÉEME'!$C$65:$C$86=E202))=0,1,0))</f>
        <v>0</v>
      </c>
      <c r="V202" s="0">
        <f>IF(B202="","",SUMIFS('PEGAR'!$AA$13:$AA$512,'PEGAR'!$O$13:$O$512,B202))</f>
      </c>
      <c r="W202" s="0">
        <f>IF(B202="","",IF(OR(L202=0,N202&gt;0,T202&gt;0,IF(ISNUMBER(H202),ROUND(ABS(H202),8)&gt;$F$6,FALSE)),2,IF(OR(M202=0,O202&gt;0,P202&gt;0,Q202&gt;0,R202&gt;0,S202&gt;0,U202&gt;0,V202&gt;0),1,0)))</f>
      </c>
      <c r="X202" s="0">
        <f>IF(B202="","",IF(ISNUMBER(G202),1,0))</f>
      </c>
      <c r="AB202" s="0">
        <f>IF(AND(ISNUMBER(W202),W202&gt;0),"ID "&amp;B202,"")</f>
      </c>
      <c r="AC202" s="0">
        <f>IF(AND(ISNUMBER(W202),W202&gt;0),C202,"")</f>
      </c>
      <c r="AD202" s="0">
        <f>IF(AND(ISNUMBER(W202),W202&gt;0),D202,"")</f>
      </c>
      <c r="AE202" s="0">
        <f>IF(AND(ISNUMBER(W202),W202&gt;0),IF(INDEX('PEGAR'!$D$13:$D$512,IF(L202&gt;0,L202,K202))="","Sin descripción",INDEX('PEGAR'!$D$13:$D$512,IF(L202&gt;0,L202,K202))),"")</f>
      </c>
      <c r="AF202" s="0">
        <f>IF(AND(ISNUMBER(W202),W202&gt;0),J202,"")</f>
      </c>
      <c r="AG202" s="0" t="n">
        <f>IF(AND(ISNUMBER(W202),W202&gt;0),W202,0)</f>
        <v>0</v>
      </c>
      <c r="AH202" s="0">
        <f>IF(AG202&gt;0,COUNTIFS($AG$13:AG202,"&gt;0"),"")</f>
      </c>
    </row>
    <row r="203" ht="22" customHeight="1">
      <c r="B203" s="27">
        <f>IF(K203="","",INDEX('PEGAR'!$O$13:$O$512,K203))</f>
      </c>
      <c r="C203" s="30">
        <f>IF(B203="","",IF(LEN(TRIM(INDEX('PEGAR'!$B$13:$B$512,IF(L203&gt;0,L203,K203))&amp;""))=0,"Sin capítulo",TRIM(INDEX('PEGAR'!$B$13:$B$512,IF(L203&gt;0,L203,K203))&amp;"")))</f>
      </c>
      <c r="D203" s="27">
        <f>IF(B203="","",IF(LEN(TRIM(INDEX('PEGAR'!$C$13:$C$512,IF(L203&gt;0,L203,K203))&amp;""))=0,"",TRIM(INDEX('PEGAR'!$C$13:$C$512,IF(L203&gt;0,L203,K203))&amp;"")))</f>
      </c>
      <c r="E203" s="27">
        <f>IF(B203="","",INDEX('PEGAR'!$S$13:$S$512,IF(L203&gt;0,L203,K203)))</f>
      </c>
      <c r="F203" s="39">
        <f>IF(B203="","",IF(L203&gt;0,INDEX('PEGAR'!$F$13:$F$512,L203),""))</f>
      </c>
      <c r="G203" s="39">
        <f>IF(B203="","",IF(OR(M203=0,N203&gt;0,O203&gt;0),"",SUMIFS('PEGAR'!$M$13:$M$512,'PEGAR'!$O$13:$O$512,B203)))</f>
      </c>
      <c r="H203" s="39">
        <f>IF(AND(ISNUMBER(F203),ISNUMBER(G203)),G203-F203,"")</f>
      </c>
      <c r="I203" s="27">
        <f>IF(B203="","",IF(W203=2,"ROJO",IF(W203=1,"ÁMBAR","VERDE")))</f>
      </c>
      <c r="J203" s="30">
        <f>IF(B203="","",IF(W203=0,"Sin avisos numéricos. Revisamos el alcance aparte.",IF(L203=0,"Faltan datos completos de partida; no elegimos un total por suposición."&amp;CHAR(10),"")&amp;IF(N203&gt;0,"Hay filas incompletas o contradictorias; las revisamos en PEGAR."&amp;CHAR(10),"")&amp;IF(O203&gt;0,"Faltan las medidas de alguna fila; no cerramos la suma."&amp;CHAR(10),"")&amp;IF(M203=0,"No constan líneas de medición."&amp;CHAR(10),"")&amp;IF(IF(ISNUMBER(H203),ROUND(ABS(H203),8)&gt;$F$6,FALSE),"Las líneas difieren del total en más de 0,01; confirmamos cantidad o exclusión."&amp;CHAR(10),"")&amp;IF(P203&gt;0,"Parece m³: encontramos tres dimensiones bajo m²."&amp;CHAR(10),"")&amp;IF(R203&gt;0,"Código repetido dentro del capítulo; mantenemos sus ID separados."&amp;CHAR(10),"")&amp;IF(S203&gt;0,"Código repetido en otro capítulo; no unimos las partidas."&amp;CHAR(10),"")&amp;IF(T203&gt;0,"Mismo código con unidades distintas; pedimos aclaración."&amp;CHAR(10),"")&amp;IF(Q203&gt;0,"Hay más precisión que los decimales indicados; cotejamos el formato original."&amp;CHAR(10),"")&amp;IF(U203&gt;0,"Unidad sin normalizar; cotejamos su significado antes de sumar unidades."&amp;CHAR(10),"")&amp;IF(V203&gt;0,"Revisamos dimensiones, cantidades directas, ceros o deducciones en PEGAR."&amp;CHAR(10),"")))</f>
      </c>
      <c r="K203" s="0">
        <f>IF(191&gt;'RESUMEN'!$E$6,"",MATCH(191,'PEGAR'!$W$13:$W$512,0))</f>
      </c>
      <c r="L203" s="0">
        <f>IF(K203="","",INDEX('PEGAR'!$R$13:$R$512,K203))</f>
      </c>
      <c r="M203" s="0">
        <f>IF(B203="","",COUNTIFS('PEGAR'!$O$13:$O$512,B203,'PEGAR'!$P$13:$P$512,"DIMENSIONES")+COUNTIFS('PEGAR'!$O$13:$O$512,B203,'PEGAR'!$P$13:$P$512,"DIRECTA"))</f>
      </c>
      <c r="N203" s="0">
        <f>IF(B203="","",COUNTIFS('PEGAR'!$O$13:$O$512,B203,'PEGAR'!$X$13:$X$512,2))</f>
      </c>
      <c r="O203" s="0">
        <f>IF(B203="","",COUNTIFS('PEGAR'!$O$13:$O$512,B203,'PEGAR'!$P$13:$P$512,"SIN LÍNEAS"))</f>
      </c>
      <c r="P203" s="0">
        <f>IF(B203="","",SUMIFS('PEGAR'!$Y$13:$Y$512,'PEGAR'!$O$13:$O$512,B203))</f>
      </c>
      <c r="Q203" s="0">
        <f>IF(B203="","",SUMIFS('PEGAR'!$Z$13:$Z$512,'PEGAR'!$O$13:$O$512,B203))</f>
      </c>
      <c r="R203" s="0" t="n">
        <f>IF(OR(B203="",D203=""),0,SUMPRODUCT(--($B$13:$B$512&lt;&gt;""),--($D$13:$D$512=D203),--($C$13:$C$512=C203))-1)</f>
        <v>0</v>
      </c>
      <c r="S203" s="0" t="n">
        <f>IF(OR(B203="",D203=""),0,SUMPRODUCT(--($B$13:$B$512&lt;&gt;""),--($D$13:$D$512=D203),--($C$13:$C$512&lt;&gt;C203)))</f>
        <v>0</v>
      </c>
      <c r="T203" s="0" t="n">
        <f>IF(OR(B203="",D203=""),0,SUMPRODUCT(--($B$13:$B$512&lt;&gt;""),--($D$13:$D$512=D203),--($E$13:$E$512&lt;&gt;E203)))</f>
        <v>0</v>
      </c>
      <c r="U203" s="0" t="n">
        <f>IF(B203="",0,IF(SUMPRODUCT(--('LÉEME'!$C$65:$C$86=E203))=0,1,0))</f>
        <v>0</v>
      </c>
      <c r="V203" s="0">
        <f>IF(B203="","",SUMIFS('PEGAR'!$AA$13:$AA$512,'PEGAR'!$O$13:$O$512,B203))</f>
      </c>
      <c r="W203" s="0">
        <f>IF(B203="","",IF(OR(L203=0,N203&gt;0,T203&gt;0,IF(ISNUMBER(H203),ROUND(ABS(H203),8)&gt;$F$6,FALSE)),2,IF(OR(M203=0,O203&gt;0,P203&gt;0,Q203&gt;0,R203&gt;0,S203&gt;0,U203&gt;0,V203&gt;0),1,0)))</f>
      </c>
      <c r="X203" s="0">
        <f>IF(B203="","",IF(ISNUMBER(G203),1,0))</f>
      </c>
      <c r="AB203" s="0">
        <f>IF(AND(ISNUMBER(W203),W203&gt;0),"ID "&amp;B203,"")</f>
      </c>
      <c r="AC203" s="0">
        <f>IF(AND(ISNUMBER(W203),W203&gt;0),C203,"")</f>
      </c>
      <c r="AD203" s="0">
        <f>IF(AND(ISNUMBER(W203),W203&gt;0),D203,"")</f>
      </c>
      <c r="AE203" s="0">
        <f>IF(AND(ISNUMBER(W203),W203&gt;0),IF(INDEX('PEGAR'!$D$13:$D$512,IF(L203&gt;0,L203,K203))="","Sin descripción",INDEX('PEGAR'!$D$13:$D$512,IF(L203&gt;0,L203,K203))),"")</f>
      </c>
      <c r="AF203" s="0">
        <f>IF(AND(ISNUMBER(W203),W203&gt;0),J203,"")</f>
      </c>
      <c r="AG203" s="0" t="n">
        <f>IF(AND(ISNUMBER(W203),W203&gt;0),W203,0)</f>
        <v>0</v>
      </c>
      <c r="AH203" s="0">
        <f>IF(AG203&gt;0,COUNTIFS($AG$13:AG203,"&gt;0"),"")</f>
      </c>
    </row>
    <row r="204" ht="22" customHeight="1">
      <c r="B204" s="27">
        <f>IF(K204="","",INDEX('PEGAR'!$O$13:$O$512,K204))</f>
      </c>
      <c r="C204" s="30">
        <f>IF(B204="","",IF(LEN(TRIM(INDEX('PEGAR'!$B$13:$B$512,IF(L204&gt;0,L204,K204))&amp;""))=0,"Sin capítulo",TRIM(INDEX('PEGAR'!$B$13:$B$512,IF(L204&gt;0,L204,K204))&amp;"")))</f>
      </c>
      <c r="D204" s="27">
        <f>IF(B204="","",IF(LEN(TRIM(INDEX('PEGAR'!$C$13:$C$512,IF(L204&gt;0,L204,K204))&amp;""))=0,"",TRIM(INDEX('PEGAR'!$C$13:$C$512,IF(L204&gt;0,L204,K204))&amp;"")))</f>
      </c>
      <c r="E204" s="27">
        <f>IF(B204="","",INDEX('PEGAR'!$S$13:$S$512,IF(L204&gt;0,L204,K204)))</f>
      </c>
      <c r="F204" s="39">
        <f>IF(B204="","",IF(L204&gt;0,INDEX('PEGAR'!$F$13:$F$512,L204),""))</f>
      </c>
      <c r="G204" s="39">
        <f>IF(B204="","",IF(OR(M204=0,N204&gt;0,O204&gt;0),"",SUMIFS('PEGAR'!$M$13:$M$512,'PEGAR'!$O$13:$O$512,B204)))</f>
      </c>
      <c r="H204" s="39">
        <f>IF(AND(ISNUMBER(F204),ISNUMBER(G204)),G204-F204,"")</f>
      </c>
      <c r="I204" s="27">
        <f>IF(B204="","",IF(W204=2,"ROJO",IF(W204=1,"ÁMBAR","VERDE")))</f>
      </c>
      <c r="J204" s="30">
        <f>IF(B204="","",IF(W204=0,"Sin avisos numéricos. Revisamos el alcance aparte.",IF(L204=0,"Faltan datos completos de partida; no elegimos un total por suposición."&amp;CHAR(10),"")&amp;IF(N204&gt;0,"Hay filas incompletas o contradictorias; las revisamos en PEGAR."&amp;CHAR(10),"")&amp;IF(O204&gt;0,"Faltan las medidas de alguna fila; no cerramos la suma."&amp;CHAR(10),"")&amp;IF(M204=0,"No constan líneas de medición."&amp;CHAR(10),"")&amp;IF(IF(ISNUMBER(H204),ROUND(ABS(H204),8)&gt;$F$6,FALSE),"Las líneas difieren del total en más de 0,01; confirmamos cantidad o exclusión."&amp;CHAR(10),"")&amp;IF(P204&gt;0,"Parece m³: encontramos tres dimensiones bajo m²."&amp;CHAR(10),"")&amp;IF(R204&gt;0,"Código repetido dentro del capítulo; mantenemos sus ID separados."&amp;CHAR(10),"")&amp;IF(S204&gt;0,"Código repetido en otro capítulo; no unimos las partidas."&amp;CHAR(10),"")&amp;IF(T204&gt;0,"Mismo código con unidades distintas; pedimos aclaración."&amp;CHAR(10),"")&amp;IF(Q204&gt;0,"Hay más precisión que los decimales indicados; cotejamos el formato original."&amp;CHAR(10),"")&amp;IF(U204&gt;0,"Unidad sin normalizar; cotejamos su significado antes de sumar unidades."&amp;CHAR(10),"")&amp;IF(V204&gt;0,"Revisamos dimensiones, cantidades directas, ceros o deducciones en PEGAR."&amp;CHAR(10),"")))</f>
      </c>
      <c r="K204" s="0">
        <f>IF(192&gt;'RESUMEN'!$E$6,"",MATCH(192,'PEGAR'!$W$13:$W$512,0))</f>
      </c>
      <c r="L204" s="0">
        <f>IF(K204="","",INDEX('PEGAR'!$R$13:$R$512,K204))</f>
      </c>
      <c r="M204" s="0">
        <f>IF(B204="","",COUNTIFS('PEGAR'!$O$13:$O$512,B204,'PEGAR'!$P$13:$P$512,"DIMENSIONES")+COUNTIFS('PEGAR'!$O$13:$O$512,B204,'PEGAR'!$P$13:$P$512,"DIRECTA"))</f>
      </c>
      <c r="N204" s="0">
        <f>IF(B204="","",COUNTIFS('PEGAR'!$O$13:$O$512,B204,'PEGAR'!$X$13:$X$512,2))</f>
      </c>
      <c r="O204" s="0">
        <f>IF(B204="","",COUNTIFS('PEGAR'!$O$13:$O$512,B204,'PEGAR'!$P$13:$P$512,"SIN LÍNEAS"))</f>
      </c>
      <c r="P204" s="0">
        <f>IF(B204="","",SUMIFS('PEGAR'!$Y$13:$Y$512,'PEGAR'!$O$13:$O$512,B204))</f>
      </c>
      <c r="Q204" s="0">
        <f>IF(B204="","",SUMIFS('PEGAR'!$Z$13:$Z$512,'PEGAR'!$O$13:$O$512,B204))</f>
      </c>
      <c r="R204" s="0" t="n">
        <f>IF(OR(B204="",D204=""),0,SUMPRODUCT(--($B$13:$B$512&lt;&gt;""),--($D$13:$D$512=D204),--($C$13:$C$512=C204))-1)</f>
        <v>0</v>
      </c>
      <c r="S204" s="0" t="n">
        <f>IF(OR(B204="",D204=""),0,SUMPRODUCT(--($B$13:$B$512&lt;&gt;""),--($D$13:$D$512=D204),--($C$13:$C$512&lt;&gt;C204)))</f>
        <v>0</v>
      </c>
      <c r="T204" s="0" t="n">
        <f>IF(OR(B204="",D204=""),0,SUMPRODUCT(--($B$13:$B$512&lt;&gt;""),--($D$13:$D$512=D204),--($E$13:$E$512&lt;&gt;E204)))</f>
        <v>0</v>
      </c>
      <c r="U204" s="0" t="n">
        <f>IF(B204="",0,IF(SUMPRODUCT(--('LÉEME'!$C$65:$C$86=E204))=0,1,0))</f>
        <v>0</v>
      </c>
      <c r="V204" s="0">
        <f>IF(B204="","",SUMIFS('PEGAR'!$AA$13:$AA$512,'PEGAR'!$O$13:$O$512,B204))</f>
      </c>
      <c r="W204" s="0">
        <f>IF(B204="","",IF(OR(L204=0,N204&gt;0,T204&gt;0,IF(ISNUMBER(H204),ROUND(ABS(H204),8)&gt;$F$6,FALSE)),2,IF(OR(M204=0,O204&gt;0,P204&gt;0,Q204&gt;0,R204&gt;0,S204&gt;0,U204&gt;0,V204&gt;0),1,0)))</f>
      </c>
      <c r="X204" s="0">
        <f>IF(B204="","",IF(ISNUMBER(G204),1,0))</f>
      </c>
      <c r="AB204" s="0">
        <f>IF(AND(ISNUMBER(W204),W204&gt;0),"ID "&amp;B204,"")</f>
      </c>
      <c r="AC204" s="0">
        <f>IF(AND(ISNUMBER(W204),W204&gt;0),C204,"")</f>
      </c>
      <c r="AD204" s="0">
        <f>IF(AND(ISNUMBER(W204),W204&gt;0),D204,"")</f>
      </c>
      <c r="AE204" s="0">
        <f>IF(AND(ISNUMBER(W204),W204&gt;0),IF(INDEX('PEGAR'!$D$13:$D$512,IF(L204&gt;0,L204,K204))="","Sin descripción",INDEX('PEGAR'!$D$13:$D$512,IF(L204&gt;0,L204,K204))),"")</f>
      </c>
      <c r="AF204" s="0">
        <f>IF(AND(ISNUMBER(W204),W204&gt;0),J204,"")</f>
      </c>
      <c r="AG204" s="0" t="n">
        <f>IF(AND(ISNUMBER(W204),W204&gt;0),W204,0)</f>
        <v>0</v>
      </c>
      <c r="AH204" s="0">
        <f>IF(AG204&gt;0,COUNTIFS($AG$13:AG204,"&gt;0"),"")</f>
      </c>
    </row>
    <row r="205" ht="22" customHeight="1">
      <c r="B205" s="27">
        <f>IF(K205="","",INDEX('PEGAR'!$O$13:$O$512,K205))</f>
      </c>
      <c r="C205" s="30">
        <f>IF(B205="","",IF(LEN(TRIM(INDEX('PEGAR'!$B$13:$B$512,IF(L205&gt;0,L205,K205))&amp;""))=0,"Sin capítulo",TRIM(INDEX('PEGAR'!$B$13:$B$512,IF(L205&gt;0,L205,K205))&amp;"")))</f>
      </c>
      <c r="D205" s="27">
        <f>IF(B205="","",IF(LEN(TRIM(INDEX('PEGAR'!$C$13:$C$512,IF(L205&gt;0,L205,K205))&amp;""))=0,"",TRIM(INDEX('PEGAR'!$C$13:$C$512,IF(L205&gt;0,L205,K205))&amp;"")))</f>
      </c>
      <c r="E205" s="27">
        <f>IF(B205="","",INDEX('PEGAR'!$S$13:$S$512,IF(L205&gt;0,L205,K205)))</f>
      </c>
      <c r="F205" s="39">
        <f>IF(B205="","",IF(L205&gt;0,INDEX('PEGAR'!$F$13:$F$512,L205),""))</f>
      </c>
      <c r="G205" s="39">
        <f>IF(B205="","",IF(OR(M205=0,N205&gt;0,O205&gt;0),"",SUMIFS('PEGAR'!$M$13:$M$512,'PEGAR'!$O$13:$O$512,B205)))</f>
      </c>
      <c r="H205" s="39">
        <f>IF(AND(ISNUMBER(F205),ISNUMBER(G205)),G205-F205,"")</f>
      </c>
      <c r="I205" s="27">
        <f>IF(B205="","",IF(W205=2,"ROJO",IF(W205=1,"ÁMBAR","VERDE")))</f>
      </c>
      <c r="J205" s="30">
        <f>IF(B205="","",IF(W205=0,"Sin avisos numéricos. Revisamos el alcance aparte.",IF(L205=0,"Faltan datos completos de partida; no elegimos un total por suposición."&amp;CHAR(10),"")&amp;IF(N205&gt;0,"Hay filas incompletas o contradictorias; las revisamos en PEGAR."&amp;CHAR(10),"")&amp;IF(O205&gt;0,"Faltan las medidas de alguna fila; no cerramos la suma."&amp;CHAR(10),"")&amp;IF(M205=0,"No constan líneas de medición."&amp;CHAR(10),"")&amp;IF(IF(ISNUMBER(H205),ROUND(ABS(H205),8)&gt;$F$6,FALSE),"Las líneas difieren del total en más de 0,01; confirmamos cantidad o exclusión."&amp;CHAR(10),"")&amp;IF(P205&gt;0,"Parece m³: encontramos tres dimensiones bajo m²."&amp;CHAR(10),"")&amp;IF(R205&gt;0,"Código repetido dentro del capítulo; mantenemos sus ID separados."&amp;CHAR(10),"")&amp;IF(S205&gt;0,"Código repetido en otro capítulo; no unimos las partidas."&amp;CHAR(10),"")&amp;IF(T205&gt;0,"Mismo código con unidades distintas; pedimos aclaración."&amp;CHAR(10),"")&amp;IF(Q205&gt;0,"Hay más precisión que los decimales indicados; cotejamos el formato original."&amp;CHAR(10),"")&amp;IF(U205&gt;0,"Unidad sin normalizar; cotejamos su significado antes de sumar unidades."&amp;CHAR(10),"")&amp;IF(V205&gt;0,"Revisamos dimensiones, cantidades directas, ceros o deducciones en PEGAR."&amp;CHAR(10),"")))</f>
      </c>
      <c r="K205" s="0">
        <f>IF(193&gt;'RESUMEN'!$E$6,"",MATCH(193,'PEGAR'!$W$13:$W$512,0))</f>
      </c>
      <c r="L205" s="0">
        <f>IF(K205="","",INDEX('PEGAR'!$R$13:$R$512,K205))</f>
      </c>
      <c r="M205" s="0">
        <f>IF(B205="","",COUNTIFS('PEGAR'!$O$13:$O$512,B205,'PEGAR'!$P$13:$P$512,"DIMENSIONES")+COUNTIFS('PEGAR'!$O$13:$O$512,B205,'PEGAR'!$P$13:$P$512,"DIRECTA"))</f>
      </c>
      <c r="N205" s="0">
        <f>IF(B205="","",COUNTIFS('PEGAR'!$O$13:$O$512,B205,'PEGAR'!$X$13:$X$512,2))</f>
      </c>
      <c r="O205" s="0">
        <f>IF(B205="","",COUNTIFS('PEGAR'!$O$13:$O$512,B205,'PEGAR'!$P$13:$P$512,"SIN LÍNEAS"))</f>
      </c>
      <c r="P205" s="0">
        <f>IF(B205="","",SUMIFS('PEGAR'!$Y$13:$Y$512,'PEGAR'!$O$13:$O$512,B205))</f>
      </c>
      <c r="Q205" s="0">
        <f>IF(B205="","",SUMIFS('PEGAR'!$Z$13:$Z$512,'PEGAR'!$O$13:$O$512,B205))</f>
      </c>
      <c r="R205" s="0" t="n">
        <f>IF(OR(B205="",D205=""),0,SUMPRODUCT(--($B$13:$B$512&lt;&gt;""),--($D$13:$D$512=D205),--($C$13:$C$512=C205))-1)</f>
        <v>0</v>
      </c>
      <c r="S205" s="0" t="n">
        <f>IF(OR(B205="",D205=""),0,SUMPRODUCT(--($B$13:$B$512&lt;&gt;""),--($D$13:$D$512=D205),--($C$13:$C$512&lt;&gt;C205)))</f>
        <v>0</v>
      </c>
      <c r="T205" s="0" t="n">
        <f>IF(OR(B205="",D205=""),0,SUMPRODUCT(--($B$13:$B$512&lt;&gt;""),--($D$13:$D$512=D205),--($E$13:$E$512&lt;&gt;E205)))</f>
        <v>0</v>
      </c>
      <c r="U205" s="0" t="n">
        <f>IF(B205="",0,IF(SUMPRODUCT(--('LÉEME'!$C$65:$C$86=E205))=0,1,0))</f>
        <v>0</v>
      </c>
      <c r="V205" s="0">
        <f>IF(B205="","",SUMIFS('PEGAR'!$AA$13:$AA$512,'PEGAR'!$O$13:$O$512,B205))</f>
      </c>
      <c r="W205" s="0">
        <f>IF(B205="","",IF(OR(L205=0,N205&gt;0,T205&gt;0,IF(ISNUMBER(H205),ROUND(ABS(H205),8)&gt;$F$6,FALSE)),2,IF(OR(M205=0,O205&gt;0,P205&gt;0,Q205&gt;0,R205&gt;0,S205&gt;0,U205&gt;0,V205&gt;0),1,0)))</f>
      </c>
      <c r="X205" s="0">
        <f>IF(B205="","",IF(ISNUMBER(G205),1,0))</f>
      </c>
      <c r="AB205" s="0">
        <f>IF(AND(ISNUMBER(W205),W205&gt;0),"ID "&amp;B205,"")</f>
      </c>
      <c r="AC205" s="0">
        <f>IF(AND(ISNUMBER(W205),W205&gt;0),C205,"")</f>
      </c>
      <c r="AD205" s="0">
        <f>IF(AND(ISNUMBER(W205),W205&gt;0),D205,"")</f>
      </c>
      <c r="AE205" s="0">
        <f>IF(AND(ISNUMBER(W205),W205&gt;0),IF(INDEX('PEGAR'!$D$13:$D$512,IF(L205&gt;0,L205,K205))="","Sin descripción",INDEX('PEGAR'!$D$13:$D$512,IF(L205&gt;0,L205,K205))),"")</f>
      </c>
      <c r="AF205" s="0">
        <f>IF(AND(ISNUMBER(W205),W205&gt;0),J205,"")</f>
      </c>
      <c r="AG205" s="0" t="n">
        <f>IF(AND(ISNUMBER(W205),W205&gt;0),W205,0)</f>
        <v>0</v>
      </c>
      <c r="AH205" s="0">
        <f>IF(AG205&gt;0,COUNTIFS($AG$13:AG205,"&gt;0"),"")</f>
      </c>
    </row>
    <row r="206" ht="22" customHeight="1">
      <c r="B206" s="27">
        <f>IF(K206="","",INDEX('PEGAR'!$O$13:$O$512,K206))</f>
      </c>
      <c r="C206" s="30">
        <f>IF(B206="","",IF(LEN(TRIM(INDEX('PEGAR'!$B$13:$B$512,IF(L206&gt;0,L206,K206))&amp;""))=0,"Sin capítulo",TRIM(INDEX('PEGAR'!$B$13:$B$512,IF(L206&gt;0,L206,K206))&amp;"")))</f>
      </c>
      <c r="D206" s="27">
        <f>IF(B206="","",IF(LEN(TRIM(INDEX('PEGAR'!$C$13:$C$512,IF(L206&gt;0,L206,K206))&amp;""))=0,"",TRIM(INDEX('PEGAR'!$C$13:$C$512,IF(L206&gt;0,L206,K206))&amp;"")))</f>
      </c>
      <c r="E206" s="27">
        <f>IF(B206="","",INDEX('PEGAR'!$S$13:$S$512,IF(L206&gt;0,L206,K206)))</f>
      </c>
      <c r="F206" s="39">
        <f>IF(B206="","",IF(L206&gt;0,INDEX('PEGAR'!$F$13:$F$512,L206),""))</f>
      </c>
      <c r="G206" s="39">
        <f>IF(B206="","",IF(OR(M206=0,N206&gt;0,O206&gt;0),"",SUMIFS('PEGAR'!$M$13:$M$512,'PEGAR'!$O$13:$O$512,B206)))</f>
      </c>
      <c r="H206" s="39">
        <f>IF(AND(ISNUMBER(F206),ISNUMBER(G206)),G206-F206,"")</f>
      </c>
      <c r="I206" s="27">
        <f>IF(B206="","",IF(W206=2,"ROJO",IF(W206=1,"ÁMBAR","VERDE")))</f>
      </c>
      <c r="J206" s="30">
        <f>IF(B206="","",IF(W206=0,"Sin avisos numéricos. Revisamos el alcance aparte.",IF(L206=0,"Faltan datos completos de partida; no elegimos un total por suposición."&amp;CHAR(10),"")&amp;IF(N206&gt;0,"Hay filas incompletas o contradictorias; las revisamos en PEGAR."&amp;CHAR(10),"")&amp;IF(O206&gt;0,"Faltan las medidas de alguna fila; no cerramos la suma."&amp;CHAR(10),"")&amp;IF(M206=0,"No constan líneas de medición."&amp;CHAR(10),"")&amp;IF(IF(ISNUMBER(H206),ROUND(ABS(H206),8)&gt;$F$6,FALSE),"Las líneas difieren del total en más de 0,01; confirmamos cantidad o exclusión."&amp;CHAR(10),"")&amp;IF(P206&gt;0,"Parece m³: encontramos tres dimensiones bajo m²."&amp;CHAR(10),"")&amp;IF(R206&gt;0,"Código repetido dentro del capítulo; mantenemos sus ID separados."&amp;CHAR(10),"")&amp;IF(S206&gt;0,"Código repetido en otro capítulo; no unimos las partidas."&amp;CHAR(10),"")&amp;IF(T206&gt;0,"Mismo código con unidades distintas; pedimos aclaración."&amp;CHAR(10),"")&amp;IF(Q206&gt;0,"Hay más precisión que los decimales indicados; cotejamos el formato original."&amp;CHAR(10),"")&amp;IF(U206&gt;0,"Unidad sin normalizar; cotejamos su significado antes de sumar unidades."&amp;CHAR(10),"")&amp;IF(V206&gt;0,"Revisamos dimensiones, cantidades directas, ceros o deducciones en PEGAR."&amp;CHAR(10),"")))</f>
      </c>
      <c r="K206" s="0">
        <f>IF(194&gt;'RESUMEN'!$E$6,"",MATCH(194,'PEGAR'!$W$13:$W$512,0))</f>
      </c>
      <c r="L206" s="0">
        <f>IF(K206="","",INDEX('PEGAR'!$R$13:$R$512,K206))</f>
      </c>
      <c r="M206" s="0">
        <f>IF(B206="","",COUNTIFS('PEGAR'!$O$13:$O$512,B206,'PEGAR'!$P$13:$P$512,"DIMENSIONES")+COUNTIFS('PEGAR'!$O$13:$O$512,B206,'PEGAR'!$P$13:$P$512,"DIRECTA"))</f>
      </c>
      <c r="N206" s="0">
        <f>IF(B206="","",COUNTIFS('PEGAR'!$O$13:$O$512,B206,'PEGAR'!$X$13:$X$512,2))</f>
      </c>
      <c r="O206" s="0">
        <f>IF(B206="","",COUNTIFS('PEGAR'!$O$13:$O$512,B206,'PEGAR'!$P$13:$P$512,"SIN LÍNEAS"))</f>
      </c>
      <c r="P206" s="0">
        <f>IF(B206="","",SUMIFS('PEGAR'!$Y$13:$Y$512,'PEGAR'!$O$13:$O$512,B206))</f>
      </c>
      <c r="Q206" s="0">
        <f>IF(B206="","",SUMIFS('PEGAR'!$Z$13:$Z$512,'PEGAR'!$O$13:$O$512,B206))</f>
      </c>
      <c r="R206" s="0" t="n">
        <f>IF(OR(B206="",D206=""),0,SUMPRODUCT(--($B$13:$B$512&lt;&gt;""),--($D$13:$D$512=D206),--($C$13:$C$512=C206))-1)</f>
        <v>0</v>
      </c>
      <c r="S206" s="0" t="n">
        <f>IF(OR(B206="",D206=""),0,SUMPRODUCT(--($B$13:$B$512&lt;&gt;""),--($D$13:$D$512=D206),--($C$13:$C$512&lt;&gt;C206)))</f>
        <v>0</v>
      </c>
      <c r="T206" s="0" t="n">
        <f>IF(OR(B206="",D206=""),0,SUMPRODUCT(--($B$13:$B$512&lt;&gt;""),--($D$13:$D$512=D206),--($E$13:$E$512&lt;&gt;E206)))</f>
        <v>0</v>
      </c>
      <c r="U206" s="0" t="n">
        <f>IF(B206="",0,IF(SUMPRODUCT(--('LÉEME'!$C$65:$C$86=E206))=0,1,0))</f>
        <v>0</v>
      </c>
      <c r="V206" s="0">
        <f>IF(B206="","",SUMIFS('PEGAR'!$AA$13:$AA$512,'PEGAR'!$O$13:$O$512,B206))</f>
      </c>
      <c r="W206" s="0">
        <f>IF(B206="","",IF(OR(L206=0,N206&gt;0,T206&gt;0,IF(ISNUMBER(H206),ROUND(ABS(H206),8)&gt;$F$6,FALSE)),2,IF(OR(M206=0,O206&gt;0,P206&gt;0,Q206&gt;0,R206&gt;0,S206&gt;0,U206&gt;0,V206&gt;0),1,0)))</f>
      </c>
      <c r="X206" s="0">
        <f>IF(B206="","",IF(ISNUMBER(G206),1,0))</f>
      </c>
      <c r="AB206" s="0">
        <f>IF(AND(ISNUMBER(W206),W206&gt;0),"ID "&amp;B206,"")</f>
      </c>
      <c r="AC206" s="0">
        <f>IF(AND(ISNUMBER(W206),W206&gt;0),C206,"")</f>
      </c>
      <c r="AD206" s="0">
        <f>IF(AND(ISNUMBER(W206),W206&gt;0),D206,"")</f>
      </c>
      <c r="AE206" s="0">
        <f>IF(AND(ISNUMBER(W206),W206&gt;0),IF(INDEX('PEGAR'!$D$13:$D$512,IF(L206&gt;0,L206,K206))="","Sin descripción",INDEX('PEGAR'!$D$13:$D$512,IF(L206&gt;0,L206,K206))),"")</f>
      </c>
      <c r="AF206" s="0">
        <f>IF(AND(ISNUMBER(W206),W206&gt;0),J206,"")</f>
      </c>
      <c r="AG206" s="0" t="n">
        <f>IF(AND(ISNUMBER(W206),W206&gt;0),W206,0)</f>
        <v>0</v>
      </c>
      <c r="AH206" s="0">
        <f>IF(AG206&gt;0,COUNTIFS($AG$13:AG206,"&gt;0"),"")</f>
      </c>
    </row>
    <row r="207" ht="22" customHeight="1">
      <c r="B207" s="27">
        <f>IF(K207="","",INDEX('PEGAR'!$O$13:$O$512,K207))</f>
      </c>
      <c r="C207" s="30">
        <f>IF(B207="","",IF(LEN(TRIM(INDEX('PEGAR'!$B$13:$B$512,IF(L207&gt;0,L207,K207))&amp;""))=0,"Sin capítulo",TRIM(INDEX('PEGAR'!$B$13:$B$512,IF(L207&gt;0,L207,K207))&amp;"")))</f>
      </c>
      <c r="D207" s="27">
        <f>IF(B207="","",IF(LEN(TRIM(INDEX('PEGAR'!$C$13:$C$512,IF(L207&gt;0,L207,K207))&amp;""))=0,"",TRIM(INDEX('PEGAR'!$C$13:$C$512,IF(L207&gt;0,L207,K207))&amp;"")))</f>
      </c>
      <c r="E207" s="27">
        <f>IF(B207="","",INDEX('PEGAR'!$S$13:$S$512,IF(L207&gt;0,L207,K207)))</f>
      </c>
      <c r="F207" s="39">
        <f>IF(B207="","",IF(L207&gt;0,INDEX('PEGAR'!$F$13:$F$512,L207),""))</f>
      </c>
      <c r="G207" s="39">
        <f>IF(B207="","",IF(OR(M207=0,N207&gt;0,O207&gt;0),"",SUMIFS('PEGAR'!$M$13:$M$512,'PEGAR'!$O$13:$O$512,B207)))</f>
      </c>
      <c r="H207" s="39">
        <f>IF(AND(ISNUMBER(F207),ISNUMBER(G207)),G207-F207,"")</f>
      </c>
      <c r="I207" s="27">
        <f>IF(B207="","",IF(W207=2,"ROJO",IF(W207=1,"ÁMBAR","VERDE")))</f>
      </c>
      <c r="J207" s="30">
        <f>IF(B207="","",IF(W207=0,"Sin avisos numéricos. Revisamos el alcance aparte.",IF(L207=0,"Faltan datos completos de partida; no elegimos un total por suposición."&amp;CHAR(10),"")&amp;IF(N207&gt;0,"Hay filas incompletas o contradictorias; las revisamos en PEGAR."&amp;CHAR(10),"")&amp;IF(O207&gt;0,"Faltan las medidas de alguna fila; no cerramos la suma."&amp;CHAR(10),"")&amp;IF(M207=0,"No constan líneas de medición."&amp;CHAR(10),"")&amp;IF(IF(ISNUMBER(H207),ROUND(ABS(H207),8)&gt;$F$6,FALSE),"Las líneas difieren del total en más de 0,01; confirmamos cantidad o exclusión."&amp;CHAR(10),"")&amp;IF(P207&gt;0,"Parece m³: encontramos tres dimensiones bajo m²."&amp;CHAR(10),"")&amp;IF(R207&gt;0,"Código repetido dentro del capítulo; mantenemos sus ID separados."&amp;CHAR(10),"")&amp;IF(S207&gt;0,"Código repetido en otro capítulo; no unimos las partidas."&amp;CHAR(10),"")&amp;IF(T207&gt;0,"Mismo código con unidades distintas; pedimos aclaración."&amp;CHAR(10),"")&amp;IF(Q207&gt;0,"Hay más precisión que los decimales indicados; cotejamos el formato original."&amp;CHAR(10),"")&amp;IF(U207&gt;0,"Unidad sin normalizar; cotejamos su significado antes de sumar unidades."&amp;CHAR(10),"")&amp;IF(V207&gt;0,"Revisamos dimensiones, cantidades directas, ceros o deducciones en PEGAR."&amp;CHAR(10),"")))</f>
      </c>
      <c r="K207" s="0">
        <f>IF(195&gt;'RESUMEN'!$E$6,"",MATCH(195,'PEGAR'!$W$13:$W$512,0))</f>
      </c>
      <c r="L207" s="0">
        <f>IF(K207="","",INDEX('PEGAR'!$R$13:$R$512,K207))</f>
      </c>
      <c r="M207" s="0">
        <f>IF(B207="","",COUNTIFS('PEGAR'!$O$13:$O$512,B207,'PEGAR'!$P$13:$P$512,"DIMENSIONES")+COUNTIFS('PEGAR'!$O$13:$O$512,B207,'PEGAR'!$P$13:$P$512,"DIRECTA"))</f>
      </c>
      <c r="N207" s="0">
        <f>IF(B207="","",COUNTIFS('PEGAR'!$O$13:$O$512,B207,'PEGAR'!$X$13:$X$512,2))</f>
      </c>
      <c r="O207" s="0">
        <f>IF(B207="","",COUNTIFS('PEGAR'!$O$13:$O$512,B207,'PEGAR'!$P$13:$P$512,"SIN LÍNEAS"))</f>
      </c>
      <c r="P207" s="0">
        <f>IF(B207="","",SUMIFS('PEGAR'!$Y$13:$Y$512,'PEGAR'!$O$13:$O$512,B207))</f>
      </c>
      <c r="Q207" s="0">
        <f>IF(B207="","",SUMIFS('PEGAR'!$Z$13:$Z$512,'PEGAR'!$O$13:$O$512,B207))</f>
      </c>
      <c r="R207" s="0" t="n">
        <f>IF(OR(B207="",D207=""),0,SUMPRODUCT(--($B$13:$B$512&lt;&gt;""),--($D$13:$D$512=D207),--($C$13:$C$512=C207))-1)</f>
        <v>0</v>
      </c>
      <c r="S207" s="0" t="n">
        <f>IF(OR(B207="",D207=""),0,SUMPRODUCT(--($B$13:$B$512&lt;&gt;""),--($D$13:$D$512=D207),--($C$13:$C$512&lt;&gt;C207)))</f>
        <v>0</v>
      </c>
      <c r="T207" s="0" t="n">
        <f>IF(OR(B207="",D207=""),0,SUMPRODUCT(--($B$13:$B$512&lt;&gt;""),--($D$13:$D$512=D207),--($E$13:$E$512&lt;&gt;E207)))</f>
        <v>0</v>
      </c>
      <c r="U207" s="0" t="n">
        <f>IF(B207="",0,IF(SUMPRODUCT(--('LÉEME'!$C$65:$C$86=E207))=0,1,0))</f>
        <v>0</v>
      </c>
      <c r="V207" s="0">
        <f>IF(B207="","",SUMIFS('PEGAR'!$AA$13:$AA$512,'PEGAR'!$O$13:$O$512,B207))</f>
      </c>
      <c r="W207" s="0">
        <f>IF(B207="","",IF(OR(L207=0,N207&gt;0,T207&gt;0,IF(ISNUMBER(H207),ROUND(ABS(H207),8)&gt;$F$6,FALSE)),2,IF(OR(M207=0,O207&gt;0,P207&gt;0,Q207&gt;0,R207&gt;0,S207&gt;0,U207&gt;0,V207&gt;0),1,0)))</f>
      </c>
      <c r="X207" s="0">
        <f>IF(B207="","",IF(ISNUMBER(G207),1,0))</f>
      </c>
      <c r="AB207" s="0">
        <f>IF(AND(ISNUMBER(W207),W207&gt;0),"ID "&amp;B207,"")</f>
      </c>
      <c r="AC207" s="0">
        <f>IF(AND(ISNUMBER(W207),W207&gt;0),C207,"")</f>
      </c>
      <c r="AD207" s="0">
        <f>IF(AND(ISNUMBER(W207),W207&gt;0),D207,"")</f>
      </c>
      <c r="AE207" s="0">
        <f>IF(AND(ISNUMBER(W207),W207&gt;0),IF(INDEX('PEGAR'!$D$13:$D$512,IF(L207&gt;0,L207,K207))="","Sin descripción",INDEX('PEGAR'!$D$13:$D$512,IF(L207&gt;0,L207,K207))),"")</f>
      </c>
      <c r="AF207" s="0">
        <f>IF(AND(ISNUMBER(W207),W207&gt;0),J207,"")</f>
      </c>
      <c r="AG207" s="0" t="n">
        <f>IF(AND(ISNUMBER(W207),W207&gt;0),W207,0)</f>
        <v>0</v>
      </c>
      <c r="AH207" s="0">
        <f>IF(AG207&gt;0,COUNTIFS($AG$13:AG207,"&gt;0"),"")</f>
      </c>
    </row>
    <row r="208" ht="22" customHeight="1">
      <c r="B208" s="27">
        <f>IF(K208="","",INDEX('PEGAR'!$O$13:$O$512,K208))</f>
      </c>
      <c r="C208" s="30">
        <f>IF(B208="","",IF(LEN(TRIM(INDEX('PEGAR'!$B$13:$B$512,IF(L208&gt;0,L208,K208))&amp;""))=0,"Sin capítulo",TRIM(INDEX('PEGAR'!$B$13:$B$512,IF(L208&gt;0,L208,K208))&amp;"")))</f>
      </c>
      <c r="D208" s="27">
        <f>IF(B208="","",IF(LEN(TRIM(INDEX('PEGAR'!$C$13:$C$512,IF(L208&gt;0,L208,K208))&amp;""))=0,"",TRIM(INDEX('PEGAR'!$C$13:$C$512,IF(L208&gt;0,L208,K208))&amp;"")))</f>
      </c>
      <c r="E208" s="27">
        <f>IF(B208="","",INDEX('PEGAR'!$S$13:$S$512,IF(L208&gt;0,L208,K208)))</f>
      </c>
      <c r="F208" s="39">
        <f>IF(B208="","",IF(L208&gt;0,INDEX('PEGAR'!$F$13:$F$512,L208),""))</f>
      </c>
      <c r="G208" s="39">
        <f>IF(B208="","",IF(OR(M208=0,N208&gt;0,O208&gt;0),"",SUMIFS('PEGAR'!$M$13:$M$512,'PEGAR'!$O$13:$O$512,B208)))</f>
      </c>
      <c r="H208" s="39">
        <f>IF(AND(ISNUMBER(F208),ISNUMBER(G208)),G208-F208,"")</f>
      </c>
      <c r="I208" s="27">
        <f>IF(B208="","",IF(W208=2,"ROJO",IF(W208=1,"ÁMBAR","VERDE")))</f>
      </c>
      <c r="J208" s="30">
        <f>IF(B208="","",IF(W208=0,"Sin avisos numéricos. Revisamos el alcance aparte.",IF(L208=0,"Faltan datos completos de partida; no elegimos un total por suposición."&amp;CHAR(10),"")&amp;IF(N208&gt;0,"Hay filas incompletas o contradictorias; las revisamos en PEGAR."&amp;CHAR(10),"")&amp;IF(O208&gt;0,"Faltan las medidas de alguna fila; no cerramos la suma."&amp;CHAR(10),"")&amp;IF(M208=0,"No constan líneas de medición."&amp;CHAR(10),"")&amp;IF(IF(ISNUMBER(H208),ROUND(ABS(H208),8)&gt;$F$6,FALSE),"Las líneas difieren del total en más de 0,01; confirmamos cantidad o exclusión."&amp;CHAR(10),"")&amp;IF(P208&gt;0,"Parece m³: encontramos tres dimensiones bajo m²."&amp;CHAR(10),"")&amp;IF(R208&gt;0,"Código repetido dentro del capítulo; mantenemos sus ID separados."&amp;CHAR(10),"")&amp;IF(S208&gt;0,"Código repetido en otro capítulo; no unimos las partidas."&amp;CHAR(10),"")&amp;IF(T208&gt;0,"Mismo código con unidades distintas; pedimos aclaración."&amp;CHAR(10),"")&amp;IF(Q208&gt;0,"Hay más precisión que los decimales indicados; cotejamos el formato original."&amp;CHAR(10),"")&amp;IF(U208&gt;0,"Unidad sin normalizar; cotejamos su significado antes de sumar unidades."&amp;CHAR(10),"")&amp;IF(V208&gt;0,"Revisamos dimensiones, cantidades directas, ceros o deducciones en PEGAR."&amp;CHAR(10),"")))</f>
      </c>
      <c r="K208" s="0">
        <f>IF(196&gt;'RESUMEN'!$E$6,"",MATCH(196,'PEGAR'!$W$13:$W$512,0))</f>
      </c>
      <c r="L208" s="0">
        <f>IF(K208="","",INDEX('PEGAR'!$R$13:$R$512,K208))</f>
      </c>
      <c r="M208" s="0">
        <f>IF(B208="","",COUNTIFS('PEGAR'!$O$13:$O$512,B208,'PEGAR'!$P$13:$P$512,"DIMENSIONES")+COUNTIFS('PEGAR'!$O$13:$O$512,B208,'PEGAR'!$P$13:$P$512,"DIRECTA"))</f>
      </c>
      <c r="N208" s="0">
        <f>IF(B208="","",COUNTIFS('PEGAR'!$O$13:$O$512,B208,'PEGAR'!$X$13:$X$512,2))</f>
      </c>
      <c r="O208" s="0">
        <f>IF(B208="","",COUNTIFS('PEGAR'!$O$13:$O$512,B208,'PEGAR'!$P$13:$P$512,"SIN LÍNEAS"))</f>
      </c>
      <c r="P208" s="0">
        <f>IF(B208="","",SUMIFS('PEGAR'!$Y$13:$Y$512,'PEGAR'!$O$13:$O$512,B208))</f>
      </c>
      <c r="Q208" s="0">
        <f>IF(B208="","",SUMIFS('PEGAR'!$Z$13:$Z$512,'PEGAR'!$O$13:$O$512,B208))</f>
      </c>
      <c r="R208" s="0" t="n">
        <f>IF(OR(B208="",D208=""),0,SUMPRODUCT(--($B$13:$B$512&lt;&gt;""),--($D$13:$D$512=D208),--($C$13:$C$512=C208))-1)</f>
        <v>0</v>
      </c>
      <c r="S208" s="0" t="n">
        <f>IF(OR(B208="",D208=""),0,SUMPRODUCT(--($B$13:$B$512&lt;&gt;""),--($D$13:$D$512=D208),--($C$13:$C$512&lt;&gt;C208)))</f>
        <v>0</v>
      </c>
      <c r="T208" s="0" t="n">
        <f>IF(OR(B208="",D208=""),0,SUMPRODUCT(--($B$13:$B$512&lt;&gt;""),--($D$13:$D$512=D208),--($E$13:$E$512&lt;&gt;E208)))</f>
        <v>0</v>
      </c>
      <c r="U208" s="0" t="n">
        <f>IF(B208="",0,IF(SUMPRODUCT(--('LÉEME'!$C$65:$C$86=E208))=0,1,0))</f>
        <v>0</v>
      </c>
      <c r="V208" s="0">
        <f>IF(B208="","",SUMIFS('PEGAR'!$AA$13:$AA$512,'PEGAR'!$O$13:$O$512,B208))</f>
      </c>
      <c r="W208" s="0">
        <f>IF(B208="","",IF(OR(L208=0,N208&gt;0,T208&gt;0,IF(ISNUMBER(H208),ROUND(ABS(H208),8)&gt;$F$6,FALSE)),2,IF(OR(M208=0,O208&gt;0,P208&gt;0,Q208&gt;0,R208&gt;0,S208&gt;0,U208&gt;0,V208&gt;0),1,0)))</f>
      </c>
      <c r="X208" s="0">
        <f>IF(B208="","",IF(ISNUMBER(G208),1,0))</f>
      </c>
      <c r="AB208" s="0">
        <f>IF(AND(ISNUMBER(W208),W208&gt;0),"ID "&amp;B208,"")</f>
      </c>
      <c r="AC208" s="0">
        <f>IF(AND(ISNUMBER(W208),W208&gt;0),C208,"")</f>
      </c>
      <c r="AD208" s="0">
        <f>IF(AND(ISNUMBER(W208),W208&gt;0),D208,"")</f>
      </c>
      <c r="AE208" s="0">
        <f>IF(AND(ISNUMBER(W208),W208&gt;0),IF(INDEX('PEGAR'!$D$13:$D$512,IF(L208&gt;0,L208,K208))="","Sin descripción",INDEX('PEGAR'!$D$13:$D$512,IF(L208&gt;0,L208,K208))),"")</f>
      </c>
      <c r="AF208" s="0">
        <f>IF(AND(ISNUMBER(W208),W208&gt;0),J208,"")</f>
      </c>
      <c r="AG208" s="0" t="n">
        <f>IF(AND(ISNUMBER(W208),W208&gt;0),W208,0)</f>
        <v>0</v>
      </c>
      <c r="AH208" s="0">
        <f>IF(AG208&gt;0,COUNTIFS($AG$13:AG208,"&gt;0"),"")</f>
      </c>
    </row>
    <row r="209" ht="22" customHeight="1">
      <c r="B209" s="27">
        <f>IF(K209="","",INDEX('PEGAR'!$O$13:$O$512,K209))</f>
      </c>
      <c r="C209" s="30">
        <f>IF(B209="","",IF(LEN(TRIM(INDEX('PEGAR'!$B$13:$B$512,IF(L209&gt;0,L209,K209))&amp;""))=0,"Sin capítulo",TRIM(INDEX('PEGAR'!$B$13:$B$512,IF(L209&gt;0,L209,K209))&amp;"")))</f>
      </c>
      <c r="D209" s="27">
        <f>IF(B209="","",IF(LEN(TRIM(INDEX('PEGAR'!$C$13:$C$512,IF(L209&gt;0,L209,K209))&amp;""))=0,"",TRIM(INDEX('PEGAR'!$C$13:$C$512,IF(L209&gt;0,L209,K209))&amp;"")))</f>
      </c>
      <c r="E209" s="27">
        <f>IF(B209="","",INDEX('PEGAR'!$S$13:$S$512,IF(L209&gt;0,L209,K209)))</f>
      </c>
      <c r="F209" s="39">
        <f>IF(B209="","",IF(L209&gt;0,INDEX('PEGAR'!$F$13:$F$512,L209),""))</f>
      </c>
      <c r="G209" s="39">
        <f>IF(B209="","",IF(OR(M209=0,N209&gt;0,O209&gt;0),"",SUMIFS('PEGAR'!$M$13:$M$512,'PEGAR'!$O$13:$O$512,B209)))</f>
      </c>
      <c r="H209" s="39">
        <f>IF(AND(ISNUMBER(F209),ISNUMBER(G209)),G209-F209,"")</f>
      </c>
      <c r="I209" s="27">
        <f>IF(B209="","",IF(W209=2,"ROJO",IF(W209=1,"ÁMBAR","VERDE")))</f>
      </c>
      <c r="J209" s="30">
        <f>IF(B209="","",IF(W209=0,"Sin avisos numéricos. Revisamos el alcance aparte.",IF(L209=0,"Faltan datos completos de partida; no elegimos un total por suposición."&amp;CHAR(10),"")&amp;IF(N209&gt;0,"Hay filas incompletas o contradictorias; las revisamos en PEGAR."&amp;CHAR(10),"")&amp;IF(O209&gt;0,"Faltan las medidas de alguna fila; no cerramos la suma."&amp;CHAR(10),"")&amp;IF(M209=0,"No constan líneas de medición."&amp;CHAR(10),"")&amp;IF(IF(ISNUMBER(H209),ROUND(ABS(H209),8)&gt;$F$6,FALSE),"Las líneas difieren del total en más de 0,01; confirmamos cantidad o exclusión."&amp;CHAR(10),"")&amp;IF(P209&gt;0,"Parece m³: encontramos tres dimensiones bajo m²."&amp;CHAR(10),"")&amp;IF(R209&gt;0,"Código repetido dentro del capítulo; mantenemos sus ID separados."&amp;CHAR(10),"")&amp;IF(S209&gt;0,"Código repetido en otro capítulo; no unimos las partidas."&amp;CHAR(10),"")&amp;IF(T209&gt;0,"Mismo código con unidades distintas; pedimos aclaración."&amp;CHAR(10),"")&amp;IF(Q209&gt;0,"Hay más precisión que los decimales indicados; cotejamos el formato original."&amp;CHAR(10),"")&amp;IF(U209&gt;0,"Unidad sin normalizar; cotejamos su significado antes de sumar unidades."&amp;CHAR(10),"")&amp;IF(V209&gt;0,"Revisamos dimensiones, cantidades directas, ceros o deducciones en PEGAR."&amp;CHAR(10),"")))</f>
      </c>
      <c r="K209" s="0">
        <f>IF(197&gt;'RESUMEN'!$E$6,"",MATCH(197,'PEGAR'!$W$13:$W$512,0))</f>
      </c>
      <c r="L209" s="0">
        <f>IF(K209="","",INDEX('PEGAR'!$R$13:$R$512,K209))</f>
      </c>
      <c r="M209" s="0">
        <f>IF(B209="","",COUNTIFS('PEGAR'!$O$13:$O$512,B209,'PEGAR'!$P$13:$P$512,"DIMENSIONES")+COUNTIFS('PEGAR'!$O$13:$O$512,B209,'PEGAR'!$P$13:$P$512,"DIRECTA"))</f>
      </c>
      <c r="N209" s="0">
        <f>IF(B209="","",COUNTIFS('PEGAR'!$O$13:$O$512,B209,'PEGAR'!$X$13:$X$512,2))</f>
      </c>
      <c r="O209" s="0">
        <f>IF(B209="","",COUNTIFS('PEGAR'!$O$13:$O$512,B209,'PEGAR'!$P$13:$P$512,"SIN LÍNEAS"))</f>
      </c>
      <c r="P209" s="0">
        <f>IF(B209="","",SUMIFS('PEGAR'!$Y$13:$Y$512,'PEGAR'!$O$13:$O$512,B209))</f>
      </c>
      <c r="Q209" s="0">
        <f>IF(B209="","",SUMIFS('PEGAR'!$Z$13:$Z$512,'PEGAR'!$O$13:$O$512,B209))</f>
      </c>
      <c r="R209" s="0" t="n">
        <f>IF(OR(B209="",D209=""),0,SUMPRODUCT(--($B$13:$B$512&lt;&gt;""),--($D$13:$D$512=D209),--($C$13:$C$512=C209))-1)</f>
        <v>0</v>
      </c>
      <c r="S209" s="0" t="n">
        <f>IF(OR(B209="",D209=""),0,SUMPRODUCT(--($B$13:$B$512&lt;&gt;""),--($D$13:$D$512=D209),--($C$13:$C$512&lt;&gt;C209)))</f>
        <v>0</v>
      </c>
      <c r="T209" s="0" t="n">
        <f>IF(OR(B209="",D209=""),0,SUMPRODUCT(--($B$13:$B$512&lt;&gt;""),--($D$13:$D$512=D209),--($E$13:$E$512&lt;&gt;E209)))</f>
        <v>0</v>
      </c>
      <c r="U209" s="0" t="n">
        <f>IF(B209="",0,IF(SUMPRODUCT(--('LÉEME'!$C$65:$C$86=E209))=0,1,0))</f>
        <v>0</v>
      </c>
      <c r="V209" s="0">
        <f>IF(B209="","",SUMIFS('PEGAR'!$AA$13:$AA$512,'PEGAR'!$O$13:$O$512,B209))</f>
      </c>
      <c r="W209" s="0">
        <f>IF(B209="","",IF(OR(L209=0,N209&gt;0,T209&gt;0,IF(ISNUMBER(H209),ROUND(ABS(H209),8)&gt;$F$6,FALSE)),2,IF(OR(M209=0,O209&gt;0,P209&gt;0,Q209&gt;0,R209&gt;0,S209&gt;0,U209&gt;0,V209&gt;0),1,0)))</f>
      </c>
      <c r="X209" s="0">
        <f>IF(B209="","",IF(ISNUMBER(G209),1,0))</f>
      </c>
      <c r="AB209" s="0">
        <f>IF(AND(ISNUMBER(W209),W209&gt;0),"ID "&amp;B209,"")</f>
      </c>
      <c r="AC209" s="0">
        <f>IF(AND(ISNUMBER(W209),W209&gt;0),C209,"")</f>
      </c>
      <c r="AD209" s="0">
        <f>IF(AND(ISNUMBER(W209),W209&gt;0),D209,"")</f>
      </c>
      <c r="AE209" s="0">
        <f>IF(AND(ISNUMBER(W209),W209&gt;0),IF(INDEX('PEGAR'!$D$13:$D$512,IF(L209&gt;0,L209,K209))="","Sin descripción",INDEX('PEGAR'!$D$13:$D$512,IF(L209&gt;0,L209,K209))),"")</f>
      </c>
      <c r="AF209" s="0">
        <f>IF(AND(ISNUMBER(W209),W209&gt;0),J209,"")</f>
      </c>
      <c r="AG209" s="0" t="n">
        <f>IF(AND(ISNUMBER(W209),W209&gt;0),W209,0)</f>
        <v>0</v>
      </c>
      <c r="AH209" s="0">
        <f>IF(AG209&gt;0,COUNTIFS($AG$13:AG209,"&gt;0"),"")</f>
      </c>
    </row>
    <row r="210" ht="22" customHeight="1">
      <c r="B210" s="27">
        <f>IF(K210="","",INDEX('PEGAR'!$O$13:$O$512,K210))</f>
      </c>
      <c r="C210" s="30">
        <f>IF(B210="","",IF(LEN(TRIM(INDEX('PEGAR'!$B$13:$B$512,IF(L210&gt;0,L210,K210))&amp;""))=0,"Sin capítulo",TRIM(INDEX('PEGAR'!$B$13:$B$512,IF(L210&gt;0,L210,K210))&amp;"")))</f>
      </c>
      <c r="D210" s="27">
        <f>IF(B210="","",IF(LEN(TRIM(INDEX('PEGAR'!$C$13:$C$512,IF(L210&gt;0,L210,K210))&amp;""))=0,"",TRIM(INDEX('PEGAR'!$C$13:$C$512,IF(L210&gt;0,L210,K210))&amp;"")))</f>
      </c>
      <c r="E210" s="27">
        <f>IF(B210="","",INDEX('PEGAR'!$S$13:$S$512,IF(L210&gt;0,L210,K210)))</f>
      </c>
      <c r="F210" s="39">
        <f>IF(B210="","",IF(L210&gt;0,INDEX('PEGAR'!$F$13:$F$512,L210),""))</f>
      </c>
      <c r="G210" s="39">
        <f>IF(B210="","",IF(OR(M210=0,N210&gt;0,O210&gt;0),"",SUMIFS('PEGAR'!$M$13:$M$512,'PEGAR'!$O$13:$O$512,B210)))</f>
      </c>
      <c r="H210" s="39">
        <f>IF(AND(ISNUMBER(F210),ISNUMBER(G210)),G210-F210,"")</f>
      </c>
      <c r="I210" s="27">
        <f>IF(B210="","",IF(W210=2,"ROJO",IF(W210=1,"ÁMBAR","VERDE")))</f>
      </c>
      <c r="J210" s="30">
        <f>IF(B210="","",IF(W210=0,"Sin avisos numéricos. Revisamos el alcance aparte.",IF(L210=0,"Faltan datos completos de partida; no elegimos un total por suposición."&amp;CHAR(10),"")&amp;IF(N210&gt;0,"Hay filas incompletas o contradictorias; las revisamos en PEGAR."&amp;CHAR(10),"")&amp;IF(O210&gt;0,"Faltan las medidas de alguna fila; no cerramos la suma."&amp;CHAR(10),"")&amp;IF(M210=0,"No constan líneas de medición."&amp;CHAR(10),"")&amp;IF(IF(ISNUMBER(H210),ROUND(ABS(H210),8)&gt;$F$6,FALSE),"Las líneas difieren del total en más de 0,01; confirmamos cantidad o exclusión."&amp;CHAR(10),"")&amp;IF(P210&gt;0,"Parece m³: encontramos tres dimensiones bajo m²."&amp;CHAR(10),"")&amp;IF(R210&gt;0,"Código repetido dentro del capítulo; mantenemos sus ID separados."&amp;CHAR(10),"")&amp;IF(S210&gt;0,"Código repetido en otro capítulo; no unimos las partidas."&amp;CHAR(10),"")&amp;IF(T210&gt;0,"Mismo código con unidades distintas; pedimos aclaración."&amp;CHAR(10),"")&amp;IF(Q210&gt;0,"Hay más precisión que los decimales indicados; cotejamos el formato original."&amp;CHAR(10),"")&amp;IF(U210&gt;0,"Unidad sin normalizar; cotejamos su significado antes de sumar unidades."&amp;CHAR(10),"")&amp;IF(V210&gt;0,"Revisamos dimensiones, cantidades directas, ceros o deducciones en PEGAR."&amp;CHAR(10),"")))</f>
      </c>
      <c r="K210" s="0">
        <f>IF(198&gt;'RESUMEN'!$E$6,"",MATCH(198,'PEGAR'!$W$13:$W$512,0))</f>
      </c>
      <c r="L210" s="0">
        <f>IF(K210="","",INDEX('PEGAR'!$R$13:$R$512,K210))</f>
      </c>
      <c r="M210" s="0">
        <f>IF(B210="","",COUNTIFS('PEGAR'!$O$13:$O$512,B210,'PEGAR'!$P$13:$P$512,"DIMENSIONES")+COUNTIFS('PEGAR'!$O$13:$O$512,B210,'PEGAR'!$P$13:$P$512,"DIRECTA"))</f>
      </c>
      <c r="N210" s="0">
        <f>IF(B210="","",COUNTIFS('PEGAR'!$O$13:$O$512,B210,'PEGAR'!$X$13:$X$512,2))</f>
      </c>
      <c r="O210" s="0">
        <f>IF(B210="","",COUNTIFS('PEGAR'!$O$13:$O$512,B210,'PEGAR'!$P$13:$P$512,"SIN LÍNEAS"))</f>
      </c>
      <c r="P210" s="0">
        <f>IF(B210="","",SUMIFS('PEGAR'!$Y$13:$Y$512,'PEGAR'!$O$13:$O$512,B210))</f>
      </c>
      <c r="Q210" s="0">
        <f>IF(B210="","",SUMIFS('PEGAR'!$Z$13:$Z$512,'PEGAR'!$O$13:$O$512,B210))</f>
      </c>
      <c r="R210" s="0" t="n">
        <f>IF(OR(B210="",D210=""),0,SUMPRODUCT(--($B$13:$B$512&lt;&gt;""),--($D$13:$D$512=D210),--($C$13:$C$512=C210))-1)</f>
        <v>0</v>
      </c>
      <c r="S210" s="0" t="n">
        <f>IF(OR(B210="",D210=""),0,SUMPRODUCT(--($B$13:$B$512&lt;&gt;""),--($D$13:$D$512=D210),--($C$13:$C$512&lt;&gt;C210)))</f>
        <v>0</v>
      </c>
      <c r="T210" s="0" t="n">
        <f>IF(OR(B210="",D210=""),0,SUMPRODUCT(--($B$13:$B$512&lt;&gt;""),--($D$13:$D$512=D210),--($E$13:$E$512&lt;&gt;E210)))</f>
        <v>0</v>
      </c>
      <c r="U210" s="0" t="n">
        <f>IF(B210="",0,IF(SUMPRODUCT(--('LÉEME'!$C$65:$C$86=E210))=0,1,0))</f>
        <v>0</v>
      </c>
      <c r="V210" s="0">
        <f>IF(B210="","",SUMIFS('PEGAR'!$AA$13:$AA$512,'PEGAR'!$O$13:$O$512,B210))</f>
      </c>
      <c r="W210" s="0">
        <f>IF(B210="","",IF(OR(L210=0,N210&gt;0,T210&gt;0,IF(ISNUMBER(H210),ROUND(ABS(H210),8)&gt;$F$6,FALSE)),2,IF(OR(M210=0,O210&gt;0,P210&gt;0,Q210&gt;0,R210&gt;0,S210&gt;0,U210&gt;0,V210&gt;0),1,0)))</f>
      </c>
      <c r="X210" s="0">
        <f>IF(B210="","",IF(ISNUMBER(G210),1,0))</f>
      </c>
      <c r="AB210" s="0">
        <f>IF(AND(ISNUMBER(W210),W210&gt;0),"ID "&amp;B210,"")</f>
      </c>
      <c r="AC210" s="0">
        <f>IF(AND(ISNUMBER(W210),W210&gt;0),C210,"")</f>
      </c>
      <c r="AD210" s="0">
        <f>IF(AND(ISNUMBER(W210),W210&gt;0),D210,"")</f>
      </c>
      <c r="AE210" s="0">
        <f>IF(AND(ISNUMBER(W210),W210&gt;0),IF(INDEX('PEGAR'!$D$13:$D$512,IF(L210&gt;0,L210,K210))="","Sin descripción",INDEX('PEGAR'!$D$13:$D$512,IF(L210&gt;0,L210,K210))),"")</f>
      </c>
      <c r="AF210" s="0">
        <f>IF(AND(ISNUMBER(W210),W210&gt;0),J210,"")</f>
      </c>
      <c r="AG210" s="0" t="n">
        <f>IF(AND(ISNUMBER(W210),W210&gt;0),W210,0)</f>
        <v>0</v>
      </c>
      <c r="AH210" s="0">
        <f>IF(AG210&gt;0,COUNTIFS($AG$13:AG210,"&gt;0"),"")</f>
      </c>
    </row>
    <row r="211" ht="22" customHeight="1">
      <c r="B211" s="27">
        <f>IF(K211="","",INDEX('PEGAR'!$O$13:$O$512,K211))</f>
      </c>
      <c r="C211" s="30">
        <f>IF(B211="","",IF(LEN(TRIM(INDEX('PEGAR'!$B$13:$B$512,IF(L211&gt;0,L211,K211))&amp;""))=0,"Sin capítulo",TRIM(INDEX('PEGAR'!$B$13:$B$512,IF(L211&gt;0,L211,K211))&amp;"")))</f>
      </c>
      <c r="D211" s="27">
        <f>IF(B211="","",IF(LEN(TRIM(INDEX('PEGAR'!$C$13:$C$512,IF(L211&gt;0,L211,K211))&amp;""))=0,"",TRIM(INDEX('PEGAR'!$C$13:$C$512,IF(L211&gt;0,L211,K211))&amp;"")))</f>
      </c>
      <c r="E211" s="27">
        <f>IF(B211="","",INDEX('PEGAR'!$S$13:$S$512,IF(L211&gt;0,L211,K211)))</f>
      </c>
      <c r="F211" s="39">
        <f>IF(B211="","",IF(L211&gt;0,INDEX('PEGAR'!$F$13:$F$512,L211),""))</f>
      </c>
      <c r="G211" s="39">
        <f>IF(B211="","",IF(OR(M211=0,N211&gt;0,O211&gt;0),"",SUMIFS('PEGAR'!$M$13:$M$512,'PEGAR'!$O$13:$O$512,B211)))</f>
      </c>
      <c r="H211" s="39">
        <f>IF(AND(ISNUMBER(F211),ISNUMBER(G211)),G211-F211,"")</f>
      </c>
      <c r="I211" s="27">
        <f>IF(B211="","",IF(W211=2,"ROJO",IF(W211=1,"ÁMBAR","VERDE")))</f>
      </c>
      <c r="J211" s="30">
        <f>IF(B211="","",IF(W211=0,"Sin avisos numéricos. Revisamos el alcance aparte.",IF(L211=0,"Faltan datos completos de partida; no elegimos un total por suposición."&amp;CHAR(10),"")&amp;IF(N211&gt;0,"Hay filas incompletas o contradictorias; las revisamos en PEGAR."&amp;CHAR(10),"")&amp;IF(O211&gt;0,"Faltan las medidas de alguna fila; no cerramos la suma."&amp;CHAR(10),"")&amp;IF(M211=0,"No constan líneas de medición."&amp;CHAR(10),"")&amp;IF(IF(ISNUMBER(H211),ROUND(ABS(H211),8)&gt;$F$6,FALSE),"Las líneas difieren del total en más de 0,01; confirmamos cantidad o exclusión."&amp;CHAR(10),"")&amp;IF(P211&gt;0,"Parece m³: encontramos tres dimensiones bajo m²."&amp;CHAR(10),"")&amp;IF(R211&gt;0,"Código repetido dentro del capítulo; mantenemos sus ID separados."&amp;CHAR(10),"")&amp;IF(S211&gt;0,"Código repetido en otro capítulo; no unimos las partidas."&amp;CHAR(10),"")&amp;IF(T211&gt;0,"Mismo código con unidades distintas; pedimos aclaración."&amp;CHAR(10),"")&amp;IF(Q211&gt;0,"Hay más precisión que los decimales indicados; cotejamos el formato original."&amp;CHAR(10),"")&amp;IF(U211&gt;0,"Unidad sin normalizar; cotejamos su significado antes de sumar unidades."&amp;CHAR(10),"")&amp;IF(V211&gt;0,"Revisamos dimensiones, cantidades directas, ceros o deducciones en PEGAR."&amp;CHAR(10),"")))</f>
      </c>
      <c r="K211" s="0">
        <f>IF(199&gt;'RESUMEN'!$E$6,"",MATCH(199,'PEGAR'!$W$13:$W$512,0))</f>
      </c>
      <c r="L211" s="0">
        <f>IF(K211="","",INDEX('PEGAR'!$R$13:$R$512,K211))</f>
      </c>
      <c r="M211" s="0">
        <f>IF(B211="","",COUNTIFS('PEGAR'!$O$13:$O$512,B211,'PEGAR'!$P$13:$P$512,"DIMENSIONES")+COUNTIFS('PEGAR'!$O$13:$O$512,B211,'PEGAR'!$P$13:$P$512,"DIRECTA"))</f>
      </c>
      <c r="N211" s="0">
        <f>IF(B211="","",COUNTIFS('PEGAR'!$O$13:$O$512,B211,'PEGAR'!$X$13:$X$512,2))</f>
      </c>
      <c r="O211" s="0">
        <f>IF(B211="","",COUNTIFS('PEGAR'!$O$13:$O$512,B211,'PEGAR'!$P$13:$P$512,"SIN LÍNEAS"))</f>
      </c>
      <c r="P211" s="0">
        <f>IF(B211="","",SUMIFS('PEGAR'!$Y$13:$Y$512,'PEGAR'!$O$13:$O$512,B211))</f>
      </c>
      <c r="Q211" s="0">
        <f>IF(B211="","",SUMIFS('PEGAR'!$Z$13:$Z$512,'PEGAR'!$O$13:$O$512,B211))</f>
      </c>
      <c r="R211" s="0" t="n">
        <f>IF(OR(B211="",D211=""),0,SUMPRODUCT(--($B$13:$B$512&lt;&gt;""),--($D$13:$D$512=D211),--($C$13:$C$512=C211))-1)</f>
        <v>0</v>
      </c>
      <c r="S211" s="0" t="n">
        <f>IF(OR(B211="",D211=""),0,SUMPRODUCT(--($B$13:$B$512&lt;&gt;""),--($D$13:$D$512=D211),--($C$13:$C$512&lt;&gt;C211)))</f>
        <v>0</v>
      </c>
      <c r="T211" s="0" t="n">
        <f>IF(OR(B211="",D211=""),0,SUMPRODUCT(--($B$13:$B$512&lt;&gt;""),--($D$13:$D$512=D211),--($E$13:$E$512&lt;&gt;E211)))</f>
        <v>0</v>
      </c>
      <c r="U211" s="0" t="n">
        <f>IF(B211="",0,IF(SUMPRODUCT(--('LÉEME'!$C$65:$C$86=E211))=0,1,0))</f>
        <v>0</v>
      </c>
      <c r="V211" s="0">
        <f>IF(B211="","",SUMIFS('PEGAR'!$AA$13:$AA$512,'PEGAR'!$O$13:$O$512,B211))</f>
      </c>
      <c r="W211" s="0">
        <f>IF(B211="","",IF(OR(L211=0,N211&gt;0,T211&gt;0,IF(ISNUMBER(H211),ROUND(ABS(H211),8)&gt;$F$6,FALSE)),2,IF(OR(M211=0,O211&gt;0,P211&gt;0,Q211&gt;0,R211&gt;0,S211&gt;0,U211&gt;0,V211&gt;0),1,0)))</f>
      </c>
      <c r="X211" s="0">
        <f>IF(B211="","",IF(ISNUMBER(G211),1,0))</f>
      </c>
      <c r="AB211" s="0">
        <f>IF(AND(ISNUMBER(W211),W211&gt;0),"ID "&amp;B211,"")</f>
      </c>
      <c r="AC211" s="0">
        <f>IF(AND(ISNUMBER(W211),W211&gt;0),C211,"")</f>
      </c>
      <c r="AD211" s="0">
        <f>IF(AND(ISNUMBER(W211),W211&gt;0),D211,"")</f>
      </c>
      <c r="AE211" s="0">
        <f>IF(AND(ISNUMBER(W211),W211&gt;0),IF(INDEX('PEGAR'!$D$13:$D$512,IF(L211&gt;0,L211,K211))="","Sin descripción",INDEX('PEGAR'!$D$13:$D$512,IF(L211&gt;0,L211,K211))),"")</f>
      </c>
      <c r="AF211" s="0">
        <f>IF(AND(ISNUMBER(W211),W211&gt;0),J211,"")</f>
      </c>
      <c r="AG211" s="0" t="n">
        <f>IF(AND(ISNUMBER(W211),W211&gt;0),W211,0)</f>
        <v>0</v>
      </c>
      <c r="AH211" s="0">
        <f>IF(AG211&gt;0,COUNTIFS($AG$13:AG211,"&gt;0"),"")</f>
      </c>
    </row>
    <row r="212" ht="22" customHeight="1">
      <c r="B212" s="27">
        <f>IF(K212="","",INDEX('PEGAR'!$O$13:$O$512,K212))</f>
      </c>
      <c r="C212" s="30">
        <f>IF(B212="","",IF(LEN(TRIM(INDEX('PEGAR'!$B$13:$B$512,IF(L212&gt;0,L212,K212))&amp;""))=0,"Sin capítulo",TRIM(INDEX('PEGAR'!$B$13:$B$512,IF(L212&gt;0,L212,K212))&amp;"")))</f>
      </c>
      <c r="D212" s="27">
        <f>IF(B212="","",IF(LEN(TRIM(INDEX('PEGAR'!$C$13:$C$512,IF(L212&gt;0,L212,K212))&amp;""))=0,"",TRIM(INDEX('PEGAR'!$C$13:$C$512,IF(L212&gt;0,L212,K212))&amp;"")))</f>
      </c>
      <c r="E212" s="27">
        <f>IF(B212="","",INDEX('PEGAR'!$S$13:$S$512,IF(L212&gt;0,L212,K212)))</f>
      </c>
      <c r="F212" s="39">
        <f>IF(B212="","",IF(L212&gt;0,INDEX('PEGAR'!$F$13:$F$512,L212),""))</f>
      </c>
      <c r="G212" s="39">
        <f>IF(B212="","",IF(OR(M212=0,N212&gt;0,O212&gt;0),"",SUMIFS('PEGAR'!$M$13:$M$512,'PEGAR'!$O$13:$O$512,B212)))</f>
      </c>
      <c r="H212" s="39">
        <f>IF(AND(ISNUMBER(F212),ISNUMBER(G212)),G212-F212,"")</f>
      </c>
      <c r="I212" s="27">
        <f>IF(B212="","",IF(W212=2,"ROJO",IF(W212=1,"ÁMBAR","VERDE")))</f>
      </c>
      <c r="J212" s="30">
        <f>IF(B212="","",IF(W212=0,"Sin avisos numéricos. Revisamos el alcance aparte.",IF(L212=0,"Faltan datos completos de partida; no elegimos un total por suposición."&amp;CHAR(10),"")&amp;IF(N212&gt;0,"Hay filas incompletas o contradictorias; las revisamos en PEGAR."&amp;CHAR(10),"")&amp;IF(O212&gt;0,"Faltan las medidas de alguna fila; no cerramos la suma."&amp;CHAR(10),"")&amp;IF(M212=0,"No constan líneas de medición."&amp;CHAR(10),"")&amp;IF(IF(ISNUMBER(H212),ROUND(ABS(H212),8)&gt;$F$6,FALSE),"Las líneas difieren del total en más de 0,01; confirmamos cantidad o exclusión."&amp;CHAR(10),"")&amp;IF(P212&gt;0,"Parece m³: encontramos tres dimensiones bajo m²."&amp;CHAR(10),"")&amp;IF(R212&gt;0,"Código repetido dentro del capítulo; mantenemos sus ID separados."&amp;CHAR(10),"")&amp;IF(S212&gt;0,"Código repetido en otro capítulo; no unimos las partidas."&amp;CHAR(10),"")&amp;IF(T212&gt;0,"Mismo código con unidades distintas; pedimos aclaración."&amp;CHAR(10),"")&amp;IF(Q212&gt;0,"Hay más precisión que los decimales indicados; cotejamos el formato original."&amp;CHAR(10),"")&amp;IF(U212&gt;0,"Unidad sin normalizar; cotejamos su significado antes de sumar unidades."&amp;CHAR(10),"")&amp;IF(V212&gt;0,"Revisamos dimensiones, cantidades directas, ceros o deducciones en PEGAR."&amp;CHAR(10),"")))</f>
      </c>
      <c r="K212" s="0">
        <f>IF(200&gt;'RESUMEN'!$E$6,"",MATCH(200,'PEGAR'!$W$13:$W$512,0))</f>
      </c>
      <c r="L212" s="0">
        <f>IF(K212="","",INDEX('PEGAR'!$R$13:$R$512,K212))</f>
      </c>
      <c r="M212" s="0">
        <f>IF(B212="","",COUNTIFS('PEGAR'!$O$13:$O$512,B212,'PEGAR'!$P$13:$P$512,"DIMENSIONES")+COUNTIFS('PEGAR'!$O$13:$O$512,B212,'PEGAR'!$P$13:$P$512,"DIRECTA"))</f>
      </c>
      <c r="N212" s="0">
        <f>IF(B212="","",COUNTIFS('PEGAR'!$O$13:$O$512,B212,'PEGAR'!$X$13:$X$512,2))</f>
      </c>
      <c r="O212" s="0">
        <f>IF(B212="","",COUNTIFS('PEGAR'!$O$13:$O$512,B212,'PEGAR'!$P$13:$P$512,"SIN LÍNEAS"))</f>
      </c>
      <c r="P212" s="0">
        <f>IF(B212="","",SUMIFS('PEGAR'!$Y$13:$Y$512,'PEGAR'!$O$13:$O$512,B212))</f>
      </c>
      <c r="Q212" s="0">
        <f>IF(B212="","",SUMIFS('PEGAR'!$Z$13:$Z$512,'PEGAR'!$O$13:$O$512,B212))</f>
      </c>
      <c r="R212" s="0" t="n">
        <f>IF(OR(B212="",D212=""),0,SUMPRODUCT(--($B$13:$B$512&lt;&gt;""),--($D$13:$D$512=D212),--($C$13:$C$512=C212))-1)</f>
        <v>0</v>
      </c>
      <c r="S212" s="0" t="n">
        <f>IF(OR(B212="",D212=""),0,SUMPRODUCT(--($B$13:$B$512&lt;&gt;""),--($D$13:$D$512=D212),--($C$13:$C$512&lt;&gt;C212)))</f>
        <v>0</v>
      </c>
      <c r="T212" s="0" t="n">
        <f>IF(OR(B212="",D212=""),0,SUMPRODUCT(--($B$13:$B$512&lt;&gt;""),--($D$13:$D$512=D212),--($E$13:$E$512&lt;&gt;E212)))</f>
        <v>0</v>
      </c>
      <c r="U212" s="0" t="n">
        <f>IF(B212="",0,IF(SUMPRODUCT(--('LÉEME'!$C$65:$C$86=E212))=0,1,0))</f>
        <v>0</v>
      </c>
      <c r="V212" s="0">
        <f>IF(B212="","",SUMIFS('PEGAR'!$AA$13:$AA$512,'PEGAR'!$O$13:$O$512,B212))</f>
      </c>
      <c r="W212" s="0">
        <f>IF(B212="","",IF(OR(L212=0,N212&gt;0,T212&gt;0,IF(ISNUMBER(H212),ROUND(ABS(H212),8)&gt;$F$6,FALSE)),2,IF(OR(M212=0,O212&gt;0,P212&gt;0,Q212&gt;0,R212&gt;0,S212&gt;0,U212&gt;0,V212&gt;0),1,0)))</f>
      </c>
      <c r="X212" s="0">
        <f>IF(B212="","",IF(ISNUMBER(G212),1,0))</f>
      </c>
      <c r="AB212" s="0">
        <f>IF(AND(ISNUMBER(W212),W212&gt;0),"ID "&amp;B212,"")</f>
      </c>
      <c r="AC212" s="0">
        <f>IF(AND(ISNUMBER(W212),W212&gt;0),C212,"")</f>
      </c>
      <c r="AD212" s="0">
        <f>IF(AND(ISNUMBER(W212),W212&gt;0),D212,"")</f>
      </c>
      <c r="AE212" s="0">
        <f>IF(AND(ISNUMBER(W212),W212&gt;0),IF(INDEX('PEGAR'!$D$13:$D$512,IF(L212&gt;0,L212,K212))="","Sin descripción",INDEX('PEGAR'!$D$13:$D$512,IF(L212&gt;0,L212,K212))),"")</f>
      </c>
      <c r="AF212" s="0">
        <f>IF(AND(ISNUMBER(W212),W212&gt;0),J212,"")</f>
      </c>
      <c r="AG212" s="0" t="n">
        <f>IF(AND(ISNUMBER(W212),W212&gt;0),W212,0)</f>
        <v>0</v>
      </c>
      <c r="AH212" s="0">
        <f>IF(AG212&gt;0,COUNTIFS($AG$13:AG212,"&gt;0"),"")</f>
      </c>
    </row>
    <row r="213" ht="22" customHeight="1">
      <c r="B213" s="27">
        <f>IF(K213="","",INDEX('PEGAR'!$O$13:$O$512,K213))</f>
      </c>
      <c r="C213" s="30">
        <f>IF(B213="","",IF(LEN(TRIM(INDEX('PEGAR'!$B$13:$B$512,IF(L213&gt;0,L213,K213))&amp;""))=0,"Sin capítulo",TRIM(INDEX('PEGAR'!$B$13:$B$512,IF(L213&gt;0,L213,K213))&amp;"")))</f>
      </c>
      <c r="D213" s="27">
        <f>IF(B213="","",IF(LEN(TRIM(INDEX('PEGAR'!$C$13:$C$512,IF(L213&gt;0,L213,K213))&amp;""))=0,"",TRIM(INDEX('PEGAR'!$C$13:$C$512,IF(L213&gt;0,L213,K213))&amp;"")))</f>
      </c>
      <c r="E213" s="27">
        <f>IF(B213="","",INDEX('PEGAR'!$S$13:$S$512,IF(L213&gt;0,L213,K213)))</f>
      </c>
      <c r="F213" s="39">
        <f>IF(B213="","",IF(L213&gt;0,INDEX('PEGAR'!$F$13:$F$512,L213),""))</f>
      </c>
      <c r="G213" s="39">
        <f>IF(B213="","",IF(OR(M213=0,N213&gt;0,O213&gt;0),"",SUMIFS('PEGAR'!$M$13:$M$512,'PEGAR'!$O$13:$O$512,B213)))</f>
      </c>
      <c r="H213" s="39">
        <f>IF(AND(ISNUMBER(F213),ISNUMBER(G213)),G213-F213,"")</f>
      </c>
      <c r="I213" s="27">
        <f>IF(B213="","",IF(W213=2,"ROJO",IF(W213=1,"ÁMBAR","VERDE")))</f>
      </c>
      <c r="J213" s="30">
        <f>IF(B213="","",IF(W213=0,"Sin avisos numéricos. Revisamos el alcance aparte.",IF(L213=0,"Faltan datos completos de partida; no elegimos un total por suposición."&amp;CHAR(10),"")&amp;IF(N213&gt;0,"Hay filas incompletas o contradictorias; las revisamos en PEGAR."&amp;CHAR(10),"")&amp;IF(O213&gt;0,"Faltan las medidas de alguna fila; no cerramos la suma."&amp;CHAR(10),"")&amp;IF(M213=0,"No constan líneas de medición."&amp;CHAR(10),"")&amp;IF(IF(ISNUMBER(H213),ROUND(ABS(H213),8)&gt;$F$6,FALSE),"Las líneas difieren del total en más de 0,01; confirmamos cantidad o exclusión."&amp;CHAR(10),"")&amp;IF(P213&gt;0,"Parece m³: encontramos tres dimensiones bajo m²."&amp;CHAR(10),"")&amp;IF(R213&gt;0,"Código repetido dentro del capítulo; mantenemos sus ID separados."&amp;CHAR(10),"")&amp;IF(S213&gt;0,"Código repetido en otro capítulo; no unimos las partidas."&amp;CHAR(10),"")&amp;IF(T213&gt;0,"Mismo código con unidades distintas; pedimos aclaración."&amp;CHAR(10),"")&amp;IF(Q213&gt;0,"Hay más precisión que los decimales indicados; cotejamos el formato original."&amp;CHAR(10),"")&amp;IF(U213&gt;0,"Unidad sin normalizar; cotejamos su significado antes de sumar unidades."&amp;CHAR(10),"")&amp;IF(V213&gt;0,"Revisamos dimensiones, cantidades directas, ceros o deducciones en PEGAR."&amp;CHAR(10),"")))</f>
      </c>
      <c r="K213" s="0">
        <f>IF(201&gt;'RESUMEN'!$E$6,"",MATCH(201,'PEGAR'!$W$13:$W$512,0))</f>
      </c>
      <c r="L213" s="0">
        <f>IF(K213="","",INDEX('PEGAR'!$R$13:$R$512,K213))</f>
      </c>
      <c r="M213" s="0">
        <f>IF(B213="","",COUNTIFS('PEGAR'!$O$13:$O$512,B213,'PEGAR'!$P$13:$P$512,"DIMENSIONES")+COUNTIFS('PEGAR'!$O$13:$O$512,B213,'PEGAR'!$P$13:$P$512,"DIRECTA"))</f>
      </c>
      <c r="N213" s="0">
        <f>IF(B213="","",COUNTIFS('PEGAR'!$O$13:$O$512,B213,'PEGAR'!$X$13:$X$512,2))</f>
      </c>
      <c r="O213" s="0">
        <f>IF(B213="","",COUNTIFS('PEGAR'!$O$13:$O$512,B213,'PEGAR'!$P$13:$P$512,"SIN LÍNEAS"))</f>
      </c>
      <c r="P213" s="0">
        <f>IF(B213="","",SUMIFS('PEGAR'!$Y$13:$Y$512,'PEGAR'!$O$13:$O$512,B213))</f>
      </c>
      <c r="Q213" s="0">
        <f>IF(B213="","",SUMIFS('PEGAR'!$Z$13:$Z$512,'PEGAR'!$O$13:$O$512,B213))</f>
      </c>
      <c r="R213" s="0" t="n">
        <f>IF(OR(B213="",D213=""),0,SUMPRODUCT(--($B$13:$B$512&lt;&gt;""),--($D$13:$D$512=D213),--($C$13:$C$512=C213))-1)</f>
        <v>0</v>
      </c>
      <c r="S213" s="0" t="n">
        <f>IF(OR(B213="",D213=""),0,SUMPRODUCT(--($B$13:$B$512&lt;&gt;""),--($D$13:$D$512=D213),--($C$13:$C$512&lt;&gt;C213)))</f>
        <v>0</v>
      </c>
      <c r="T213" s="0" t="n">
        <f>IF(OR(B213="",D213=""),0,SUMPRODUCT(--($B$13:$B$512&lt;&gt;""),--($D$13:$D$512=D213),--($E$13:$E$512&lt;&gt;E213)))</f>
        <v>0</v>
      </c>
      <c r="U213" s="0" t="n">
        <f>IF(B213="",0,IF(SUMPRODUCT(--('LÉEME'!$C$65:$C$86=E213))=0,1,0))</f>
        <v>0</v>
      </c>
      <c r="V213" s="0">
        <f>IF(B213="","",SUMIFS('PEGAR'!$AA$13:$AA$512,'PEGAR'!$O$13:$O$512,B213))</f>
      </c>
      <c r="W213" s="0">
        <f>IF(B213="","",IF(OR(L213=0,N213&gt;0,T213&gt;0,IF(ISNUMBER(H213),ROUND(ABS(H213),8)&gt;$F$6,FALSE)),2,IF(OR(M213=0,O213&gt;0,P213&gt;0,Q213&gt;0,R213&gt;0,S213&gt;0,U213&gt;0,V213&gt;0),1,0)))</f>
      </c>
      <c r="X213" s="0">
        <f>IF(B213="","",IF(ISNUMBER(G213),1,0))</f>
      </c>
      <c r="AB213" s="0">
        <f>IF(AND(ISNUMBER(W213),W213&gt;0),"ID "&amp;B213,"")</f>
      </c>
      <c r="AC213" s="0">
        <f>IF(AND(ISNUMBER(W213),W213&gt;0),C213,"")</f>
      </c>
      <c r="AD213" s="0">
        <f>IF(AND(ISNUMBER(W213),W213&gt;0),D213,"")</f>
      </c>
      <c r="AE213" s="0">
        <f>IF(AND(ISNUMBER(W213),W213&gt;0),IF(INDEX('PEGAR'!$D$13:$D$512,IF(L213&gt;0,L213,K213))="","Sin descripción",INDEX('PEGAR'!$D$13:$D$512,IF(L213&gt;0,L213,K213))),"")</f>
      </c>
      <c r="AF213" s="0">
        <f>IF(AND(ISNUMBER(W213),W213&gt;0),J213,"")</f>
      </c>
      <c r="AG213" s="0" t="n">
        <f>IF(AND(ISNUMBER(W213),W213&gt;0),W213,0)</f>
        <v>0</v>
      </c>
      <c r="AH213" s="0">
        <f>IF(AG213&gt;0,COUNTIFS($AG$13:AG213,"&gt;0"),"")</f>
      </c>
    </row>
    <row r="214" ht="22" customHeight="1">
      <c r="B214" s="27">
        <f>IF(K214="","",INDEX('PEGAR'!$O$13:$O$512,K214))</f>
      </c>
      <c r="C214" s="30">
        <f>IF(B214="","",IF(LEN(TRIM(INDEX('PEGAR'!$B$13:$B$512,IF(L214&gt;0,L214,K214))&amp;""))=0,"Sin capítulo",TRIM(INDEX('PEGAR'!$B$13:$B$512,IF(L214&gt;0,L214,K214))&amp;"")))</f>
      </c>
      <c r="D214" s="27">
        <f>IF(B214="","",IF(LEN(TRIM(INDEX('PEGAR'!$C$13:$C$512,IF(L214&gt;0,L214,K214))&amp;""))=0,"",TRIM(INDEX('PEGAR'!$C$13:$C$512,IF(L214&gt;0,L214,K214))&amp;"")))</f>
      </c>
      <c r="E214" s="27">
        <f>IF(B214="","",INDEX('PEGAR'!$S$13:$S$512,IF(L214&gt;0,L214,K214)))</f>
      </c>
      <c r="F214" s="39">
        <f>IF(B214="","",IF(L214&gt;0,INDEX('PEGAR'!$F$13:$F$512,L214),""))</f>
      </c>
      <c r="G214" s="39">
        <f>IF(B214="","",IF(OR(M214=0,N214&gt;0,O214&gt;0),"",SUMIFS('PEGAR'!$M$13:$M$512,'PEGAR'!$O$13:$O$512,B214)))</f>
      </c>
      <c r="H214" s="39">
        <f>IF(AND(ISNUMBER(F214),ISNUMBER(G214)),G214-F214,"")</f>
      </c>
      <c r="I214" s="27">
        <f>IF(B214="","",IF(W214=2,"ROJO",IF(W214=1,"ÁMBAR","VERDE")))</f>
      </c>
      <c r="J214" s="30">
        <f>IF(B214="","",IF(W214=0,"Sin avisos numéricos. Revisamos el alcance aparte.",IF(L214=0,"Faltan datos completos de partida; no elegimos un total por suposición."&amp;CHAR(10),"")&amp;IF(N214&gt;0,"Hay filas incompletas o contradictorias; las revisamos en PEGAR."&amp;CHAR(10),"")&amp;IF(O214&gt;0,"Faltan las medidas de alguna fila; no cerramos la suma."&amp;CHAR(10),"")&amp;IF(M214=0,"No constan líneas de medición."&amp;CHAR(10),"")&amp;IF(IF(ISNUMBER(H214),ROUND(ABS(H214),8)&gt;$F$6,FALSE),"Las líneas difieren del total en más de 0,01; confirmamos cantidad o exclusión."&amp;CHAR(10),"")&amp;IF(P214&gt;0,"Parece m³: encontramos tres dimensiones bajo m²."&amp;CHAR(10),"")&amp;IF(R214&gt;0,"Código repetido dentro del capítulo; mantenemos sus ID separados."&amp;CHAR(10),"")&amp;IF(S214&gt;0,"Código repetido en otro capítulo; no unimos las partidas."&amp;CHAR(10),"")&amp;IF(T214&gt;0,"Mismo código con unidades distintas; pedimos aclaración."&amp;CHAR(10),"")&amp;IF(Q214&gt;0,"Hay más precisión que los decimales indicados; cotejamos el formato original."&amp;CHAR(10),"")&amp;IF(U214&gt;0,"Unidad sin normalizar; cotejamos su significado antes de sumar unidades."&amp;CHAR(10),"")&amp;IF(V214&gt;0,"Revisamos dimensiones, cantidades directas, ceros o deducciones en PEGAR."&amp;CHAR(10),"")))</f>
      </c>
      <c r="K214" s="0">
        <f>IF(202&gt;'RESUMEN'!$E$6,"",MATCH(202,'PEGAR'!$W$13:$W$512,0))</f>
      </c>
      <c r="L214" s="0">
        <f>IF(K214="","",INDEX('PEGAR'!$R$13:$R$512,K214))</f>
      </c>
      <c r="M214" s="0">
        <f>IF(B214="","",COUNTIFS('PEGAR'!$O$13:$O$512,B214,'PEGAR'!$P$13:$P$512,"DIMENSIONES")+COUNTIFS('PEGAR'!$O$13:$O$512,B214,'PEGAR'!$P$13:$P$512,"DIRECTA"))</f>
      </c>
      <c r="N214" s="0">
        <f>IF(B214="","",COUNTIFS('PEGAR'!$O$13:$O$512,B214,'PEGAR'!$X$13:$X$512,2))</f>
      </c>
      <c r="O214" s="0">
        <f>IF(B214="","",COUNTIFS('PEGAR'!$O$13:$O$512,B214,'PEGAR'!$P$13:$P$512,"SIN LÍNEAS"))</f>
      </c>
      <c r="P214" s="0">
        <f>IF(B214="","",SUMIFS('PEGAR'!$Y$13:$Y$512,'PEGAR'!$O$13:$O$512,B214))</f>
      </c>
      <c r="Q214" s="0">
        <f>IF(B214="","",SUMIFS('PEGAR'!$Z$13:$Z$512,'PEGAR'!$O$13:$O$512,B214))</f>
      </c>
      <c r="R214" s="0" t="n">
        <f>IF(OR(B214="",D214=""),0,SUMPRODUCT(--($B$13:$B$512&lt;&gt;""),--($D$13:$D$512=D214),--($C$13:$C$512=C214))-1)</f>
        <v>0</v>
      </c>
      <c r="S214" s="0" t="n">
        <f>IF(OR(B214="",D214=""),0,SUMPRODUCT(--($B$13:$B$512&lt;&gt;""),--($D$13:$D$512=D214),--($C$13:$C$512&lt;&gt;C214)))</f>
        <v>0</v>
      </c>
      <c r="T214" s="0" t="n">
        <f>IF(OR(B214="",D214=""),0,SUMPRODUCT(--($B$13:$B$512&lt;&gt;""),--($D$13:$D$512=D214),--($E$13:$E$512&lt;&gt;E214)))</f>
        <v>0</v>
      </c>
      <c r="U214" s="0" t="n">
        <f>IF(B214="",0,IF(SUMPRODUCT(--('LÉEME'!$C$65:$C$86=E214))=0,1,0))</f>
        <v>0</v>
      </c>
      <c r="V214" s="0">
        <f>IF(B214="","",SUMIFS('PEGAR'!$AA$13:$AA$512,'PEGAR'!$O$13:$O$512,B214))</f>
      </c>
      <c r="W214" s="0">
        <f>IF(B214="","",IF(OR(L214=0,N214&gt;0,T214&gt;0,IF(ISNUMBER(H214),ROUND(ABS(H214),8)&gt;$F$6,FALSE)),2,IF(OR(M214=0,O214&gt;0,P214&gt;0,Q214&gt;0,R214&gt;0,S214&gt;0,U214&gt;0,V214&gt;0),1,0)))</f>
      </c>
      <c r="X214" s="0">
        <f>IF(B214="","",IF(ISNUMBER(G214),1,0))</f>
      </c>
      <c r="AB214" s="0">
        <f>IF(AND(ISNUMBER(W214),W214&gt;0),"ID "&amp;B214,"")</f>
      </c>
      <c r="AC214" s="0">
        <f>IF(AND(ISNUMBER(W214),W214&gt;0),C214,"")</f>
      </c>
      <c r="AD214" s="0">
        <f>IF(AND(ISNUMBER(W214),W214&gt;0),D214,"")</f>
      </c>
      <c r="AE214" s="0">
        <f>IF(AND(ISNUMBER(W214),W214&gt;0),IF(INDEX('PEGAR'!$D$13:$D$512,IF(L214&gt;0,L214,K214))="","Sin descripción",INDEX('PEGAR'!$D$13:$D$512,IF(L214&gt;0,L214,K214))),"")</f>
      </c>
      <c r="AF214" s="0">
        <f>IF(AND(ISNUMBER(W214),W214&gt;0),J214,"")</f>
      </c>
      <c r="AG214" s="0" t="n">
        <f>IF(AND(ISNUMBER(W214),W214&gt;0),W214,0)</f>
        <v>0</v>
      </c>
      <c r="AH214" s="0">
        <f>IF(AG214&gt;0,COUNTIFS($AG$13:AG214,"&gt;0"),"")</f>
      </c>
    </row>
    <row r="215" ht="22" customHeight="1">
      <c r="B215" s="27">
        <f>IF(K215="","",INDEX('PEGAR'!$O$13:$O$512,K215))</f>
      </c>
      <c r="C215" s="30">
        <f>IF(B215="","",IF(LEN(TRIM(INDEX('PEGAR'!$B$13:$B$512,IF(L215&gt;0,L215,K215))&amp;""))=0,"Sin capítulo",TRIM(INDEX('PEGAR'!$B$13:$B$512,IF(L215&gt;0,L215,K215))&amp;"")))</f>
      </c>
      <c r="D215" s="27">
        <f>IF(B215="","",IF(LEN(TRIM(INDEX('PEGAR'!$C$13:$C$512,IF(L215&gt;0,L215,K215))&amp;""))=0,"",TRIM(INDEX('PEGAR'!$C$13:$C$512,IF(L215&gt;0,L215,K215))&amp;"")))</f>
      </c>
      <c r="E215" s="27">
        <f>IF(B215="","",INDEX('PEGAR'!$S$13:$S$512,IF(L215&gt;0,L215,K215)))</f>
      </c>
      <c r="F215" s="39">
        <f>IF(B215="","",IF(L215&gt;0,INDEX('PEGAR'!$F$13:$F$512,L215),""))</f>
      </c>
      <c r="G215" s="39">
        <f>IF(B215="","",IF(OR(M215=0,N215&gt;0,O215&gt;0),"",SUMIFS('PEGAR'!$M$13:$M$512,'PEGAR'!$O$13:$O$512,B215)))</f>
      </c>
      <c r="H215" s="39">
        <f>IF(AND(ISNUMBER(F215),ISNUMBER(G215)),G215-F215,"")</f>
      </c>
      <c r="I215" s="27">
        <f>IF(B215="","",IF(W215=2,"ROJO",IF(W215=1,"ÁMBAR","VERDE")))</f>
      </c>
      <c r="J215" s="30">
        <f>IF(B215="","",IF(W215=0,"Sin avisos numéricos. Revisamos el alcance aparte.",IF(L215=0,"Faltan datos completos de partida; no elegimos un total por suposición."&amp;CHAR(10),"")&amp;IF(N215&gt;0,"Hay filas incompletas o contradictorias; las revisamos en PEGAR."&amp;CHAR(10),"")&amp;IF(O215&gt;0,"Faltan las medidas de alguna fila; no cerramos la suma."&amp;CHAR(10),"")&amp;IF(M215=0,"No constan líneas de medición."&amp;CHAR(10),"")&amp;IF(IF(ISNUMBER(H215),ROUND(ABS(H215),8)&gt;$F$6,FALSE),"Las líneas difieren del total en más de 0,01; confirmamos cantidad o exclusión."&amp;CHAR(10),"")&amp;IF(P215&gt;0,"Parece m³: encontramos tres dimensiones bajo m²."&amp;CHAR(10),"")&amp;IF(R215&gt;0,"Código repetido dentro del capítulo; mantenemos sus ID separados."&amp;CHAR(10),"")&amp;IF(S215&gt;0,"Código repetido en otro capítulo; no unimos las partidas."&amp;CHAR(10),"")&amp;IF(T215&gt;0,"Mismo código con unidades distintas; pedimos aclaración."&amp;CHAR(10),"")&amp;IF(Q215&gt;0,"Hay más precisión que los decimales indicados; cotejamos el formato original."&amp;CHAR(10),"")&amp;IF(U215&gt;0,"Unidad sin normalizar; cotejamos su significado antes de sumar unidades."&amp;CHAR(10),"")&amp;IF(V215&gt;0,"Revisamos dimensiones, cantidades directas, ceros o deducciones en PEGAR."&amp;CHAR(10),"")))</f>
      </c>
      <c r="K215" s="0">
        <f>IF(203&gt;'RESUMEN'!$E$6,"",MATCH(203,'PEGAR'!$W$13:$W$512,0))</f>
      </c>
      <c r="L215" s="0">
        <f>IF(K215="","",INDEX('PEGAR'!$R$13:$R$512,K215))</f>
      </c>
      <c r="M215" s="0">
        <f>IF(B215="","",COUNTIFS('PEGAR'!$O$13:$O$512,B215,'PEGAR'!$P$13:$P$512,"DIMENSIONES")+COUNTIFS('PEGAR'!$O$13:$O$512,B215,'PEGAR'!$P$13:$P$512,"DIRECTA"))</f>
      </c>
      <c r="N215" s="0">
        <f>IF(B215="","",COUNTIFS('PEGAR'!$O$13:$O$512,B215,'PEGAR'!$X$13:$X$512,2))</f>
      </c>
      <c r="O215" s="0">
        <f>IF(B215="","",COUNTIFS('PEGAR'!$O$13:$O$512,B215,'PEGAR'!$P$13:$P$512,"SIN LÍNEAS"))</f>
      </c>
      <c r="P215" s="0">
        <f>IF(B215="","",SUMIFS('PEGAR'!$Y$13:$Y$512,'PEGAR'!$O$13:$O$512,B215))</f>
      </c>
      <c r="Q215" s="0">
        <f>IF(B215="","",SUMIFS('PEGAR'!$Z$13:$Z$512,'PEGAR'!$O$13:$O$512,B215))</f>
      </c>
      <c r="R215" s="0" t="n">
        <f>IF(OR(B215="",D215=""),0,SUMPRODUCT(--($B$13:$B$512&lt;&gt;""),--($D$13:$D$512=D215),--($C$13:$C$512=C215))-1)</f>
        <v>0</v>
      </c>
      <c r="S215" s="0" t="n">
        <f>IF(OR(B215="",D215=""),0,SUMPRODUCT(--($B$13:$B$512&lt;&gt;""),--($D$13:$D$512=D215),--($C$13:$C$512&lt;&gt;C215)))</f>
        <v>0</v>
      </c>
      <c r="T215" s="0" t="n">
        <f>IF(OR(B215="",D215=""),0,SUMPRODUCT(--($B$13:$B$512&lt;&gt;""),--($D$13:$D$512=D215),--($E$13:$E$512&lt;&gt;E215)))</f>
        <v>0</v>
      </c>
      <c r="U215" s="0" t="n">
        <f>IF(B215="",0,IF(SUMPRODUCT(--('LÉEME'!$C$65:$C$86=E215))=0,1,0))</f>
        <v>0</v>
      </c>
      <c r="V215" s="0">
        <f>IF(B215="","",SUMIFS('PEGAR'!$AA$13:$AA$512,'PEGAR'!$O$13:$O$512,B215))</f>
      </c>
      <c r="W215" s="0">
        <f>IF(B215="","",IF(OR(L215=0,N215&gt;0,T215&gt;0,IF(ISNUMBER(H215),ROUND(ABS(H215),8)&gt;$F$6,FALSE)),2,IF(OR(M215=0,O215&gt;0,P215&gt;0,Q215&gt;0,R215&gt;0,S215&gt;0,U215&gt;0,V215&gt;0),1,0)))</f>
      </c>
      <c r="X215" s="0">
        <f>IF(B215="","",IF(ISNUMBER(G215),1,0))</f>
      </c>
      <c r="AB215" s="0">
        <f>IF(AND(ISNUMBER(W215),W215&gt;0),"ID "&amp;B215,"")</f>
      </c>
      <c r="AC215" s="0">
        <f>IF(AND(ISNUMBER(W215),W215&gt;0),C215,"")</f>
      </c>
      <c r="AD215" s="0">
        <f>IF(AND(ISNUMBER(W215),W215&gt;0),D215,"")</f>
      </c>
      <c r="AE215" s="0">
        <f>IF(AND(ISNUMBER(W215),W215&gt;0),IF(INDEX('PEGAR'!$D$13:$D$512,IF(L215&gt;0,L215,K215))="","Sin descripción",INDEX('PEGAR'!$D$13:$D$512,IF(L215&gt;0,L215,K215))),"")</f>
      </c>
      <c r="AF215" s="0">
        <f>IF(AND(ISNUMBER(W215),W215&gt;0),J215,"")</f>
      </c>
      <c r="AG215" s="0" t="n">
        <f>IF(AND(ISNUMBER(W215),W215&gt;0),W215,0)</f>
        <v>0</v>
      </c>
      <c r="AH215" s="0">
        <f>IF(AG215&gt;0,COUNTIFS($AG$13:AG215,"&gt;0"),"")</f>
      </c>
    </row>
    <row r="216" ht="22" customHeight="1">
      <c r="B216" s="27">
        <f>IF(K216="","",INDEX('PEGAR'!$O$13:$O$512,K216))</f>
      </c>
      <c r="C216" s="30">
        <f>IF(B216="","",IF(LEN(TRIM(INDEX('PEGAR'!$B$13:$B$512,IF(L216&gt;0,L216,K216))&amp;""))=0,"Sin capítulo",TRIM(INDEX('PEGAR'!$B$13:$B$512,IF(L216&gt;0,L216,K216))&amp;"")))</f>
      </c>
      <c r="D216" s="27">
        <f>IF(B216="","",IF(LEN(TRIM(INDEX('PEGAR'!$C$13:$C$512,IF(L216&gt;0,L216,K216))&amp;""))=0,"",TRIM(INDEX('PEGAR'!$C$13:$C$512,IF(L216&gt;0,L216,K216))&amp;"")))</f>
      </c>
      <c r="E216" s="27">
        <f>IF(B216="","",INDEX('PEGAR'!$S$13:$S$512,IF(L216&gt;0,L216,K216)))</f>
      </c>
      <c r="F216" s="39">
        <f>IF(B216="","",IF(L216&gt;0,INDEX('PEGAR'!$F$13:$F$512,L216),""))</f>
      </c>
      <c r="G216" s="39">
        <f>IF(B216="","",IF(OR(M216=0,N216&gt;0,O216&gt;0),"",SUMIFS('PEGAR'!$M$13:$M$512,'PEGAR'!$O$13:$O$512,B216)))</f>
      </c>
      <c r="H216" s="39">
        <f>IF(AND(ISNUMBER(F216),ISNUMBER(G216)),G216-F216,"")</f>
      </c>
      <c r="I216" s="27">
        <f>IF(B216="","",IF(W216=2,"ROJO",IF(W216=1,"ÁMBAR","VERDE")))</f>
      </c>
      <c r="J216" s="30">
        <f>IF(B216="","",IF(W216=0,"Sin avisos numéricos. Revisamos el alcance aparte.",IF(L216=0,"Faltan datos completos de partida; no elegimos un total por suposición."&amp;CHAR(10),"")&amp;IF(N216&gt;0,"Hay filas incompletas o contradictorias; las revisamos en PEGAR."&amp;CHAR(10),"")&amp;IF(O216&gt;0,"Faltan las medidas de alguna fila; no cerramos la suma."&amp;CHAR(10),"")&amp;IF(M216=0,"No constan líneas de medición."&amp;CHAR(10),"")&amp;IF(IF(ISNUMBER(H216),ROUND(ABS(H216),8)&gt;$F$6,FALSE),"Las líneas difieren del total en más de 0,01; confirmamos cantidad o exclusión."&amp;CHAR(10),"")&amp;IF(P216&gt;0,"Parece m³: encontramos tres dimensiones bajo m²."&amp;CHAR(10),"")&amp;IF(R216&gt;0,"Código repetido dentro del capítulo; mantenemos sus ID separados."&amp;CHAR(10),"")&amp;IF(S216&gt;0,"Código repetido en otro capítulo; no unimos las partidas."&amp;CHAR(10),"")&amp;IF(T216&gt;0,"Mismo código con unidades distintas; pedimos aclaración."&amp;CHAR(10),"")&amp;IF(Q216&gt;0,"Hay más precisión que los decimales indicados; cotejamos el formato original."&amp;CHAR(10),"")&amp;IF(U216&gt;0,"Unidad sin normalizar; cotejamos su significado antes de sumar unidades."&amp;CHAR(10),"")&amp;IF(V216&gt;0,"Revisamos dimensiones, cantidades directas, ceros o deducciones en PEGAR."&amp;CHAR(10),"")))</f>
      </c>
      <c r="K216" s="0">
        <f>IF(204&gt;'RESUMEN'!$E$6,"",MATCH(204,'PEGAR'!$W$13:$W$512,0))</f>
      </c>
      <c r="L216" s="0">
        <f>IF(K216="","",INDEX('PEGAR'!$R$13:$R$512,K216))</f>
      </c>
      <c r="M216" s="0">
        <f>IF(B216="","",COUNTIFS('PEGAR'!$O$13:$O$512,B216,'PEGAR'!$P$13:$P$512,"DIMENSIONES")+COUNTIFS('PEGAR'!$O$13:$O$512,B216,'PEGAR'!$P$13:$P$512,"DIRECTA"))</f>
      </c>
      <c r="N216" s="0">
        <f>IF(B216="","",COUNTIFS('PEGAR'!$O$13:$O$512,B216,'PEGAR'!$X$13:$X$512,2))</f>
      </c>
      <c r="O216" s="0">
        <f>IF(B216="","",COUNTIFS('PEGAR'!$O$13:$O$512,B216,'PEGAR'!$P$13:$P$512,"SIN LÍNEAS"))</f>
      </c>
      <c r="P216" s="0">
        <f>IF(B216="","",SUMIFS('PEGAR'!$Y$13:$Y$512,'PEGAR'!$O$13:$O$512,B216))</f>
      </c>
      <c r="Q216" s="0">
        <f>IF(B216="","",SUMIFS('PEGAR'!$Z$13:$Z$512,'PEGAR'!$O$13:$O$512,B216))</f>
      </c>
      <c r="R216" s="0" t="n">
        <f>IF(OR(B216="",D216=""),0,SUMPRODUCT(--($B$13:$B$512&lt;&gt;""),--($D$13:$D$512=D216),--($C$13:$C$512=C216))-1)</f>
        <v>0</v>
      </c>
      <c r="S216" s="0" t="n">
        <f>IF(OR(B216="",D216=""),0,SUMPRODUCT(--($B$13:$B$512&lt;&gt;""),--($D$13:$D$512=D216),--($C$13:$C$512&lt;&gt;C216)))</f>
        <v>0</v>
      </c>
      <c r="T216" s="0" t="n">
        <f>IF(OR(B216="",D216=""),0,SUMPRODUCT(--($B$13:$B$512&lt;&gt;""),--($D$13:$D$512=D216),--($E$13:$E$512&lt;&gt;E216)))</f>
        <v>0</v>
      </c>
      <c r="U216" s="0" t="n">
        <f>IF(B216="",0,IF(SUMPRODUCT(--('LÉEME'!$C$65:$C$86=E216))=0,1,0))</f>
        <v>0</v>
      </c>
      <c r="V216" s="0">
        <f>IF(B216="","",SUMIFS('PEGAR'!$AA$13:$AA$512,'PEGAR'!$O$13:$O$512,B216))</f>
      </c>
      <c r="W216" s="0">
        <f>IF(B216="","",IF(OR(L216=0,N216&gt;0,T216&gt;0,IF(ISNUMBER(H216),ROUND(ABS(H216),8)&gt;$F$6,FALSE)),2,IF(OR(M216=0,O216&gt;0,P216&gt;0,Q216&gt;0,R216&gt;0,S216&gt;0,U216&gt;0,V216&gt;0),1,0)))</f>
      </c>
      <c r="X216" s="0">
        <f>IF(B216="","",IF(ISNUMBER(G216),1,0))</f>
      </c>
      <c r="AB216" s="0">
        <f>IF(AND(ISNUMBER(W216),W216&gt;0),"ID "&amp;B216,"")</f>
      </c>
      <c r="AC216" s="0">
        <f>IF(AND(ISNUMBER(W216),W216&gt;0),C216,"")</f>
      </c>
      <c r="AD216" s="0">
        <f>IF(AND(ISNUMBER(W216),W216&gt;0),D216,"")</f>
      </c>
      <c r="AE216" s="0">
        <f>IF(AND(ISNUMBER(W216),W216&gt;0),IF(INDEX('PEGAR'!$D$13:$D$512,IF(L216&gt;0,L216,K216))="","Sin descripción",INDEX('PEGAR'!$D$13:$D$512,IF(L216&gt;0,L216,K216))),"")</f>
      </c>
      <c r="AF216" s="0">
        <f>IF(AND(ISNUMBER(W216),W216&gt;0),J216,"")</f>
      </c>
      <c r="AG216" s="0" t="n">
        <f>IF(AND(ISNUMBER(W216),W216&gt;0),W216,0)</f>
        <v>0</v>
      </c>
      <c r="AH216" s="0">
        <f>IF(AG216&gt;0,COUNTIFS($AG$13:AG216,"&gt;0"),"")</f>
      </c>
    </row>
    <row r="217" ht="22" customHeight="1">
      <c r="B217" s="27">
        <f>IF(K217="","",INDEX('PEGAR'!$O$13:$O$512,K217))</f>
      </c>
      <c r="C217" s="30">
        <f>IF(B217="","",IF(LEN(TRIM(INDEX('PEGAR'!$B$13:$B$512,IF(L217&gt;0,L217,K217))&amp;""))=0,"Sin capítulo",TRIM(INDEX('PEGAR'!$B$13:$B$512,IF(L217&gt;0,L217,K217))&amp;"")))</f>
      </c>
      <c r="D217" s="27">
        <f>IF(B217="","",IF(LEN(TRIM(INDEX('PEGAR'!$C$13:$C$512,IF(L217&gt;0,L217,K217))&amp;""))=0,"",TRIM(INDEX('PEGAR'!$C$13:$C$512,IF(L217&gt;0,L217,K217))&amp;"")))</f>
      </c>
      <c r="E217" s="27">
        <f>IF(B217="","",INDEX('PEGAR'!$S$13:$S$512,IF(L217&gt;0,L217,K217)))</f>
      </c>
      <c r="F217" s="39">
        <f>IF(B217="","",IF(L217&gt;0,INDEX('PEGAR'!$F$13:$F$512,L217),""))</f>
      </c>
      <c r="G217" s="39">
        <f>IF(B217="","",IF(OR(M217=0,N217&gt;0,O217&gt;0),"",SUMIFS('PEGAR'!$M$13:$M$512,'PEGAR'!$O$13:$O$512,B217)))</f>
      </c>
      <c r="H217" s="39">
        <f>IF(AND(ISNUMBER(F217),ISNUMBER(G217)),G217-F217,"")</f>
      </c>
      <c r="I217" s="27">
        <f>IF(B217="","",IF(W217=2,"ROJO",IF(W217=1,"ÁMBAR","VERDE")))</f>
      </c>
      <c r="J217" s="30">
        <f>IF(B217="","",IF(W217=0,"Sin avisos numéricos. Revisamos el alcance aparte.",IF(L217=0,"Faltan datos completos de partida; no elegimos un total por suposición."&amp;CHAR(10),"")&amp;IF(N217&gt;0,"Hay filas incompletas o contradictorias; las revisamos en PEGAR."&amp;CHAR(10),"")&amp;IF(O217&gt;0,"Faltan las medidas de alguna fila; no cerramos la suma."&amp;CHAR(10),"")&amp;IF(M217=0,"No constan líneas de medición."&amp;CHAR(10),"")&amp;IF(IF(ISNUMBER(H217),ROUND(ABS(H217),8)&gt;$F$6,FALSE),"Las líneas difieren del total en más de 0,01; confirmamos cantidad o exclusión."&amp;CHAR(10),"")&amp;IF(P217&gt;0,"Parece m³: encontramos tres dimensiones bajo m²."&amp;CHAR(10),"")&amp;IF(R217&gt;0,"Código repetido dentro del capítulo; mantenemos sus ID separados."&amp;CHAR(10),"")&amp;IF(S217&gt;0,"Código repetido en otro capítulo; no unimos las partidas."&amp;CHAR(10),"")&amp;IF(T217&gt;0,"Mismo código con unidades distintas; pedimos aclaración."&amp;CHAR(10),"")&amp;IF(Q217&gt;0,"Hay más precisión que los decimales indicados; cotejamos el formato original."&amp;CHAR(10),"")&amp;IF(U217&gt;0,"Unidad sin normalizar; cotejamos su significado antes de sumar unidades."&amp;CHAR(10),"")&amp;IF(V217&gt;0,"Revisamos dimensiones, cantidades directas, ceros o deducciones en PEGAR."&amp;CHAR(10),"")))</f>
      </c>
      <c r="K217" s="0">
        <f>IF(205&gt;'RESUMEN'!$E$6,"",MATCH(205,'PEGAR'!$W$13:$W$512,0))</f>
      </c>
      <c r="L217" s="0">
        <f>IF(K217="","",INDEX('PEGAR'!$R$13:$R$512,K217))</f>
      </c>
      <c r="M217" s="0">
        <f>IF(B217="","",COUNTIFS('PEGAR'!$O$13:$O$512,B217,'PEGAR'!$P$13:$P$512,"DIMENSIONES")+COUNTIFS('PEGAR'!$O$13:$O$512,B217,'PEGAR'!$P$13:$P$512,"DIRECTA"))</f>
      </c>
      <c r="N217" s="0">
        <f>IF(B217="","",COUNTIFS('PEGAR'!$O$13:$O$512,B217,'PEGAR'!$X$13:$X$512,2))</f>
      </c>
      <c r="O217" s="0">
        <f>IF(B217="","",COUNTIFS('PEGAR'!$O$13:$O$512,B217,'PEGAR'!$P$13:$P$512,"SIN LÍNEAS"))</f>
      </c>
      <c r="P217" s="0">
        <f>IF(B217="","",SUMIFS('PEGAR'!$Y$13:$Y$512,'PEGAR'!$O$13:$O$512,B217))</f>
      </c>
      <c r="Q217" s="0">
        <f>IF(B217="","",SUMIFS('PEGAR'!$Z$13:$Z$512,'PEGAR'!$O$13:$O$512,B217))</f>
      </c>
      <c r="R217" s="0" t="n">
        <f>IF(OR(B217="",D217=""),0,SUMPRODUCT(--($B$13:$B$512&lt;&gt;""),--($D$13:$D$512=D217),--($C$13:$C$512=C217))-1)</f>
        <v>0</v>
      </c>
      <c r="S217" s="0" t="n">
        <f>IF(OR(B217="",D217=""),0,SUMPRODUCT(--($B$13:$B$512&lt;&gt;""),--($D$13:$D$512=D217),--($C$13:$C$512&lt;&gt;C217)))</f>
        <v>0</v>
      </c>
      <c r="T217" s="0" t="n">
        <f>IF(OR(B217="",D217=""),0,SUMPRODUCT(--($B$13:$B$512&lt;&gt;""),--($D$13:$D$512=D217),--($E$13:$E$512&lt;&gt;E217)))</f>
        <v>0</v>
      </c>
      <c r="U217" s="0" t="n">
        <f>IF(B217="",0,IF(SUMPRODUCT(--('LÉEME'!$C$65:$C$86=E217))=0,1,0))</f>
        <v>0</v>
      </c>
      <c r="V217" s="0">
        <f>IF(B217="","",SUMIFS('PEGAR'!$AA$13:$AA$512,'PEGAR'!$O$13:$O$512,B217))</f>
      </c>
      <c r="W217" s="0">
        <f>IF(B217="","",IF(OR(L217=0,N217&gt;0,T217&gt;0,IF(ISNUMBER(H217),ROUND(ABS(H217),8)&gt;$F$6,FALSE)),2,IF(OR(M217=0,O217&gt;0,P217&gt;0,Q217&gt;0,R217&gt;0,S217&gt;0,U217&gt;0,V217&gt;0),1,0)))</f>
      </c>
      <c r="X217" s="0">
        <f>IF(B217="","",IF(ISNUMBER(G217),1,0))</f>
      </c>
      <c r="AB217" s="0">
        <f>IF(AND(ISNUMBER(W217),W217&gt;0),"ID "&amp;B217,"")</f>
      </c>
      <c r="AC217" s="0">
        <f>IF(AND(ISNUMBER(W217),W217&gt;0),C217,"")</f>
      </c>
      <c r="AD217" s="0">
        <f>IF(AND(ISNUMBER(W217),W217&gt;0),D217,"")</f>
      </c>
      <c r="AE217" s="0">
        <f>IF(AND(ISNUMBER(W217),W217&gt;0),IF(INDEX('PEGAR'!$D$13:$D$512,IF(L217&gt;0,L217,K217))="","Sin descripción",INDEX('PEGAR'!$D$13:$D$512,IF(L217&gt;0,L217,K217))),"")</f>
      </c>
      <c r="AF217" s="0">
        <f>IF(AND(ISNUMBER(W217),W217&gt;0),J217,"")</f>
      </c>
      <c r="AG217" s="0" t="n">
        <f>IF(AND(ISNUMBER(W217),W217&gt;0),W217,0)</f>
        <v>0</v>
      </c>
      <c r="AH217" s="0">
        <f>IF(AG217&gt;0,COUNTIFS($AG$13:AG217,"&gt;0"),"")</f>
      </c>
    </row>
    <row r="218" ht="22" customHeight="1">
      <c r="B218" s="27">
        <f>IF(K218="","",INDEX('PEGAR'!$O$13:$O$512,K218))</f>
      </c>
      <c r="C218" s="30">
        <f>IF(B218="","",IF(LEN(TRIM(INDEX('PEGAR'!$B$13:$B$512,IF(L218&gt;0,L218,K218))&amp;""))=0,"Sin capítulo",TRIM(INDEX('PEGAR'!$B$13:$B$512,IF(L218&gt;0,L218,K218))&amp;"")))</f>
      </c>
      <c r="D218" s="27">
        <f>IF(B218="","",IF(LEN(TRIM(INDEX('PEGAR'!$C$13:$C$512,IF(L218&gt;0,L218,K218))&amp;""))=0,"",TRIM(INDEX('PEGAR'!$C$13:$C$512,IF(L218&gt;0,L218,K218))&amp;"")))</f>
      </c>
      <c r="E218" s="27">
        <f>IF(B218="","",INDEX('PEGAR'!$S$13:$S$512,IF(L218&gt;0,L218,K218)))</f>
      </c>
      <c r="F218" s="39">
        <f>IF(B218="","",IF(L218&gt;0,INDEX('PEGAR'!$F$13:$F$512,L218),""))</f>
      </c>
      <c r="G218" s="39">
        <f>IF(B218="","",IF(OR(M218=0,N218&gt;0,O218&gt;0),"",SUMIFS('PEGAR'!$M$13:$M$512,'PEGAR'!$O$13:$O$512,B218)))</f>
      </c>
      <c r="H218" s="39">
        <f>IF(AND(ISNUMBER(F218),ISNUMBER(G218)),G218-F218,"")</f>
      </c>
      <c r="I218" s="27">
        <f>IF(B218="","",IF(W218=2,"ROJO",IF(W218=1,"ÁMBAR","VERDE")))</f>
      </c>
      <c r="J218" s="30">
        <f>IF(B218="","",IF(W218=0,"Sin avisos numéricos. Revisamos el alcance aparte.",IF(L218=0,"Faltan datos completos de partida; no elegimos un total por suposición."&amp;CHAR(10),"")&amp;IF(N218&gt;0,"Hay filas incompletas o contradictorias; las revisamos en PEGAR."&amp;CHAR(10),"")&amp;IF(O218&gt;0,"Faltan las medidas de alguna fila; no cerramos la suma."&amp;CHAR(10),"")&amp;IF(M218=0,"No constan líneas de medición."&amp;CHAR(10),"")&amp;IF(IF(ISNUMBER(H218),ROUND(ABS(H218),8)&gt;$F$6,FALSE),"Las líneas difieren del total en más de 0,01; confirmamos cantidad o exclusión."&amp;CHAR(10),"")&amp;IF(P218&gt;0,"Parece m³: encontramos tres dimensiones bajo m²."&amp;CHAR(10),"")&amp;IF(R218&gt;0,"Código repetido dentro del capítulo; mantenemos sus ID separados."&amp;CHAR(10),"")&amp;IF(S218&gt;0,"Código repetido en otro capítulo; no unimos las partidas."&amp;CHAR(10),"")&amp;IF(T218&gt;0,"Mismo código con unidades distintas; pedimos aclaración."&amp;CHAR(10),"")&amp;IF(Q218&gt;0,"Hay más precisión que los decimales indicados; cotejamos el formato original."&amp;CHAR(10),"")&amp;IF(U218&gt;0,"Unidad sin normalizar; cotejamos su significado antes de sumar unidades."&amp;CHAR(10),"")&amp;IF(V218&gt;0,"Revisamos dimensiones, cantidades directas, ceros o deducciones en PEGAR."&amp;CHAR(10),"")))</f>
      </c>
      <c r="K218" s="0">
        <f>IF(206&gt;'RESUMEN'!$E$6,"",MATCH(206,'PEGAR'!$W$13:$W$512,0))</f>
      </c>
      <c r="L218" s="0">
        <f>IF(K218="","",INDEX('PEGAR'!$R$13:$R$512,K218))</f>
      </c>
      <c r="M218" s="0">
        <f>IF(B218="","",COUNTIFS('PEGAR'!$O$13:$O$512,B218,'PEGAR'!$P$13:$P$512,"DIMENSIONES")+COUNTIFS('PEGAR'!$O$13:$O$512,B218,'PEGAR'!$P$13:$P$512,"DIRECTA"))</f>
      </c>
      <c r="N218" s="0">
        <f>IF(B218="","",COUNTIFS('PEGAR'!$O$13:$O$512,B218,'PEGAR'!$X$13:$X$512,2))</f>
      </c>
      <c r="O218" s="0">
        <f>IF(B218="","",COUNTIFS('PEGAR'!$O$13:$O$512,B218,'PEGAR'!$P$13:$P$512,"SIN LÍNEAS"))</f>
      </c>
      <c r="P218" s="0">
        <f>IF(B218="","",SUMIFS('PEGAR'!$Y$13:$Y$512,'PEGAR'!$O$13:$O$512,B218))</f>
      </c>
      <c r="Q218" s="0">
        <f>IF(B218="","",SUMIFS('PEGAR'!$Z$13:$Z$512,'PEGAR'!$O$13:$O$512,B218))</f>
      </c>
      <c r="R218" s="0" t="n">
        <f>IF(OR(B218="",D218=""),0,SUMPRODUCT(--($B$13:$B$512&lt;&gt;""),--($D$13:$D$512=D218),--($C$13:$C$512=C218))-1)</f>
        <v>0</v>
      </c>
      <c r="S218" s="0" t="n">
        <f>IF(OR(B218="",D218=""),0,SUMPRODUCT(--($B$13:$B$512&lt;&gt;""),--($D$13:$D$512=D218),--($C$13:$C$512&lt;&gt;C218)))</f>
        <v>0</v>
      </c>
      <c r="T218" s="0" t="n">
        <f>IF(OR(B218="",D218=""),0,SUMPRODUCT(--($B$13:$B$512&lt;&gt;""),--($D$13:$D$512=D218),--($E$13:$E$512&lt;&gt;E218)))</f>
        <v>0</v>
      </c>
      <c r="U218" s="0" t="n">
        <f>IF(B218="",0,IF(SUMPRODUCT(--('LÉEME'!$C$65:$C$86=E218))=0,1,0))</f>
        <v>0</v>
      </c>
      <c r="V218" s="0">
        <f>IF(B218="","",SUMIFS('PEGAR'!$AA$13:$AA$512,'PEGAR'!$O$13:$O$512,B218))</f>
      </c>
      <c r="W218" s="0">
        <f>IF(B218="","",IF(OR(L218=0,N218&gt;0,T218&gt;0,IF(ISNUMBER(H218),ROUND(ABS(H218),8)&gt;$F$6,FALSE)),2,IF(OR(M218=0,O218&gt;0,P218&gt;0,Q218&gt;0,R218&gt;0,S218&gt;0,U218&gt;0,V218&gt;0),1,0)))</f>
      </c>
      <c r="X218" s="0">
        <f>IF(B218="","",IF(ISNUMBER(G218),1,0))</f>
      </c>
      <c r="AB218" s="0">
        <f>IF(AND(ISNUMBER(W218),W218&gt;0),"ID "&amp;B218,"")</f>
      </c>
      <c r="AC218" s="0">
        <f>IF(AND(ISNUMBER(W218),W218&gt;0),C218,"")</f>
      </c>
      <c r="AD218" s="0">
        <f>IF(AND(ISNUMBER(W218),W218&gt;0),D218,"")</f>
      </c>
      <c r="AE218" s="0">
        <f>IF(AND(ISNUMBER(W218),W218&gt;0),IF(INDEX('PEGAR'!$D$13:$D$512,IF(L218&gt;0,L218,K218))="","Sin descripción",INDEX('PEGAR'!$D$13:$D$512,IF(L218&gt;0,L218,K218))),"")</f>
      </c>
      <c r="AF218" s="0">
        <f>IF(AND(ISNUMBER(W218),W218&gt;0),J218,"")</f>
      </c>
      <c r="AG218" s="0" t="n">
        <f>IF(AND(ISNUMBER(W218),W218&gt;0),W218,0)</f>
        <v>0</v>
      </c>
      <c r="AH218" s="0">
        <f>IF(AG218&gt;0,COUNTIFS($AG$13:AG218,"&gt;0"),"")</f>
      </c>
    </row>
    <row r="219" ht="22" customHeight="1">
      <c r="B219" s="27">
        <f>IF(K219="","",INDEX('PEGAR'!$O$13:$O$512,K219))</f>
      </c>
      <c r="C219" s="30">
        <f>IF(B219="","",IF(LEN(TRIM(INDEX('PEGAR'!$B$13:$B$512,IF(L219&gt;0,L219,K219))&amp;""))=0,"Sin capítulo",TRIM(INDEX('PEGAR'!$B$13:$B$512,IF(L219&gt;0,L219,K219))&amp;"")))</f>
      </c>
      <c r="D219" s="27">
        <f>IF(B219="","",IF(LEN(TRIM(INDEX('PEGAR'!$C$13:$C$512,IF(L219&gt;0,L219,K219))&amp;""))=0,"",TRIM(INDEX('PEGAR'!$C$13:$C$512,IF(L219&gt;0,L219,K219))&amp;"")))</f>
      </c>
      <c r="E219" s="27">
        <f>IF(B219="","",INDEX('PEGAR'!$S$13:$S$512,IF(L219&gt;0,L219,K219)))</f>
      </c>
      <c r="F219" s="39">
        <f>IF(B219="","",IF(L219&gt;0,INDEX('PEGAR'!$F$13:$F$512,L219),""))</f>
      </c>
      <c r="G219" s="39">
        <f>IF(B219="","",IF(OR(M219=0,N219&gt;0,O219&gt;0),"",SUMIFS('PEGAR'!$M$13:$M$512,'PEGAR'!$O$13:$O$512,B219)))</f>
      </c>
      <c r="H219" s="39">
        <f>IF(AND(ISNUMBER(F219),ISNUMBER(G219)),G219-F219,"")</f>
      </c>
      <c r="I219" s="27">
        <f>IF(B219="","",IF(W219=2,"ROJO",IF(W219=1,"ÁMBAR","VERDE")))</f>
      </c>
      <c r="J219" s="30">
        <f>IF(B219="","",IF(W219=0,"Sin avisos numéricos. Revisamos el alcance aparte.",IF(L219=0,"Faltan datos completos de partida; no elegimos un total por suposición."&amp;CHAR(10),"")&amp;IF(N219&gt;0,"Hay filas incompletas o contradictorias; las revisamos en PEGAR."&amp;CHAR(10),"")&amp;IF(O219&gt;0,"Faltan las medidas de alguna fila; no cerramos la suma."&amp;CHAR(10),"")&amp;IF(M219=0,"No constan líneas de medición."&amp;CHAR(10),"")&amp;IF(IF(ISNUMBER(H219),ROUND(ABS(H219),8)&gt;$F$6,FALSE),"Las líneas difieren del total en más de 0,01; confirmamos cantidad o exclusión."&amp;CHAR(10),"")&amp;IF(P219&gt;0,"Parece m³: encontramos tres dimensiones bajo m²."&amp;CHAR(10),"")&amp;IF(R219&gt;0,"Código repetido dentro del capítulo; mantenemos sus ID separados."&amp;CHAR(10),"")&amp;IF(S219&gt;0,"Código repetido en otro capítulo; no unimos las partidas."&amp;CHAR(10),"")&amp;IF(T219&gt;0,"Mismo código con unidades distintas; pedimos aclaración."&amp;CHAR(10),"")&amp;IF(Q219&gt;0,"Hay más precisión que los decimales indicados; cotejamos el formato original."&amp;CHAR(10),"")&amp;IF(U219&gt;0,"Unidad sin normalizar; cotejamos su significado antes de sumar unidades."&amp;CHAR(10),"")&amp;IF(V219&gt;0,"Revisamos dimensiones, cantidades directas, ceros o deducciones en PEGAR."&amp;CHAR(10),"")))</f>
      </c>
      <c r="K219" s="0">
        <f>IF(207&gt;'RESUMEN'!$E$6,"",MATCH(207,'PEGAR'!$W$13:$W$512,0))</f>
      </c>
      <c r="L219" s="0">
        <f>IF(K219="","",INDEX('PEGAR'!$R$13:$R$512,K219))</f>
      </c>
      <c r="M219" s="0">
        <f>IF(B219="","",COUNTIFS('PEGAR'!$O$13:$O$512,B219,'PEGAR'!$P$13:$P$512,"DIMENSIONES")+COUNTIFS('PEGAR'!$O$13:$O$512,B219,'PEGAR'!$P$13:$P$512,"DIRECTA"))</f>
      </c>
      <c r="N219" s="0">
        <f>IF(B219="","",COUNTIFS('PEGAR'!$O$13:$O$512,B219,'PEGAR'!$X$13:$X$512,2))</f>
      </c>
      <c r="O219" s="0">
        <f>IF(B219="","",COUNTIFS('PEGAR'!$O$13:$O$512,B219,'PEGAR'!$P$13:$P$512,"SIN LÍNEAS"))</f>
      </c>
      <c r="P219" s="0">
        <f>IF(B219="","",SUMIFS('PEGAR'!$Y$13:$Y$512,'PEGAR'!$O$13:$O$512,B219))</f>
      </c>
      <c r="Q219" s="0">
        <f>IF(B219="","",SUMIFS('PEGAR'!$Z$13:$Z$512,'PEGAR'!$O$13:$O$512,B219))</f>
      </c>
      <c r="R219" s="0" t="n">
        <f>IF(OR(B219="",D219=""),0,SUMPRODUCT(--($B$13:$B$512&lt;&gt;""),--($D$13:$D$512=D219),--($C$13:$C$512=C219))-1)</f>
        <v>0</v>
      </c>
      <c r="S219" s="0" t="n">
        <f>IF(OR(B219="",D219=""),0,SUMPRODUCT(--($B$13:$B$512&lt;&gt;""),--($D$13:$D$512=D219),--($C$13:$C$512&lt;&gt;C219)))</f>
        <v>0</v>
      </c>
      <c r="T219" s="0" t="n">
        <f>IF(OR(B219="",D219=""),0,SUMPRODUCT(--($B$13:$B$512&lt;&gt;""),--($D$13:$D$512=D219),--($E$13:$E$512&lt;&gt;E219)))</f>
        <v>0</v>
      </c>
      <c r="U219" s="0" t="n">
        <f>IF(B219="",0,IF(SUMPRODUCT(--('LÉEME'!$C$65:$C$86=E219))=0,1,0))</f>
        <v>0</v>
      </c>
      <c r="V219" s="0">
        <f>IF(B219="","",SUMIFS('PEGAR'!$AA$13:$AA$512,'PEGAR'!$O$13:$O$512,B219))</f>
      </c>
      <c r="W219" s="0">
        <f>IF(B219="","",IF(OR(L219=0,N219&gt;0,T219&gt;0,IF(ISNUMBER(H219),ROUND(ABS(H219),8)&gt;$F$6,FALSE)),2,IF(OR(M219=0,O219&gt;0,P219&gt;0,Q219&gt;0,R219&gt;0,S219&gt;0,U219&gt;0,V219&gt;0),1,0)))</f>
      </c>
      <c r="X219" s="0">
        <f>IF(B219="","",IF(ISNUMBER(G219),1,0))</f>
      </c>
      <c r="AB219" s="0">
        <f>IF(AND(ISNUMBER(W219),W219&gt;0),"ID "&amp;B219,"")</f>
      </c>
      <c r="AC219" s="0">
        <f>IF(AND(ISNUMBER(W219),W219&gt;0),C219,"")</f>
      </c>
      <c r="AD219" s="0">
        <f>IF(AND(ISNUMBER(W219),W219&gt;0),D219,"")</f>
      </c>
      <c r="AE219" s="0">
        <f>IF(AND(ISNUMBER(W219),W219&gt;0),IF(INDEX('PEGAR'!$D$13:$D$512,IF(L219&gt;0,L219,K219))="","Sin descripción",INDEX('PEGAR'!$D$13:$D$512,IF(L219&gt;0,L219,K219))),"")</f>
      </c>
      <c r="AF219" s="0">
        <f>IF(AND(ISNUMBER(W219),W219&gt;0),J219,"")</f>
      </c>
      <c r="AG219" s="0" t="n">
        <f>IF(AND(ISNUMBER(W219),W219&gt;0),W219,0)</f>
        <v>0</v>
      </c>
      <c r="AH219" s="0">
        <f>IF(AG219&gt;0,COUNTIFS($AG$13:AG219,"&gt;0"),"")</f>
      </c>
    </row>
    <row r="220" ht="22" customHeight="1">
      <c r="B220" s="27">
        <f>IF(K220="","",INDEX('PEGAR'!$O$13:$O$512,K220))</f>
      </c>
      <c r="C220" s="30">
        <f>IF(B220="","",IF(LEN(TRIM(INDEX('PEGAR'!$B$13:$B$512,IF(L220&gt;0,L220,K220))&amp;""))=0,"Sin capítulo",TRIM(INDEX('PEGAR'!$B$13:$B$512,IF(L220&gt;0,L220,K220))&amp;"")))</f>
      </c>
      <c r="D220" s="27">
        <f>IF(B220="","",IF(LEN(TRIM(INDEX('PEGAR'!$C$13:$C$512,IF(L220&gt;0,L220,K220))&amp;""))=0,"",TRIM(INDEX('PEGAR'!$C$13:$C$512,IF(L220&gt;0,L220,K220))&amp;"")))</f>
      </c>
      <c r="E220" s="27">
        <f>IF(B220="","",INDEX('PEGAR'!$S$13:$S$512,IF(L220&gt;0,L220,K220)))</f>
      </c>
      <c r="F220" s="39">
        <f>IF(B220="","",IF(L220&gt;0,INDEX('PEGAR'!$F$13:$F$512,L220),""))</f>
      </c>
      <c r="G220" s="39">
        <f>IF(B220="","",IF(OR(M220=0,N220&gt;0,O220&gt;0),"",SUMIFS('PEGAR'!$M$13:$M$512,'PEGAR'!$O$13:$O$512,B220)))</f>
      </c>
      <c r="H220" s="39">
        <f>IF(AND(ISNUMBER(F220),ISNUMBER(G220)),G220-F220,"")</f>
      </c>
      <c r="I220" s="27">
        <f>IF(B220="","",IF(W220=2,"ROJO",IF(W220=1,"ÁMBAR","VERDE")))</f>
      </c>
      <c r="J220" s="30">
        <f>IF(B220="","",IF(W220=0,"Sin avisos numéricos. Revisamos el alcance aparte.",IF(L220=0,"Faltan datos completos de partida; no elegimos un total por suposición."&amp;CHAR(10),"")&amp;IF(N220&gt;0,"Hay filas incompletas o contradictorias; las revisamos en PEGAR."&amp;CHAR(10),"")&amp;IF(O220&gt;0,"Faltan las medidas de alguna fila; no cerramos la suma."&amp;CHAR(10),"")&amp;IF(M220=0,"No constan líneas de medición."&amp;CHAR(10),"")&amp;IF(IF(ISNUMBER(H220),ROUND(ABS(H220),8)&gt;$F$6,FALSE),"Las líneas difieren del total en más de 0,01; confirmamos cantidad o exclusión."&amp;CHAR(10),"")&amp;IF(P220&gt;0,"Parece m³: encontramos tres dimensiones bajo m²."&amp;CHAR(10),"")&amp;IF(R220&gt;0,"Código repetido dentro del capítulo; mantenemos sus ID separados."&amp;CHAR(10),"")&amp;IF(S220&gt;0,"Código repetido en otro capítulo; no unimos las partidas."&amp;CHAR(10),"")&amp;IF(T220&gt;0,"Mismo código con unidades distintas; pedimos aclaración."&amp;CHAR(10),"")&amp;IF(Q220&gt;0,"Hay más precisión que los decimales indicados; cotejamos el formato original."&amp;CHAR(10),"")&amp;IF(U220&gt;0,"Unidad sin normalizar; cotejamos su significado antes de sumar unidades."&amp;CHAR(10),"")&amp;IF(V220&gt;0,"Revisamos dimensiones, cantidades directas, ceros o deducciones en PEGAR."&amp;CHAR(10),"")))</f>
      </c>
      <c r="K220" s="0">
        <f>IF(208&gt;'RESUMEN'!$E$6,"",MATCH(208,'PEGAR'!$W$13:$W$512,0))</f>
      </c>
      <c r="L220" s="0">
        <f>IF(K220="","",INDEX('PEGAR'!$R$13:$R$512,K220))</f>
      </c>
      <c r="M220" s="0">
        <f>IF(B220="","",COUNTIFS('PEGAR'!$O$13:$O$512,B220,'PEGAR'!$P$13:$P$512,"DIMENSIONES")+COUNTIFS('PEGAR'!$O$13:$O$512,B220,'PEGAR'!$P$13:$P$512,"DIRECTA"))</f>
      </c>
      <c r="N220" s="0">
        <f>IF(B220="","",COUNTIFS('PEGAR'!$O$13:$O$512,B220,'PEGAR'!$X$13:$X$512,2))</f>
      </c>
      <c r="O220" s="0">
        <f>IF(B220="","",COUNTIFS('PEGAR'!$O$13:$O$512,B220,'PEGAR'!$P$13:$P$512,"SIN LÍNEAS"))</f>
      </c>
      <c r="P220" s="0">
        <f>IF(B220="","",SUMIFS('PEGAR'!$Y$13:$Y$512,'PEGAR'!$O$13:$O$512,B220))</f>
      </c>
      <c r="Q220" s="0">
        <f>IF(B220="","",SUMIFS('PEGAR'!$Z$13:$Z$512,'PEGAR'!$O$13:$O$512,B220))</f>
      </c>
      <c r="R220" s="0" t="n">
        <f>IF(OR(B220="",D220=""),0,SUMPRODUCT(--($B$13:$B$512&lt;&gt;""),--($D$13:$D$512=D220),--($C$13:$C$512=C220))-1)</f>
        <v>0</v>
      </c>
      <c r="S220" s="0" t="n">
        <f>IF(OR(B220="",D220=""),0,SUMPRODUCT(--($B$13:$B$512&lt;&gt;""),--($D$13:$D$512=D220),--($C$13:$C$512&lt;&gt;C220)))</f>
        <v>0</v>
      </c>
      <c r="T220" s="0" t="n">
        <f>IF(OR(B220="",D220=""),0,SUMPRODUCT(--($B$13:$B$512&lt;&gt;""),--($D$13:$D$512=D220),--($E$13:$E$512&lt;&gt;E220)))</f>
        <v>0</v>
      </c>
      <c r="U220" s="0" t="n">
        <f>IF(B220="",0,IF(SUMPRODUCT(--('LÉEME'!$C$65:$C$86=E220))=0,1,0))</f>
        <v>0</v>
      </c>
      <c r="V220" s="0">
        <f>IF(B220="","",SUMIFS('PEGAR'!$AA$13:$AA$512,'PEGAR'!$O$13:$O$512,B220))</f>
      </c>
      <c r="W220" s="0">
        <f>IF(B220="","",IF(OR(L220=0,N220&gt;0,T220&gt;0,IF(ISNUMBER(H220),ROUND(ABS(H220),8)&gt;$F$6,FALSE)),2,IF(OR(M220=0,O220&gt;0,P220&gt;0,Q220&gt;0,R220&gt;0,S220&gt;0,U220&gt;0,V220&gt;0),1,0)))</f>
      </c>
      <c r="X220" s="0">
        <f>IF(B220="","",IF(ISNUMBER(G220),1,0))</f>
      </c>
      <c r="AB220" s="0">
        <f>IF(AND(ISNUMBER(W220),W220&gt;0),"ID "&amp;B220,"")</f>
      </c>
      <c r="AC220" s="0">
        <f>IF(AND(ISNUMBER(W220),W220&gt;0),C220,"")</f>
      </c>
      <c r="AD220" s="0">
        <f>IF(AND(ISNUMBER(W220),W220&gt;0),D220,"")</f>
      </c>
      <c r="AE220" s="0">
        <f>IF(AND(ISNUMBER(W220),W220&gt;0),IF(INDEX('PEGAR'!$D$13:$D$512,IF(L220&gt;0,L220,K220))="","Sin descripción",INDEX('PEGAR'!$D$13:$D$512,IF(L220&gt;0,L220,K220))),"")</f>
      </c>
      <c r="AF220" s="0">
        <f>IF(AND(ISNUMBER(W220),W220&gt;0),J220,"")</f>
      </c>
      <c r="AG220" s="0" t="n">
        <f>IF(AND(ISNUMBER(W220),W220&gt;0),W220,0)</f>
        <v>0</v>
      </c>
      <c r="AH220" s="0">
        <f>IF(AG220&gt;0,COUNTIFS($AG$13:AG220,"&gt;0"),"")</f>
      </c>
    </row>
    <row r="221" ht="22" customHeight="1">
      <c r="B221" s="27">
        <f>IF(K221="","",INDEX('PEGAR'!$O$13:$O$512,K221))</f>
      </c>
      <c r="C221" s="30">
        <f>IF(B221="","",IF(LEN(TRIM(INDEX('PEGAR'!$B$13:$B$512,IF(L221&gt;0,L221,K221))&amp;""))=0,"Sin capítulo",TRIM(INDEX('PEGAR'!$B$13:$B$512,IF(L221&gt;0,L221,K221))&amp;"")))</f>
      </c>
      <c r="D221" s="27">
        <f>IF(B221="","",IF(LEN(TRIM(INDEX('PEGAR'!$C$13:$C$512,IF(L221&gt;0,L221,K221))&amp;""))=0,"",TRIM(INDEX('PEGAR'!$C$13:$C$512,IF(L221&gt;0,L221,K221))&amp;"")))</f>
      </c>
      <c r="E221" s="27">
        <f>IF(B221="","",INDEX('PEGAR'!$S$13:$S$512,IF(L221&gt;0,L221,K221)))</f>
      </c>
      <c r="F221" s="39">
        <f>IF(B221="","",IF(L221&gt;0,INDEX('PEGAR'!$F$13:$F$512,L221),""))</f>
      </c>
      <c r="G221" s="39">
        <f>IF(B221="","",IF(OR(M221=0,N221&gt;0,O221&gt;0),"",SUMIFS('PEGAR'!$M$13:$M$512,'PEGAR'!$O$13:$O$512,B221)))</f>
      </c>
      <c r="H221" s="39">
        <f>IF(AND(ISNUMBER(F221),ISNUMBER(G221)),G221-F221,"")</f>
      </c>
      <c r="I221" s="27">
        <f>IF(B221="","",IF(W221=2,"ROJO",IF(W221=1,"ÁMBAR","VERDE")))</f>
      </c>
      <c r="J221" s="30">
        <f>IF(B221="","",IF(W221=0,"Sin avisos numéricos. Revisamos el alcance aparte.",IF(L221=0,"Faltan datos completos de partida; no elegimos un total por suposición."&amp;CHAR(10),"")&amp;IF(N221&gt;0,"Hay filas incompletas o contradictorias; las revisamos en PEGAR."&amp;CHAR(10),"")&amp;IF(O221&gt;0,"Faltan las medidas de alguna fila; no cerramos la suma."&amp;CHAR(10),"")&amp;IF(M221=0,"No constan líneas de medición."&amp;CHAR(10),"")&amp;IF(IF(ISNUMBER(H221),ROUND(ABS(H221),8)&gt;$F$6,FALSE),"Las líneas difieren del total en más de 0,01; confirmamos cantidad o exclusión."&amp;CHAR(10),"")&amp;IF(P221&gt;0,"Parece m³: encontramos tres dimensiones bajo m²."&amp;CHAR(10),"")&amp;IF(R221&gt;0,"Código repetido dentro del capítulo; mantenemos sus ID separados."&amp;CHAR(10),"")&amp;IF(S221&gt;0,"Código repetido en otro capítulo; no unimos las partidas."&amp;CHAR(10),"")&amp;IF(T221&gt;0,"Mismo código con unidades distintas; pedimos aclaración."&amp;CHAR(10),"")&amp;IF(Q221&gt;0,"Hay más precisión que los decimales indicados; cotejamos el formato original."&amp;CHAR(10),"")&amp;IF(U221&gt;0,"Unidad sin normalizar; cotejamos su significado antes de sumar unidades."&amp;CHAR(10),"")&amp;IF(V221&gt;0,"Revisamos dimensiones, cantidades directas, ceros o deducciones en PEGAR."&amp;CHAR(10),"")))</f>
      </c>
      <c r="K221" s="0">
        <f>IF(209&gt;'RESUMEN'!$E$6,"",MATCH(209,'PEGAR'!$W$13:$W$512,0))</f>
      </c>
      <c r="L221" s="0">
        <f>IF(K221="","",INDEX('PEGAR'!$R$13:$R$512,K221))</f>
      </c>
      <c r="M221" s="0">
        <f>IF(B221="","",COUNTIFS('PEGAR'!$O$13:$O$512,B221,'PEGAR'!$P$13:$P$512,"DIMENSIONES")+COUNTIFS('PEGAR'!$O$13:$O$512,B221,'PEGAR'!$P$13:$P$512,"DIRECTA"))</f>
      </c>
      <c r="N221" s="0">
        <f>IF(B221="","",COUNTIFS('PEGAR'!$O$13:$O$512,B221,'PEGAR'!$X$13:$X$512,2))</f>
      </c>
      <c r="O221" s="0">
        <f>IF(B221="","",COUNTIFS('PEGAR'!$O$13:$O$512,B221,'PEGAR'!$P$13:$P$512,"SIN LÍNEAS"))</f>
      </c>
      <c r="P221" s="0">
        <f>IF(B221="","",SUMIFS('PEGAR'!$Y$13:$Y$512,'PEGAR'!$O$13:$O$512,B221))</f>
      </c>
      <c r="Q221" s="0">
        <f>IF(B221="","",SUMIFS('PEGAR'!$Z$13:$Z$512,'PEGAR'!$O$13:$O$512,B221))</f>
      </c>
      <c r="R221" s="0" t="n">
        <f>IF(OR(B221="",D221=""),0,SUMPRODUCT(--($B$13:$B$512&lt;&gt;""),--($D$13:$D$512=D221),--($C$13:$C$512=C221))-1)</f>
        <v>0</v>
      </c>
      <c r="S221" s="0" t="n">
        <f>IF(OR(B221="",D221=""),0,SUMPRODUCT(--($B$13:$B$512&lt;&gt;""),--($D$13:$D$512=D221),--($C$13:$C$512&lt;&gt;C221)))</f>
        <v>0</v>
      </c>
      <c r="T221" s="0" t="n">
        <f>IF(OR(B221="",D221=""),0,SUMPRODUCT(--($B$13:$B$512&lt;&gt;""),--($D$13:$D$512=D221),--($E$13:$E$512&lt;&gt;E221)))</f>
        <v>0</v>
      </c>
      <c r="U221" s="0" t="n">
        <f>IF(B221="",0,IF(SUMPRODUCT(--('LÉEME'!$C$65:$C$86=E221))=0,1,0))</f>
        <v>0</v>
      </c>
      <c r="V221" s="0">
        <f>IF(B221="","",SUMIFS('PEGAR'!$AA$13:$AA$512,'PEGAR'!$O$13:$O$512,B221))</f>
      </c>
      <c r="W221" s="0">
        <f>IF(B221="","",IF(OR(L221=0,N221&gt;0,T221&gt;0,IF(ISNUMBER(H221),ROUND(ABS(H221),8)&gt;$F$6,FALSE)),2,IF(OR(M221=0,O221&gt;0,P221&gt;0,Q221&gt;0,R221&gt;0,S221&gt;0,U221&gt;0,V221&gt;0),1,0)))</f>
      </c>
      <c r="X221" s="0">
        <f>IF(B221="","",IF(ISNUMBER(G221),1,0))</f>
      </c>
      <c r="AB221" s="0">
        <f>IF(AND(ISNUMBER(W221),W221&gt;0),"ID "&amp;B221,"")</f>
      </c>
      <c r="AC221" s="0">
        <f>IF(AND(ISNUMBER(W221),W221&gt;0),C221,"")</f>
      </c>
      <c r="AD221" s="0">
        <f>IF(AND(ISNUMBER(W221),W221&gt;0),D221,"")</f>
      </c>
      <c r="AE221" s="0">
        <f>IF(AND(ISNUMBER(W221),W221&gt;0),IF(INDEX('PEGAR'!$D$13:$D$512,IF(L221&gt;0,L221,K221))="","Sin descripción",INDEX('PEGAR'!$D$13:$D$512,IF(L221&gt;0,L221,K221))),"")</f>
      </c>
      <c r="AF221" s="0">
        <f>IF(AND(ISNUMBER(W221),W221&gt;0),J221,"")</f>
      </c>
      <c r="AG221" s="0" t="n">
        <f>IF(AND(ISNUMBER(W221),W221&gt;0),W221,0)</f>
        <v>0</v>
      </c>
      <c r="AH221" s="0">
        <f>IF(AG221&gt;0,COUNTIFS($AG$13:AG221,"&gt;0"),"")</f>
      </c>
    </row>
    <row r="222" ht="22" customHeight="1">
      <c r="B222" s="27">
        <f>IF(K222="","",INDEX('PEGAR'!$O$13:$O$512,K222))</f>
      </c>
      <c r="C222" s="30">
        <f>IF(B222="","",IF(LEN(TRIM(INDEX('PEGAR'!$B$13:$B$512,IF(L222&gt;0,L222,K222))&amp;""))=0,"Sin capítulo",TRIM(INDEX('PEGAR'!$B$13:$B$512,IF(L222&gt;0,L222,K222))&amp;"")))</f>
      </c>
      <c r="D222" s="27">
        <f>IF(B222="","",IF(LEN(TRIM(INDEX('PEGAR'!$C$13:$C$512,IF(L222&gt;0,L222,K222))&amp;""))=0,"",TRIM(INDEX('PEGAR'!$C$13:$C$512,IF(L222&gt;0,L222,K222))&amp;"")))</f>
      </c>
      <c r="E222" s="27">
        <f>IF(B222="","",INDEX('PEGAR'!$S$13:$S$512,IF(L222&gt;0,L222,K222)))</f>
      </c>
      <c r="F222" s="39">
        <f>IF(B222="","",IF(L222&gt;0,INDEX('PEGAR'!$F$13:$F$512,L222),""))</f>
      </c>
      <c r="G222" s="39">
        <f>IF(B222="","",IF(OR(M222=0,N222&gt;0,O222&gt;0),"",SUMIFS('PEGAR'!$M$13:$M$512,'PEGAR'!$O$13:$O$512,B222)))</f>
      </c>
      <c r="H222" s="39">
        <f>IF(AND(ISNUMBER(F222),ISNUMBER(G222)),G222-F222,"")</f>
      </c>
      <c r="I222" s="27">
        <f>IF(B222="","",IF(W222=2,"ROJO",IF(W222=1,"ÁMBAR","VERDE")))</f>
      </c>
      <c r="J222" s="30">
        <f>IF(B222="","",IF(W222=0,"Sin avisos numéricos. Revisamos el alcance aparte.",IF(L222=0,"Faltan datos completos de partida; no elegimos un total por suposición."&amp;CHAR(10),"")&amp;IF(N222&gt;0,"Hay filas incompletas o contradictorias; las revisamos en PEGAR."&amp;CHAR(10),"")&amp;IF(O222&gt;0,"Faltan las medidas de alguna fila; no cerramos la suma."&amp;CHAR(10),"")&amp;IF(M222=0,"No constan líneas de medición."&amp;CHAR(10),"")&amp;IF(IF(ISNUMBER(H222),ROUND(ABS(H222),8)&gt;$F$6,FALSE),"Las líneas difieren del total en más de 0,01; confirmamos cantidad o exclusión."&amp;CHAR(10),"")&amp;IF(P222&gt;0,"Parece m³: encontramos tres dimensiones bajo m²."&amp;CHAR(10),"")&amp;IF(R222&gt;0,"Código repetido dentro del capítulo; mantenemos sus ID separados."&amp;CHAR(10),"")&amp;IF(S222&gt;0,"Código repetido en otro capítulo; no unimos las partidas."&amp;CHAR(10),"")&amp;IF(T222&gt;0,"Mismo código con unidades distintas; pedimos aclaración."&amp;CHAR(10),"")&amp;IF(Q222&gt;0,"Hay más precisión que los decimales indicados; cotejamos el formato original."&amp;CHAR(10),"")&amp;IF(U222&gt;0,"Unidad sin normalizar; cotejamos su significado antes de sumar unidades."&amp;CHAR(10),"")&amp;IF(V222&gt;0,"Revisamos dimensiones, cantidades directas, ceros o deducciones en PEGAR."&amp;CHAR(10),"")))</f>
      </c>
      <c r="K222" s="0">
        <f>IF(210&gt;'RESUMEN'!$E$6,"",MATCH(210,'PEGAR'!$W$13:$W$512,0))</f>
      </c>
      <c r="L222" s="0">
        <f>IF(K222="","",INDEX('PEGAR'!$R$13:$R$512,K222))</f>
      </c>
      <c r="M222" s="0">
        <f>IF(B222="","",COUNTIFS('PEGAR'!$O$13:$O$512,B222,'PEGAR'!$P$13:$P$512,"DIMENSIONES")+COUNTIFS('PEGAR'!$O$13:$O$512,B222,'PEGAR'!$P$13:$P$512,"DIRECTA"))</f>
      </c>
      <c r="N222" s="0">
        <f>IF(B222="","",COUNTIFS('PEGAR'!$O$13:$O$512,B222,'PEGAR'!$X$13:$X$512,2))</f>
      </c>
      <c r="O222" s="0">
        <f>IF(B222="","",COUNTIFS('PEGAR'!$O$13:$O$512,B222,'PEGAR'!$P$13:$P$512,"SIN LÍNEAS"))</f>
      </c>
      <c r="P222" s="0">
        <f>IF(B222="","",SUMIFS('PEGAR'!$Y$13:$Y$512,'PEGAR'!$O$13:$O$512,B222))</f>
      </c>
      <c r="Q222" s="0">
        <f>IF(B222="","",SUMIFS('PEGAR'!$Z$13:$Z$512,'PEGAR'!$O$13:$O$512,B222))</f>
      </c>
      <c r="R222" s="0" t="n">
        <f>IF(OR(B222="",D222=""),0,SUMPRODUCT(--($B$13:$B$512&lt;&gt;""),--($D$13:$D$512=D222),--($C$13:$C$512=C222))-1)</f>
        <v>0</v>
      </c>
      <c r="S222" s="0" t="n">
        <f>IF(OR(B222="",D222=""),0,SUMPRODUCT(--($B$13:$B$512&lt;&gt;""),--($D$13:$D$512=D222),--($C$13:$C$512&lt;&gt;C222)))</f>
        <v>0</v>
      </c>
      <c r="T222" s="0" t="n">
        <f>IF(OR(B222="",D222=""),0,SUMPRODUCT(--($B$13:$B$512&lt;&gt;""),--($D$13:$D$512=D222),--($E$13:$E$512&lt;&gt;E222)))</f>
        <v>0</v>
      </c>
      <c r="U222" s="0" t="n">
        <f>IF(B222="",0,IF(SUMPRODUCT(--('LÉEME'!$C$65:$C$86=E222))=0,1,0))</f>
        <v>0</v>
      </c>
      <c r="V222" s="0">
        <f>IF(B222="","",SUMIFS('PEGAR'!$AA$13:$AA$512,'PEGAR'!$O$13:$O$512,B222))</f>
      </c>
      <c r="W222" s="0">
        <f>IF(B222="","",IF(OR(L222=0,N222&gt;0,T222&gt;0,IF(ISNUMBER(H222),ROUND(ABS(H222),8)&gt;$F$6,FALSE)),2,IF(OR(M222=0,O222&gt;0,P222&gt;0,Q222&gt;0,R222&gt;0,S222&gt;0,U222&gt;0,V222&gt;0),1,0)))</f>
      </c>
      <c r="X222" s="0">
        <f>IF(B222="","",IF(ISNUMBER(G222),1,0))</f>
      </c>
      <c r="AB222" s="0">
        <f>IF(AND(ISNUMBER(W222),W222&gt;0),"ID "&amp;B222,"")</f>
      </c>
      <c r="AC222" s="0">
        <f>IF(AND(ISNUMBER(W222),W222&gt;0),C222,"")</f>
      </c>
      <c r="AD222" s="0">
        <f>IF(AND(ISNUMBER(W222),W222&gt;0),D222,"")</f>
      </c>
      <c r="AE222" s="0">
        <f>IF(AND(ISNUMBER(W222),W222&gt;0),IF(INDEX('PEGAR'!$D$13:$D$512,IF(L222&gt;0,L222,K222))="","Sin descripción",INDEX('PEGAR'!$D$13:$D$512,IF(L222&gt;0,L222,K222))),"")</f>
      </c>
      <c r="AF222" s="0">
        <f>IF(AND(ISNUMBER(W222),W222&gt;0),J222,"")</f>
      </c>
      <c r="AG222" s="0" t="n">
        <f>IF(AND(ISNUMBER(W222),W222&gt;0),W222,0)</f>
        <v>0</v>
      </c>
      <c r="AH222" s="0">
        <f>IF(AG222&gt;0,COUNTIFS($AG$13:AG222,"&gt;0"),"")</f>
      </c>
    </row>
    <row r="223" ht="22" customHeight="1">
      <c r="B223" s="27">
        <f>IF(K223="","",INDEX('PEGAR'!$O$13:$O$512,K223))</f>
      </c>
      <c r="C223" s="30">
        <f>IF(B223="","",IF(LEN(TRIM(INDEX('PEGAR'!$B$13:$B$512,IF(L223&gt;0,L223,K223))&amp;""))=0,"Sin capítulo",TRIM(INDEX('PEGAR'!$B$13:$B$512,IF(L223&gt;0,L223,K223))&amp;"")))</f>
      </c>
      <c r="D223" s="27">
        <f>IF(B223="","",IF(LEN(TRIM(INDEX('PEGAR'!$C$13:$C$512,IF(L223&gt;0,L223,K223))&amp;""))=0,"",TRIM(INDEX('PEGAR'!$C$13:$C$512,IF(L223&gt;0,L223,K223))&amp;"")))</f>
      </c>
      <c r="E223" s="27">
        <f>IF(B223="","",INDEX('PEGAR'!$S$13:$S$512,IF(L223&gt;0,L223,K223)))</f>
      </c>
      <c r="F223" s="39">
        <f>IF(B223="","",IF(L223&gt;0,INDEX('PEGAR'!$F$13:$F$512,L223),""))</f>
      </c>
      <c r="G223" s="39">
        <f>IF(B223="","",IF(OR(M223=0,N223&gt;0,O223&gt;0),"",SUMIFS('PEGAR'!$M$13:$M$512,'PEGAR'!$O$13:$O$512,B223)))</f>
      </c>
      <c r="H223" s="39">
        <f>IF(AND(ISNUMBER(F223),ISNUMBER(G223)),G223-F223,"")</f>
      </c>
      <c r="I223" s="27">
        <f>IF(B223="","",IF(W223=2,"ROJO",IF(W223=1,"ÁMBAR","VERDE")))</f>
      </c>
      <c r="J223" s="30">
        <f>IF(B223="","",IF(W223=0,"Sin avisos numéricos. Revisamos el alcance aparte.",IF(L223=0,"Faltan datos completos de partida; no elegimos un total por suposición."&amp;CHAR(10),"")&amp;IF(N223&gt;0,"Hay filas incompletas o contradictorias; las revisamos en PEGAR."&amp;CHAR(10),"")&amp;IF(O223&gt;0,"Faltan las medidas de alguna fila; no cerramos la suma."&amp;CHAR(10),"")&amp;IF(M223=0,"No constan líneas de medición."&amp;CHAR(10),"")&amp;IF(IF(ISNUMBER(H223),ROUND(ABS(H223),8)&gt;$F$6,FALSE),"Las líneas difieren del total en más de 0,01; confirmamos cantidad o exclusión."&amp;CHAR(10),"")&amp;IF(P223&gt;0,"Parece m³: encontramos tres dimensiones bajo m²."&amp;CHAR(10),"")&amp;IF(R223&gt;0,"Código repetido dentro del capítulo; mantenemos sus ID separados."&amp;CHAR(10),"")&amp;IF(S223&gt;0,"Código repetido en otro capítulo; no unimos las partidas."&amp;CHAR(10),"")&amp;IF(T223&gt;0,"Mismo código con unidades distintas; pedimos aclaración."&amp;CHAR(10),"")&amp;IF(Q223&gt;0,"Hay más precisión que los decimales indicados; cotejamos el formato original."&amp;CHAR(10),"")&amp;IF(U223&gt;0,"Unidad sin normalizar; cotejamos su significado antes de sumar unidades."&amp;CHAR(10),"")&amp;IF(V223&gt;0,"Revisamos dimensiones, cantidades directas, ceros o deducciones en PEGAR."&amp;CHAR(10),"")))</f>
      </c>
      <c r="K223" s="0">
        <f>IF(211&gt;'RESUMEN'!$E$6,"",MATCH(211,'PEGAR'!$W$13:$W$512,0))</f>
      </c>
      <c r="L223" s="0">
        <f>IF(K223="","",INDEX('PEGAR'!$R$13:$R$512,K223))</f>
      </c>
      <c r="M223" s="0">
        <f>IF(B223="","",COUNTIFS('PEGAR'!$O$13:$O$512,B223,'PEGAR'!$P$13:$P$512,"DIMENSIONES")+COUNTIFS('PEGAR'!$O$13:$O$512,B223,'PEGAR'!$P$13:$P$512,"DIRECTA"))</f>
      </c>
      <c r="N223" s="0">
        <f>IF(B223="","",COUNTIFS('PEGAR'!$O$13:$O$512,B223,'PEGAR'!$X$13:$X$512,2))</f>
      </c>
      <c r="O223" s="0">
        <f>IF(B223="","",COUNTIFS('PEGAR'!$O$13:$O$512,B223,'PEGAR'!$P$13:$P$512,"SIN LÍNEAS"))</f>
      </c>
      <c r="P223" s="0">
        <f>IF(B223="","",SUMIFS('PEGAR'!$Y$13:$Y$512,'PEGAR'!$O$13:$O$512,B223))</f>
      </c>
      <c r="Q223" s="0">
        <f>IF(B223="","",SUMIFS('PEGAR'!$Z$13:$Z$512,'PEGAR'!$O$13:$O$512,B223))</f>
      </c>
      <c r="R223" s="0" t="n">
        <f>IF(OR(B223="",D223=""),0,SUMPRODUCT(--($B$13:$B$512&lt;&gt;""),--($D$13:$D$512=D223),--($C$13:$C$512=C223))-1)</f>
        <v>0</v>
      </c>
      <c r="S223" s="0" t="n">
        <f>IF(OR(B223="",D223=""),0,SUMPRODUCT(--($B$13:$B$512&lt;&gt;""),--($D$13:$D$512=D223),--($C$13:$C$512&lt;&gt;C223)))</f>
        <v>0</v>
      </c>
      <c r="T223" s="0" t="n">
        <f>IF(OR(B223="",D223=""),0,SUMPRODUCT(--($B$13:$B$512&lt;&gt;""),--($D$13:$D$512=D223),--($E$13:$E$512&lt;&gt;E223)))</f>
        <v>0</v>
      </c>
      <c r="U223" s="0" t="n">
        <f>IF(B223="",0,IF(SUMPRODUCT(--('LÉEME'!$C$65:$C$86=E223))=0,1,0))</f>
        <v>0</v>
      </c>
      <c r="V223" s="0">
        <f>IF(B223="","",SUMIFS('PEGAR'!$AA$13:$AA$512,'PEGAR'!$O$13:$O$512,B223))</f>
      </c>
      <c r="W223" s="0">
        <f>IF(B223="","",IF(OR(L223=0,N223&gt;0,T223&gt;0,IF(ISNUMBER(H223),ROUND(ABS(H223),8)&gt;$F$6,FALSE)),2,IF(OR(M223=0,O223&gt;0,P223&gt;0,Q223&gt;0,R223&gt;0,S223&gt;0,U223&gt;0,V223&gt;0),1,0)))</f>
      </c>
      <c r="X223" s="0">
        <f>IF(B223="","",IF(ISNUMBER(G223),1,0))</f>
      </c>
      <c r="AB223" s="0">
        <f>IF(AND(ISNUMBER(W223),W223&gt;0),"ID "&amp;B223,"")</f>
      </c>
      <c r="AC223" s="0">
        <f>IF(AND(ISNUMBER(W223),W223&gt;0),C223,"")</f>
      </c>
      <c r="AD223" s="0">
        <f>IF(AND(ISNUMBER(W223),W223&gt;0),D223,"")</f>
      </c>
      <c r="AE223" s="0">
        <f>IF(AND(ISNUMBER(W223),W223&gt;0),IF(INDEX('PEGAR'!$D$13:$D$512,IF(L223&gt;0,L223,K223))="","Sin descripción",INDEX('PEGAR'!$D$13:$D$512,IF(L223&gt;0,L223,K223))),"")</f>
      </c>
      <c r="AF223" s="0">
        <f>IF(AND(ISNUMBER(W223),W223&gt;0),J223,"")</f>
      </c>
      <c r="AG223" s="0" t="n">
        <f>IF(AND(ISNUMBER(W223),W223&gt;0),W223,0)</f>
        <v>0</v>
      </c>
      <c r="AH223" s="0">
        <f>IF(AG223&gt;0,COUNTIFS($AG$13:AG223,"&gt;0"),"")</f>
      </c>
    </row>
    <row r="224" ht="22" customHeight="1">
      <c r="B224" s="27">
        <f>IF(K224="","",INDEX('PEGAR'!$O$13:$O$512,K224))</f>
      </c>
      <c r="C224" s="30">
        <f>IF(B224="","",IF(LEN(TRIM(INDEX('PEGAR'!$B$13:$B$512,IF(L224&gt;0,L224,K224))&amp;""))=0,"Sin capítulo",TRIM(INDEX('PEGAR'!$B$13:$B$512,IF(L224&gt;0,L224,K224))&amp;"")))</f>
      </c>
      <c r="D224" s="27">
        <f>IF(B224="","",IF(LEN(TRIM(INDEX('PEGAR'!$C$13:$C$512,IF(L224&gt;0,L224,K224))&amp;""))=0,"",TRIM(INDEX('PEGAR'!$C$13:$C$512,IF(L224&gt;0,L224,K224))&amp;"")))</f>
      </c>
      <c r="E224" s="27">
        <f>IF(B224="","",INDEX('PEGAR'!$S$13:$S$512,IF(L224&gt;0,L224,K224)))</f>
      </c>
      <c r="F224" s="39">
        <f>IF(B224="","",IF(L224&gt;0,INDEX('PEGAR'!$F$13:$F$512,L224),""))</f>
      </c>
      <c r="G224" s="39">
        <f>IF(B224="","",IF(OR(M224=0,N224&gt;0,O224&gt;0),"",SUMIFS('PEGAR'!$M$13:$M$512,'PEGAR'!$O$13:$O$512,B224)))</f>
      </c>
      <c r="H224" s="39">
        <f>IF(AND(ISNUMBER(F224),ISNUMBER(G224)),G224-F224,"")</f>
      </c>
      <c r="I224" s="27">
        <f>IF(B224="","",IF(W224=2,"ROJO",IF(W224=1,"ÁMBAR","VERDE")))</f>
      </c>
      <c r="J224" s="30">
        <f>IF(B224="","",IF(W224=0,"Sin avisos numéricos. Revisamos el alcance aparte.",IF(L224=0,"Faltan datos completos de partida; no elegimos un total por suposición."&amp;CHAR(10),"")&amp;IF(N224&gt;0,"Hay filas incompletas o contradictorias; las revisamos en PEGAR."&amp;CHAR(10),"")&amp;IF(O224&gt;0,"Faltan las medidas de alguna fila; no cerramos la suma."&amp;CHAR(10),"")&amp;IF(M224=0,"No constan líneas de medición."&amp;CHAR(10),"")&amp;IF(IF(ISNUMBER(H224),ROUND(ABS(H224),8)&gt;$F$6,FALSE),"Las líneas difieren del total en más de 0,01; confirmamos cantidad o exclusión."&amp;CHAR(10),"")&amp;IF(P224&gt;0,"Parece m³: encontramos tres dimensiones bajo m²."&amp;CHAR(10),"")&amp;IF(R224&gt;0,"Código repetido dentro del capítulo; mantenemos sus ID separados."&amp;CHAR(10),"")&amp;IF(S224&gt;0,"Código repetido en otro capítulo; no unimos las partidas."&amp;CHAR(10),"")&amp;IF(T224&gt;0,"Mismo código con unidades distintas; pedimos aclaración."&amp;CHAR(10),"")&amp;IF(Q224&gt;0,"Hay más precisión que los decimales indicados; cotejamos el formato original."&amp;CHAR(10),"")&amp;IF(U224&gt;0,"Unidad sin normalizar; cotejamos su significado antes de sumar unidades."&amp;CHAR(10),"")&amp;IF(V224&gt;0,"Revisamos dimensiones, cantidades directas, ceros o deducciones en PEGAR."&amp;CHAR(10),"")))</f>
      </c>
      <c r="K224" s="0">
        <f>IF(212&gt;'RESUMEN'!$E$6,"",MATCH(212,'PEGAR'!$W$13:$W$512,0))</f>
      </c>
      <c r="L224" s="0">
        <f>IF(K224="","",INDEX('PEGAR'!$R$13:$R$512,K224))</f>
      </c>
      <c r="M224" s="0">
        <f>IF(B224="","",COUNTIFS('PEGAR'!$O$13:$O$512,B224,'PEGAR'!$P$13:$P$512,"DIMENSIONES")+COUNTIFS('PEGAR'!$O$13:$O$512,B224,'PEGAR'!$P$13:$P$512,"DIRECTA"))</f>
      </c>
      <c r="N224" s="0">
        <f>IF(B224="","",COUNTIFS('PEGAR'!$O$13:$O$512,B224,'PEGAR'!$X$13:$X$512,2))</f>
      </c>
      <c r="O224" s="0">
        <f>IF(B224="","",COUNTIFS('PEGAR'!$O$13:$O$512,B224,'PEGAR'!$P$13:$P$512,"SIN LÍNEAS"))</f>
      </c>
      <c r="P224" s="0">
        <f>IF(B224="","",SUMIFS('PEGAR'!$Y$13:$Y$512,'PEGAR'!$O$13:$O$512,B224))</f>
      </c>
      <c r="Q224" s="0">
        <f>IF(B224="","",SUMIFS('PEGAR'!$Z$13:$Z$512,'PEGAR'!$O$13:$O$512,B224))</f>
      </c>
      <c r="R224" s="0" t="n">
        <f>IF(OR(B224="",D224=""),0,SUMPRODUCT(--($B$13:$B$512&lt;&gt;""),--($D$13:$D$512=D224),--($C$13:$C$512=C224))-1)</f>
        <v>0</v>
      </c>
      <c r="S224" s="0" t="n">
        <f>IF(OR(B224="",D224=""),0,SUMPRODUCT(--($B$13:$B$512&lt;&gt;""),--($D$13:$D$512=D224),--($C$13:$C$512&lt;&gt;C224)))</f>
        <v>0</v>
      </c>
      <c r="T224" s="0" t="n">
        <f>IF(OR(B224="",D224=""),0,SUMPRODUCT(--($B$13:$B$512&lt;&gt;""),--($D$13:$D$512=D224),--($E$13:$E$512&lt;&gt;E224)))</f>
        <v>0</v>
      </c>
      <c r="U224" s="0" t="n">
        <f>IF(B224="",0,IF(SUMPRODUCT(--('LÉEME'!$C$65:$C$86=E224))=0,1,0))</f>
        <v>0</v>
      </c>
      <c r="V224" s="0">
        <f>IF(B224="","",SUMIFS('PEGAR'!$AA$13:$AA$512,'PEGAR'!$O$13:$O$512,B224))</f>
      </c>
      <c r="W224" s="0">
        <f>IF(B224="","",IF(OR(L224=0,N224&gt;0,T224&gt;0,IF(ISNUMBER(H224),ROUND(ABS(H224),8)&gt;$F$6,FALSE)),2,IF(OR(M224=0,O224&gt;0,P224&gt;0,Q224&gt;0,R224&gt;0,S224&gt;0,U224&gt;0,V224&gt;0),1,0)))</f>
      </c>
      <c r="X224" s="0">
        <f>IF(B224="","",IF(ISNUMBER(G224),1,0))</f>
      </c>
      <c r="AB224" s="0">
        <f>IF(AND(ISNUMBER(W224),W224&gt;0),"ID "&amp;B224,"")</f>
      </c>
      <c r="AC224" s="0">
        <f>IF(AND(ISNUMBER(W224),W224&gt;0),C224,"")</f>
      </c>
      <c r="AD224" s="0">
        <f>IF(AND(ISNUMBER(W224),W224&gt;0),D224,"")</f>
      </c>
      <c r="AE224" s="0">
        <f>IF(AND(ISNUMBER(W224),W224&gt;0),IF(INDEX('PEGAR'!$D$13:$D$512,IF(L224&gt;0,L224,K224))="","Sin descripción",INDEX('PEGAR'!$D$13:$D$512,IF(L224&gt;0,L224,K224))),"")</f>
      </c>
      <c r="AF224" s="0">
        <f>IF(AND(ISNUMBER(W224),W224&gt;0),J224,"")</f>
      </c>
      <c r="AG224" s="0" t="n">
        <f>IF(AND(ISNUMBER(W224),W224&gt;0),W224,0)</f>
        <v>0</v>
      </c>
      <c r="AH224" s="0">
        <f>IF(AG224&gt;0,COUNTIFS($AG$13:AG224,"&gt;0"),"")</f>
      </c>
    </row>
    <row r="225" ht="22" customHeight="1">
      <c r="B225" s="27">
        <f>IF(K225="","",INDEX('PEGAR'!$O$13:$O$512,K225))</f>
      </c>
      <c r="C225" s="30">
        <f>IF(B225="","",IF(LEN(TRIM(INDEX('PEGAR'!$B$13:$B$512,IF(L225&gt;0,L225,K225))&amp;""))=0,"Sin capítulo",TRIM(INDEX('PEGAR'!$B$13:$B$512,IF(L225&gt;0,L225,K225))&amp;"")))</f>
      </c>
      <c r="D225" s="27">
        <f>IF(B225="","",IF(LEN(TRIM(INDEX('PEGAR'!$C$13:$C$512,IF(L225&gt;0,L225,K225))&amp;""))=0,"",TRIM(INDEX('PEGAR'!$C$13:$C$512,IF(L225&gt;0,L225,K225))&amp;"")))</f>
      </c>
      <c r="E225" s="27">
        <f>IF(B225="","",INDEX('PEGAR'!$S$13:$S$512,IF(L225&gt;0,L225,K225)))</f>
      </c>
      <c r="F225" s="39">
        <f>IF(B225="","",IF(L225&gt;0,INDEX('PEGAR'!$F$13:$F$512,L225),""))</f>
      </c>
      <c r="G225" s="39">
        <f>IF(B225="","",IF(OR(M225=0,N225&gt;0,O225&gt;0),"",SUMIFS('PEGAR'!$M$13:$M$512,'PEGAR'!$O$13:$O$512,B225)))</f>
      </c>
      <c r="H225" s="39">
        <f>IF(AND(ISNUMBER(F225),ISNUMBER(G225)),G225-F225,"")</f>
      </c>
      <c r="I225" s="27">
        <f>IF(B225="","",IF(W225=2,"ROJO",IF(W225=1,"ÁMBAR","VERDE")))</f>
      </c>
      <c r="J225" s="30">
        <f>IF(B225="","",IF(W225=0,"Sin avisos numéricos. Revisamos el alcance aparte.",IF(L225=0,"Faltan datos completos de partida; no elegimos un total por suposición."&amp;CHAR(10),"")&amp;IF(N225&gt;0,"Hay filas incompletas o contradictorias; las revisamos en PEGAR."&amp;CHAR(10),"")&amp;IF(O225&gt;0,"Faltan las medidas de alguna fila; no cerramos la suma."&amp;CHAR(10),"")&amp;IF(M225=0,"No constan líneas de medición."&amp;CHAR(10),"")&amp;IF(IF(ISNUMBER(H225),ROUND(ABS(H225),8)&gt;$F$6,FALSE),"Las líneas difieren del total en más de 0,01; confirmamos cantidad o exclusión."&amp;CHAR(10),"")&amp;IF(P225&gt;0,"Parece m³: encontramos tres dimensiones bajo m²."&amp;CHAR(10),"")&amp;IF(R225&gt;0,"Código repetido dentro del capítulo; mantenemos sus ID separados."&amp;CHAR(10),"")&amp;IF(S225&gt;0,"Código repetido en otro capítulo; no unimos las partidas."&amp;CHAR(10),"")&amp;IF(T225&gt;0,"Mismo código con unidades distintas; pedimos aclaración."&amp;CHAR(10),"")&amp;IF(Q225&gt;0,"Hay más precisión que los decimales indicados; cotejamos el formato original."&amp;CHAR(10),"")&amp;IF(U225&gt;0,"Unidad sin normalizar; cotejamos su significado antes de sumar unidades."&amp;CHAR(10),"")&amp;IF(V225&gt;0,"Revisamos dimensiones, cantidades directas, ceros o deducciones en PEGAR."&amp;CHAR(10),"")))</f>
      </c>
      <c r="K225" s="0">
        <f>IF(213&gt;'RESUMEN'!$E$6,"",MATCH(213,'PEGAR'!$W$13:$W$512,0))</f>
      </c>
      <c r="L225" s="0">
        <f>IF(K225="","",INDEX('PEGAR'!$R$13:$R$512,K225))</f>
      </c>
      <c r="M225" s="0">
        <f>IF(B225="","",COUNTIFS('PEGAR'!$O$13:$O$512,B225,'PEGAR'!$P$13:$P$512,"DIMENSIONES")+COUNTIFS('PEGAR'!$O$13:$O$512,B225,'PEGAR'!$P$13:$P$512,"DIRECTA"))</f>
      </c>
      <c r="N225" s="0">
        <f>IF(B225="","",COUNTIFS('PEGAR'!$O$13:$O$512,B225,'PEGAR'!$X$13:$X$512,2))</f>
      </c>
      <c r="O225" s="0">
        <f>IF(B225="","",COUNTIFS('PEGAR'!$O$13:$O$512,B225,'PEGAR'!$P$13:$P$512,"SIN LÍNEAS"))</f>
      </c>
      <c r="P225" s="0">
        <f>IF(B225="","",SUMIFS('PEGAR'!$Y$13:$Y$512,'PEGAR'!$O$13:$O$512,B225))</f>
      </c>
      <c r="Q225" s="0">
        <f>IF(B225="","",SUMIFS('PEGAR'!$Z$13:$Z$512,'PEGAR'!$O$13:$O$512,B225))</f>
      </c>
      <c r="R225" s="0" t="n">
        <f>IF(OR(B225="",D225=""),0,SUMPRODUCT(--($B$13:$B$512&lt;&gt;""),--($D$13:$D$512=D225),--($C$13:$C$512=C225))-1)</f>
        <v>0</v>
      </c>
      <c r="S225" s="0" t="n">
        <f>IF(OR(B225="",D225=""),0,SUMPRODUCT(--($B$13:$B$512&lt;&gt;""),--($D$13:$D$512=D225),--($C$13:$C$512&lt;&gt;C225)))</f>
        <v>0</v>
      </c>
      <c r="T225" s="0" t="n">
        <f>IF(OR(B225="",D225=""),0,SUMPRODUCT(--($B$13:$B$512&lt;&gt;""),--($D$13:$D$512=D225),--($E$13:$E$512&lt;&gt;E225)))</f>
        <v>0</v>
      </c>
      <c r="U225" s="0" t="n">
        <f>IF(B225="",0,IF(SUMPRODUCT(--('LÉEME'!$C$65:$C$86=E225))=0,1,0))</f>
        <v>0</v>
      </c>
      <c r="V225" s="0">
        <f>IF(B225="","",SUMIFS('PEGAR'!$AA$13:$AA$512,'PEGAR'!$O$13:$O$512,B225))</f>
      </c>
      <c r="W225" s="0">
        <f>IF(B225="","",IF(OR(L225=0,N225&gt;0,T225&gt;0,IF(ISNUMBER(H225),ROUND(ABS(H225),8)&gt;$F$6,FALSE)),2,IF(OR(M225=0,O225&gt;0,P225&gt;0,Q225&gt;0,R225&gt;0,S225&gt;0,U225&gt;0,V225&gt;0),1,0)))</f>
      </c>
      <c r="X225" s="0">
        <f>IF(B225="","",IF(ISNUMBER(G225),1,0))</f>
      </c>
      <c r="AB225" s="0">
        <f>IF(AND(ISNUMBER(W225),W225&gt;0),"ID "&amp;B225,"")</f>
      </c>
      <c r="AC225" s="0">
        <f>IF(AND(ISNUMBER(W225),W225&gt;0),C225,"")</f>
      </c>
      <c r="AD225" s="0">
        <f>IF(AND(ISNUMBER(W225),W225&gt;0),D225,"")</f>
      </c>
      <c r="AE225" s="0">
        <f>IF(AND(ISNUMBER(W225),W225&gt;0),IF(INDEX('PEGAR'!$D$13:$D$512,IF(L225&gt;0,L225,K225))="","Sin descripción",INDEX('PEGAR'!$D$13:$D$512,IF(L225&gt;0,L225,K225))),"")</f>
      </c>
      <c r="AF225" s="0">
        <f>IF(AND(ISNUMBER(W225),W225&gt;0),J225,"")</f>
      </c>
      <c r="AG225" s="0" t="n">
        <f>IF(AND(ISNUMBER(W225),W225&gt;0),W225,0)</f>
        <v>0</v>
      </c>
      <c r="AH225" s="0">
        <f>IF(AG225&gt;0,COUNTIFS($AG$13:AG225,"&gt;0"),"")</f>
      </c>
    </row>
    <row r="226" ht="22" customHeight="1">
      <c r="B226" s="27">
        <f>IF(K226="","",INDEX('PEGAR'!$O$13:$O$512,K226))</f>
      </c>
      <c r="C226" s="30">
        <f>IF(B226="","",IF(LEN(TRIM(INDEX('PEGAR'!$B$13:$B$512,IF(L226&gt;0,L226,K226))&amp;""))=0,"Sin capítulo",TRIM(INDEX('PEGAR'!$B$13:$B$512,IF(L226&gt;0,L226,K226))&amp;"")))</f>
      </c>
      <c r="D226" s="27">
        <f>IF(B226="","",IF(LEN(TRIM(INDEX('PEGAR'!$C$13:$C$512,IF(L226&gt;0,L226,K226))&amp;""))=0,"",TRIM(INDEX('PEGAR'!$C$13:$C$512,IF(L226&gt;0,L226,K226))&amp;"")))</f>
      </c>
      <c r="E226" s="27">
        <f>IF(B226="","",INDEX('PEGAR'!$S$13:$S$512,IF(L226&gt;0,L226,K226)))</f>
      </c>
      <c r="F226" s="39">
        <f>IF(B226="","",IF(L226&gt;0,INDEX('PEGAR'!$F$13:$F$512,L226),""))</f>
      </c>
      <c r="G226" s="39">
        <f>IF(B226="","",IF(OR(M226=0,N226&gt;0,O226&gt;0),"",SUMIFS('PEGAR'!$M$13:$M$512,'PEGAR'!$O$13:$O$512,B226)))</f>
      </c>
      <c r="H226" s="39">
        <f>IF(AND(ISNUMBER(F226),ISNUMBER(G226)),G226-F226,"")</f>
      </c>
      <c r="I226" s="27">
        <f>IF(B226="","",IF(W226=2,"ROJO",IF(W226=1,"ÁMBAR","VERDE")))</f>
      </c>
      <c r="J226" s="30">
        <f>IF(B226="","",IF(W226=0,"Sin avisos numéricos. Revisamos el alcance aparte.",IF(L226=0,"Faltan datos completos de partida; no elegimos un total por suposición."&amp;CHAR(10),"")&amp;IF(N226&gt;0,"Hay filas incompletas o contradictorias; las revisamos en PEGAR."&amp;CHAR(10),"")&amp;IF(O226&gt;0,"Faltan las medidas de alguna fila; no cerramos la suma."&amp;CHAR(10),"")&amp;IF(M226=0,"No constan líneas de medición."&amp;CHAR(10),"")&amp;IF(IF(ISNUMBER(H226),ROUND(ABS(H226),8)&gt;$F$6,FALSE),"Las líneas difieren del total en más de 0,01; confirmamos cantidad o exclusión."&amp;CHAR(10),"")&amp;IF(P226&gt;0,"Parece m³: encontramos tres dimensiones bajo m²."&amp;CHAR(10),"")&amp;IF(R226&gt;0,"Código repetido dentro del capítulo; mantenemos sus ID separados."&amp;CHAR(10),"")&amp;IF(S226&gt;0,"Código repetido en otro capítulo; no unimos las partidas."&amp;CHAR(10),"")&amp;IF(T226&gt;0,"Mismo código con unidades distintas; pedimos aclaración."&amp;CHAR(10),"")&amp;IF(Q226&gt;0,"Hay más precisión que los decimales indicados; cotejamos el formato original."&amp;CHAR(10),"")&amp;IF(U226&gt;0,"Unidad sin normalizar; cotejamos su significado antes de sumar unidades."&amp;CHAR(10),"")&amp;IF(V226&gt;0,"Revisamos dimensiones, cantidades directas, ceros o deducciones en PEGAR."&amp;CHAR(10),"")))</f>
      </c>
      <c r="K226" s="0">
        <f>IF(214&gt;'RESUMEN'!$E$6,"",MATCH(214,'PEGAR'!$W$13:$W$512,0))</f>
      </c>
      <c r="L226" s="0">
        <f>IF(K226="","",INDEX('PEGAR'!$R$13:$R$512,K226))</f>
      </c>
      <c r="M226" s="0">
        <f>IF(B226="","",COUNTIFS('PEGAR'!$O$13:$O$512,B226,'PEGAR'!$P$13:$P$512,"DIMENSIONES")+COUNTIFS('PEGAR'!$O$13:$O$512,B226,'PEGAR'!$P$13:$P$512,"DIRECTA"))</f>
      </c>
      <c r="N226" s="0">
        <f>IF(B226="","",COUNTIFS('PEGAR'!$O$13:$O$512,B226,'PEGAR'!$X$13:$X$512,2))</f>
      </c>
      <c r="O226" s="0">
        <f>IF(B226="","",COUNTIFS('PEGAR'!$O$13:$O$512,B226,'PEGAR'!$P$13:$P$512,"SIN LÍNEAS"))</f>
      </c>
      <c r="P226" s="0">
        <f>IF(B226="","",SUMIFS('PEGAR'!$Y$13:$Y$512,'PEGAR'!$O$13:$O$512,B226))</f>
      </c>
      <c r="Q226" s="0">
        <f>IF(B226="","",SUMIFS('PEGAR'!$Z$13:$Z$512,'PEGAR'!$O$13:$O$512,B226))</f>
      </c>
      <c r="R226" s="0" t="n">
        <f>IF(OR(B226="",D226=""),0,SUMPRODUCT(--($B$13:$B$512&lt;&gt;""),--($D$13:$D$512=D226),--($C$13:$C$512=C226))-1)</f>
        <v>0</v>
      </c>
      <c r="S226" s="0" t="n">
        <f>IF(OR(B226="",D226=""),0,SUMPRODUCT(--($B$13:$B$512&lt;&gt;""),--($D$13:$D$512=D226),--($C$13:$C$512&lt;&gt;C226)))</f>
        <v>0</v>
      </c>
      <c r="T226" s="0" t="n">
        <f>IF(OR(B226="",D226=""),0,SUMPRODUCT(--($B$13:$B$512&lt;&gt;""),--($D$13:$D$512=D226),--($E$13:$E$512&lt;&gt;E226)))</f>
        <v>0</v>
      </c>
      <c r="U226" s="0" t="n">
        <f>IF(B226="",0,IF(SUMPRODUCT(--('LÉEME'!$C$65:$C$86=E226))=0,1,0))</f>
        <v>0</v>
      </c>
      <c r="V226" s="0">
        <f>IF(B226="","",SUMIFS('PEGAR'!$AA$13:$AA$512,'PEGAR'!$O$13:$O$512,B226))</f>
      </c>
      <c r="W226" s="0">
        <f>IF(B226="","",IF(OR(L226=0,N226&gt;0,T226&gt;0,IF(ISNUMBER(H226),ROUND(ABS(H226),8)&gt;$F$6,FALSE)),2,IF(OR(M226=0,O226&gt;0,P226&gt;0,Q226&gt;0,R226&gt;0,S226&gt;0,U226&gt;0,V226&gt;0),1,0)))</f>
      </c>
      <c r="X226" s="0">
        <f>IF(B226="","",IF(ISNUMBER(G226),1,0))</f>
      </c>
      <c r="AB226" s="0">
        <f>IF(AND(ISNUMBER(W226),W226&gt;0),"ID "&amp;B226,"")</f>
      </c>
      <c r="AC226" s="0">
        <f>IF(AND(ISNUMBER(W226),W226&gt;0),C226,"")</f>
      </c>
      <c r="AD226" s="0">
        <f>IF(AND(ISNUMBER(W226),W226&gt;0),D226,"")</f>
      </c>
      <c r="AE226" s="0">
        <f>IF(AND(ISNUMBER(W226),W226&gt;0),IF(INDEX('PEGAR'!$D$13:$D$512,IF(L226&gt;0,L226,K226))="","Sin descripción",INDEX('PEGAR'!$D$13:$D$512,IF(L226&gt;0,L226,K226))),"")</f>
      </c>
      <c r="AF226" s="0">
        <f>IF(AND(ISNUMBER(W226),W226&gt;0),J226,"")</f>
      </c>
      <c r="AG226" s="0" t="n">
        <f>IF(AND(ISNUMBER(W226),W226&gt;0),W226,0)</f>
        <v>0</v>
      </c>
      <c r="AH226" s="0">
        <f>IF(AG226&gt;0,COUNTIFS($AG$13:AG226,"&gt;0"),"")</f>
      </c>
    </row>
    <row r="227" ht="22" customHeight="1">
      <c r="B227" s="27">
        <f>IF(K227="","",INDEX('PEGAR'!$O$13:$O$512,K227))</f>
      </c>
      <c r="C227" s="30">
        <f>IF(B227="","",IF(LEN(TRIM(INDEX('PEGAR'!$B$13:$B$512,IF(L227&gt;0,L227,K227))&amp;""))=0,"Sin capítulo",TRIM(INDEX('PEGAR'!$B$13:$B$512,IF(L227&gt;0,L227,K227))&amp;"")))</f>
      </c>
      <c r="D227" s="27">
        <f>IF(B227="","",IF(LEN(TRIM(INDEX('PEGAR'!$C$13:$C$512,IF(L227&gt;0,L227,K227))&amp;""))=0,"",TRIM(INDEX('PEGAR'!$C$13:$C$512,IF(L227&gt;0,L227,K227))&amp;"")))</f>
      </c>
      <c r="E227" s="27">
        <f>IF(B227="","",INDEX('PEGAR'!$S$13:$S$512,IF(L227&gt;0,L227,K227)))</f>
      </c>
      <c r="F227" s="39">
        <f>IF(B227="","",IF(L227&gt;0,INDEX('PEGAR'!$F$13:$F$512,L227),""))</f>
      </c>
      <c r="G227" s="39">
        <f>IF(B227="","",IF(OR(M227=0,N227&gt;0,O227&gt;0),"",SUMIFS('PEGAR'!$M$13:$M$512,'PEGAR'!$O$13:$O$512,B227)))</f>
      </c>
      <c r="H227" s="39">
        <f>IF(AND(ISNUMBER(F227),ISNUMBER(G227)),G227-F227,"")</f>
      </c>
      <c r="I227" s="27">
        <f>IF(B227="","",IF(W227=2,"ROJO",IF(W227=1,"ÁMBAR","VERDE")))</f>
      </c>
      <c r="J227" s="30">
        <f>IF(B227="","",IF(W227=0,"Sin avisos numéricos. Revisamos el alcance aparte.",IF(L227=0,"Faltan datos completos de partida; no elegimos un total por suposición."&amp;CHAR(10),"")&amp;IF(N227&gt;0,"Hay filas incompletas o contradictorias; las revisamos en PEGAR."&amp;CHAR(10),"")&amp;IF(O227&gt;0,"Faltan las medidas de alguna fila; no cerramos la suma."&amp;CHAR(10),"")&amp;IF(M227=0,"No constan líneas de medición."&amp;CHAR(10),"")&amp;IF(IF(ISNUMBER(H227),ROUND(ABS(H227),8)&gt;$F$6,FALSE),"Las líneas difieren del total en más de 0,01; confirmamos cantidad o exclusión."&amp;CHAR(10),"")&amp;IF(P227&gt;0,"Parece m³: encontramos tres dimensiones bajo m²."&amp;CHAR(10),"")&amp;IF(R227&gt;0,"Código repetido dentro del capítulo; mantenemos sus ID separados."&amp;CHAR(10),"")&amp;IF(S227&gt;0,"Código repetido en otro capítulo; no unimos las partidas."&amp;CHAR(10),"")&amp;IF(T227&gt;0,"Mismo código con unidades distintas; pedimos aclaración."&amp;CHAR(10),"")&amp;IF(Q227&gt;0,"Hay más precisión que los decimales indicados; cotejamos el formato original."&amp;CHAR(10),"")&amp;IF(U227&gt;0,"Unidad sin normalizar; cotejamos su significado antes de sumar unidades."&amp;CHAR(10),"")&amp;IF(V227&gt;0,"Revisamos dimensiones, cantidades directas, ceros o deducciones en PEGAR."&amp;CHAR(10),"")))</f>
      </c>
      <c r="K227" s="0">
        <f>IF(215&gt;'RESUMEN'!$E$6,"",MATCH(215,'PEGAR'!$W$13:$W$512,0))</f>
      </c>
      <c r="L227" s="0">
        <f>IF(K227="","",INDEX('PEGAR'!$R$13:$R$512,K227))</f>
      </c>
      <c r="M227" s="0">
        <f>IF(B227="","",COUNTIFS('PEGAR'!$O$13:$O$512,B227,'PEGAR'!$P$13:$P$512,"DIMENSIONES")+COUNTIFS('PEGAR'!$O$13:$O$512,B227,'PEGAR'!$P$13:$P$512,"DIRECTA"))</f>
      </c>
      <c r="N227" s="0">
        <f>IF(B227="","",COUNTIFS('PEGAR'!$O$13:$O$512,B227,'PEGAR'!$X$13:$X$512,2))</f>
      </c>
      <c r="O227" s="0">
        <f>IF(B227="","",COUNTIFS('PEGAR'!$O$13:$O$512,B227,'PEGAR'!$P$13:$P$512,"SIN LÍNEAS"))</f>
      </c>
      <c r="P227" s="0">
        <f>IF(B227="","",SUMIFS('PEGAR'!$Y$13:$Y$512,'PEGAR'!$O$13:$O$512,B227))</f>
      </c>
      <c r="Q227" s="0">
        <f>IF(B227="","",SUMIFS('PEGAR'!$Z$13:$Z$512,'PEGAR'!$O$13:$O$512,B227))</f>
      </c>
      <c r="R227" s="0" t="n">
        <f>IF(OR(B227="",D227=""),0,SUMPRODUCT(--($B$13:$B$512&lt;&gt;""),--($D$13:$D$512=D227),--($C$13:$C$512=C227))-1)</f>
        <v>0</v>
      </c>
      <c r="S227" s="0" t="n">
        <f>IF(OR(B227="",D227=""),0,SUMPRODUCT(--($B$13:$B$512&lt;&gt;""),--($D$13:$D$512=D227),--($C$13:$C$512&lt;&gt;C227)))</f>
        <v>0</v>
      </c>
      <c r="T227" s="0" t="n">
        <f>IF(OR(B227="",D227=""),0,SUMPRODUCT(--($B$13:$B$512&lt;&gt;""),--($D$13:$D$512=D227),--($E$13:$E$512&lt;&gt;E227)))</f>
        <v>0</v>
      </c>
      <c r="U227" s="0" t="n">
        <f>IF(B227="",0,IF(SUMPRODUCT(--('LÉEME'!$C$65:$C$86=E227))=0,1,0))</f>
        <v>0</v>
      </c>
      <c r="V227" s="0">
        <f>IF(B227="","",SUMIFS('PEGAR'!$AA$13:$AA$512,'PEGAR'!$O$13:$O$512,B227))</f>
      </c>
      <c r="W227" s="0">
        <f>IF(B227="","",IF(OR(L227=0,N227&gt;0,T227&gt;0,IF(ISNUMBER(H227),ROUND(ABS(H227),8)&gt;$F$6,FALSE)),2,IF(OR(M227=0,O227&gt;0,P227&gt;0,Q227&gt;0,R227&gt;0,S227&gt;0,U227&gt;0,V227&gt;0),1,0)))</f>
      </c>
      <c r="X227" s="0">
        <f>IF(B227="","",IF(ISNUMBER(G227),1,0))</f>
      </c>
      <c r="AB227" s="0">
        <f>IF(AND(ISNUMBER(W227),W227&gt;0),"ID "&amp;B227,"")</f>
      </c>
      <c r="AC227" s="0">
        <f>IF(AND(ISNUMBER(W227),W227&gt;0),C227,"")</f>
      </c>
      <c r="AD227" s="0">
        <f>IF(AND(ISNUMBER(W227),W227&gt;0),D227,"")</f>
      </c>
      <c r="AE227" s="0">
        <f>IF(AND(ISNUMBER(W227),W227&gt;0),IF(INDEX('PEGAR'!$D$13:$D$512,IF(L227&gt;0,L227,K227))="","Sin descripción",INDEX('PEGAR'!$D$13:$D$512,IF(L227&gt;0,L227,K227))),"")</f>
      </c>
      <c r="AF227" s="0">
        <f>IF(AND(ISNUMBER(W227),W227&gt;0),J227,"")</f>
      </c>
      <c r="AG227" s="0" t="n">
        <f>IF(AND(ISNUMBER(W227),W227&gt;0),W227,0)</f>
        <v>0</v>
      </c>
      <c r="AH227" s="0">
        <f>IF(AG227&gt;0,COUNTIFS($AG$13:AG227,"&gt;0"),"")</f>
      </c>
    </row>
    <row r="228" ht="22" customHeight="1">
      <c r="B228" s="27">
        <f>IF(K228="","",INDEX('PEGAR'!$O$13:$O$512,K228))</f>
      </c>
      <c r="C228" s="30">
        <f>IF(B228="","",IF(LEN(TRIM(INDEX('PEGAR'!$B$13:$B$512,IF(L228&gt;0,L228,K228))&amp;""))=0,"Sin capítulo",TRIM(INDEX('PEGAR'!$B$13:$B$512,IF(L228&gt;0,L228,K228))&amp;"")))</f>
      </c>
      <c r="D228" s="27">
        <f>IF(B228="","",IF(LEN(TRIM(INDEX('PEGAR'!$C$13:$C$512,IF(L228&gt;0,L228,K228))&amp;""))=0,"",TRIM(INDEX('PEGAR'!$C$13:$C$512,IF(L228&gt;0,L228,K228))&amp;"")))</f>
      </c>
      <c r="E228" s="27">
        <f>IF(B228="","",INDEX('PEGAR'!$S$13:$S$512,IF(L228&gt;0,L228,K228)))</f>
      </c>
      <c r="F228" s="39">
        <f>IF(B228="","",IF(L228&gt;0,INDEX('PEGAR'!$F$13:$F$512,L228),""))</f>
      </c>
      <c r="G228" s="39">
        <f>IF(B228="","",IF(OR(M228=0,N228&gt;0,O228&gt;0),"",SUMIFS('PEGAR'!$M$13:$M$512,'PEGAR'!$O$13:$O$512,B228)))</f>
      </c>
      <c r="H228" s="39">
        <f>IF(AND(ISNUMBER(F228),ISNUMBER(G228)),G228-F228,"")</f>
      </c>
      <c r="I228" s="27">
        <f>IF(B228="","",IF(W228=2,"ROJO",IF(W228=1,"ÁMBAR","VERDE")))</f>
      </c>
      <c r="J228" s="30">
        <f>IF(B228="","",IF(W228=0,"Sin avisos numéricos. Revisamos el alcance aparte.",IF(L228=0,"Faltan datos completos de partida; no elegimos un total por suposición."&amp;CHAR(10),"")&amp;IF(N228&gt;0,"Hay filas incompletas o contradictorias; las revisamos en PEGAR."&amp;CHAR(10),"")&amp;IF(O228&gt;0,"Faltan las medidas de alguna fila; no cerramos la suma."&amp;CHAR(10),"")&amp;IF(M228=0,"No constan líneas de medición."&amp;CHAR(10),"")&amp;IF(IF(ISNUMBER(H228),ROUND(ABS(H228),8)&gt;$F$6,FALSE),"Las líneas difieren del total en más de 0,01; confirmamos cantidad o exclusión."&amp;CHAR(10),"")&amp;IF(P228&gt;0,"Parece m³: encontramos tres dimensiones bajo m²."&amp;CHAR(10),"")&amp;IF(R228&gt;0,"Código repetido dentro del capítulo; mantenemos sus ID separados."&amp;CHAR(10),"")&amp;IF(S228&gt;0,"Código repetido en otro capítulo; no unimos las partidas."&amp;CHAR(10),"")&amp;IF(T228&gt;0,"Mismo código con unidades distintas; pedimos aclaración."&amp;CHAR(10),"")&amp;IF(Q228&gt;0,"Hay más precisión que los decimales indicados; cotejamos el formato original."&amp;CHAR(10),"")&amp;IF(U228&gt;0,"Unidad sin normalizar; cotejamos su significado antes de sumar unidades."&amp;CHAR(10),"")&amp;IF(V228&gt;0,"Revisamos dimensiones, cantidades directas, ceros o deducciones en PEGAR."&amp;CHAR(10),"")))</f>
      </c>
      <c r="K228" s="0">
        <f>IF(216&gt;'RESUMEN'!$E$6,"",MATCH(216,'PEGAR'!$W$13:$W$512,0))</f>
      </c>
      <c r="L228" s="0">
        <f>IF(K228="","",INDEX('PEGAR'!$R$13:$R$512,K228))</f>
      </c>
      <c r="M228" s="0">
        <f>IF(B228="","",COUNTIFS('PEGAR'!$O$13:$O$512,B228,'PEGAR'!$P$13:$P$512,"DIMENSIONES")+COUNTIFS('PEGAR'!$O$13:$O$512,B228,'PEGAR'!$P$13:$P$512,"DIRECTA"))</f>
      </c>
      <c r="N228" s="0">
        <f>IF(B228="","",COUNTIFS('PEGAR'!$O$13:$O$512,B228,'PEGAR'!$X$13:$X$512,2))</f>
      </c>
      <c r="O228" s="0">
        <f>IF(B228="","",COUNTIFS('PEGAR'!$O$13:$O$512,B228,'PEGAR'!$P$13:$P$512,"SIN LÍNEAS"))</f>
      </c>
      <c r="P228" s="0">
        <f>IF(B228="","",SUMIFS('PEGAR'!$Y$13:$Y$512,'PEGAR'!$O$13:$O$512,B228))</f>
      </c>
      <c r="Q228" s="0">
        <f>IF(B228="","",SUMIFS('PEGAR'!$Z$13:$Z$512,'PEGAR'!$O$13:$O$512,B228))</f>
      </c>
      <c r="R228" s="0" t="n">
        <f>IF(OR(B228="",D228=""),0,SUMPRODUCT(--($B$13:$B$512&lt;&gt;""),--($D$13:$D$512=D228),--($C$13:$C$512=C228))-1)</f>
        <v>0</v>
      </c>
      <c r="S228" s="0" t="n">
        <f>IF(OR(B228="",D228=""),0,SUMPRODUCT(--($B$13:$B$512&lt;&gt;""),--($D$13:$D$512=D228),--($C$13:$C$512&lt;&gt;C228)))</f>
        <v>0</v>
      </c>
      <c r="T228" s="0" t="n">
        <f>IF(OR(B228="",D228=""),0,SUMPRODUCT(--($B$13:$B$512&lt;&gt;""),--($D$13:$D$512=D228),--($E$13:$E$512&lt;&gt;E228)))</f>
        <v>0</v>
      </c>
      <c r="U228" s="0" t="n">
        <f>IF(B228="",0,IF(SUMPRODUCT(--('LÉEME'!$C$65:$C$86=E228))=0,1,0))</f>
        <v>0</v>
      </c>
      <c r="V228" s="0">
        <f>IF(B228="","",SUMIFS('PEGAR'!$AA$13:$AA$512,'PEGAR'!$O$13:$O$512,B228))</f>
      </c>
      <c r="W228" s="0">
        <f>IF(B228="","",IF(OR(L228=0,N228&gt;0,T228&gt;0,IF(ISNUMBER(H228),ROUND(ABS(H228),8)&gt;$F$6,FALSE)),2,IF(OR(M228=0,O228&gt;0,P228&gt;0,Q228&gt;0,R228&gt;0,S228&gt;0,U228&gt;0,V228&gt;0),1,0)))</f>
      </c>
      <c r="X228" s="0">
        <f>IF(B228="","",IF(ISNUMBER(G228),1,0))</f>
      </c>
      <c r="AB228" s="0">
        <f>IF(AND(ISNUMBER(W228),W228&gt;0),"ID "&amp;B228,"")</f>
      </c>
      <c r="AC228" s="0">
        <f>IF(AND(ISNUMBER(W228),W228&gt;0),C228,"")</f>
      </c>
      <c r="AD228" s="0">
        <f>IF(AND(ISNUMBER(W228),W228&gt;0),D228,"")</f>
      </c>
      <c r="AE228" s="0">
        <f>IF(AND(ISNUMBER(W228),W228&gt;0),IF(INDEX('PEGAR'!$D$13:$D$512,IF(L228&gt;0,L228,K228))="","Sin descripción",INDEX('PEGAR'!$D$13:$D$512,IF(L228&gt;0,L228,K228))),"")</f>
      </c>
      <c r="AF228" s="0">
        <f>IF(AND(ISNUMBER(W228),W228&gt;0),J228,"")</f>
      </c>
      <c r="AG228" s="0" t="n">
        <f>IF(AND(ISNUMBER(W228),W228&gt;0),W228,0)</f>
        <v>0</v>
      </c>
      <c r="AH228" s="0">
        <f>IF(AG228&gt;0,COUNTIFS($AG$13:AG228,"&gt;0"),"")</f>
      </c>
    </row>
    <row r="229" ht="22" customHeight="1">
      <c r="B229" s="27">
        <f>IF(K229="","",INDEX('PEGAR'!$O$13:$O$512,K229))</f>
      </c>
      <c r="C229" s="30">
        <f>IF(B229="","",IF(LEN(TRIM(INDEX('PEGAR'!$B$13:$B$512,IF(L229&gt;0,L229,K229))&amp;""))=0,"Sin capítulo",TRIM(INDEX('PEGAR'!$B$13:$B$512,IF(L229&gt;0,L229,K229))&amp;"")))</f>
      </c>
      <c r="D229" s="27">
        <f>IF(B229="","",IF(LEN(TRIM(INDEX('PEGAR'!$C$13:$C$512,IF(L229&gt;0,L229,K229))&amp;""))=0,"",TRIM(INDEX('PEGAR'!$C$13:$C$512,IF(L229&gt;0,L229,K229))&amp;"")))</f>
      </c>
      <c r="E229" s="27">
        <f>IF(B229="","",INDEX('PEGAR'!$S$13:$S$512,IF(L229&gt;0,L229,K229)))</f>
      </c>
      <c r="F229" s="39">
        <f>IF(B229="","",IF(L229&gt;0,INDEX('PEGAR'!$F$13:$F$512,L229),""))</f>
      </c>
      <c r="G229" s="39">
        <f>IF(B229="","",IF(OR(M229=0,N229&gt;0,O229&gt;0),"",SUMIFS('PEGAR'!$M$13:$M$512,'PEGAR'!$O$13:$O$512,B229)))</f>
      </c>
      <c r="H229" s="39">
        <f>IF(AND(ISNUMBER(F229),ISNUMBER(G229)),G229-F229,"")</f>
      </c>
      <c r="I229" s="27">
        <f>IF(B229="","",IF(W229=2,"ROJO",IF(W229=1,"ÁMBAR","VERDE")))</f>
      </c>
      <c r="J229" s="30">
        <f>IF(B229="","",IF(W229=0,"Sin avisos numéricos. Revisamos el alcance aparte.",IF(L229=0,"Faltan datos completos de partida; no elegimos un total por suposición."&amp;CHAR(10),"")&amp;IF(N229&gt;0,"Hay filas incompletas o contradictorias; las revisamos en PEGAR."&amp;CHAR(10),"")&amp;IF(O229&gt;0,"Faltan las medidas de alguna fila; no cerramos la suma."&amp;CHAR(10),"")&amp;IF(M229=0,"No constan líneas de medición."&amp;CHAR(10),"")&amp;IF(IF(ISNUMBER(H229),ROUND(ABS(H229),8)&gt;$F$6,FALSE),"Las líneas difieren del total en más de 0,01; confirmamos cantidad o exclusión."&amp;CHAR(10),"")&amp;IF(P229&gt;0,"Parece m³: encontramos tres dimensiones bajo m²."&amp;CHAR(10),"")&amp;IF(R229&gt;0,"Código repetido dentro del capítulo; mantenemos sus ID separados."&amp;CHAR(10),"")&amp;IF(S229&gt;0,"Código repetido en otro capítulo; no unimos las partidas."&amp;CHAR(10),"")&amp;IF(T229&gt;0,"Mismo código con unidades distintas; pedimos aclaración."&amp;CHAR(10),"")&amp;IF(Q229&gt;0,"Hay más precisión que los decimales indicados; cotejamos el formato original."&amp;CHAR(10),"")&amp;IF(U229&gt;0,"Unidad sin normalizar; cotejamos su significado antes de sumar unidades."&amp;CHAR(10),"")&amp;IF(V229&gt;0,"Revisamos dimensiones, cantidades directas, ceros o deducciones en PEGAR."&amp;CHAR(10),"")))</f>
      </c>
      <c r="K229" s="0">
        <f>IF(217&gt;'RESUMEN'!$E$6,"",MATCH(217,'PEGAR'!$W$13:$W$512,0))</f>
      </c>
      <c r="L229" s="0">
        <f>IF(K229="","",INDEX('PEGAR'!$R$13:$R$512,K229))</f>
      </c>
      <c r="M229" s="0">
        <f>IF(B229="","",COUNTIFS('PEGAR'!$O$13:$O$512,B229,'PEGAR'!$P$13:$P$512,"DIMENSIONES")+COUNTIFS('PEGAR'!$O$13:$O$512,B229,'PEGAR'!$P$13:$P$512,"DIRECTA"))</f>
      </c>
      <c r="N229" s="0">
        <f>IF(B229="","",COUNTIFS('PEGAR'!$O$13:$O$512,B229,'PEGAR'!$X$13:$X$512,2))</f>
      </c>
      <c r="O229" s="0">
        <f>IF(B229="","",COUNTIFS('PEGAR'!$O$13:$O$512,B229,'PEGAR'!$P$13:$P$512,"SIN LÍNEAS"))</f>
      </c>
      <c r="P229" s="0">
        <f>IF(B229="","",SUMIFS('PEGAR'!$Y$13:$Y$512,'PEGAR'!$O$13:$O$512,B229))</f>
      </c>
      <c r="Q229" s="0">
        <f>IF(B229="","",SUMIFS('PEGAR'!$Z$13:$Z$512,'PEGAR'!$O$13:$O$512,B229))</f>
      </c>
      <c r="R229" s="0" t="n">
        <f>IF(OR(B229="",D229=""),0,SUMPRODUCT(--($B$13:$B$512&lt;&gt;""),--($D$13:$D$512=D229),--($C$13:$C$512=C229))-1)</f>
        <v>0</v>
      </c>
      <c r="S229" s="0" t="n">
        <f>IF(OR(B229="",D229=""),0,SUMPRODUCT(--($B$13:$B$512&lt;&gt;""),--($D$13:$D$512=D229),--($C$13:$C$512&lt;&gt;C229)))</f>
        <v>0</v>
      </c>
      <c r="T229" s="0" t="n">
        <f>IF(OR(B229="",D229=""),0,SUMPRODUCT(--($B$13:$B$512&lt;&gt;""),--($D$13:$D$512=D229),--($E$13:$E$512&lt;&gt;E229)))</f>
        <v>0</v>
      </c>
      <c r="U229" s="0" t="n">
        <f>IF(B229="",0,IF(SUMPRODUCT(--('LÉEME'!$C$65:$C$86=E229))=0,1,0))</f>
        <v>0</v>
      </c>
      <c r="V229" s="0">
        <f>IF(B229="","",SUMIFS('PEGAR'!$AA$13:$AA$512,'PEGAR'!$O$13:$O$512,B229))</f>
      </c>
      <c r="W229" s="0">
        <f>IF(B229="","",IF(OR(L229=0,N229&gt;0,T229&gt;0,IF(ISNUMBER(H229),ROUND(ABS(H229),8)&gt;$F$6,FALSE)),2,IF(OR(M229=0,O229&gt;0,P229&gt;0,Q229&gt;0,R229&gt;0,S229&gt;0,U229&gt;0,V229&gt;0),1,0)))</f>
      </c>
      <c r="X229" s="0">
        <f>IF(B229="","",IF(ISNUMBER(G229),1,0))</f>
      </c>
      <c r="AB229" s="0">
        <f>IF(AND(ISNUMBER(W229),W229&gt;0),"ID "&amp;B229,"")</f>
      </c>
      <c r="AC229" s="0">
        <f>IF(AND(ISNUMBER(W229),W229&gt;0),C229,"")</f>
      </c>
      <c r="AD229" s="0">
        <f>IF(AND(ISNUMBER(W229),W229&gt;0),D229,"")</f>
      </c>
      <c r="AE229" s="0">
        <f>IF(AND(ISNUMBER(W229),W229&gt;0),IF(INDEX('PEGAR'!$D$13:$D$512,IF(L229&gt;0,L229,K229))="","Sin descripción",INDEX('PEGAR'!$D$13:$D$512,IF(L229&gt;0,L229,K229))),"")</f>
      </c>
      <c r="AF229" s="0">
        <f>IF(AND(ISNUMBER(W229),W229&gt;0),J229,"")</f>
      </c>
      <c r="AG229" s="0" t="n">
        <f>IF(AND(ISNUMBER(W229),W229&gt;0),W229,0)</f>
        <v>0</v>
      </c>
      <c r="AH229" s="0">
        <f>IF(AG229&gt;0,COUNTIFS($AG$13:AG229,"&gt;0"),"")</f>
      </c>
    </row>
    <row r="230" ht="22" customHeight="1">
      <c r="B230" s="27">
        <f>IF(K230="","",INDEX('PEGAR'!$O$13:$O$512,K230))</f>
      </c>
      <c r="C230" s="30">
        <f>IF(B230="","",IF(LEN(TRIM(INDEX('PEGAR'!$B$13:$B$512,IF(L230&gt;0,L230,K230))&amp;""))=0,"Sin capítulo",TRIM(INDEX('PEGAR'!$B$13:$B$512,IF(L230&gt;0,L230,K230))&amp;"")))</f>
      </c>
      <c r="D230" s="27">
        <f>IF(B230="","",IF(LEN(TRIM(INDEX('PEGAR'!$C$13:$C$512,IF(L230&gt;0,L230,K230))&amp;""))=0,"",TRIM(INDEX('PEGAR'!$C$13:$C$512,IF(L230&gt;0,L230,K230))&amp;"")))</f>
      </c>
      <c r="E230" s="27">
        <f>IF(B230="","",INDEX('PEGAR'!$S$13:$S$512,IF(L230&gt;0,L230,K230)))</f>
      </c>
      <c r="F230" s="39">
        <f>IF(B230="","",IF(L230&gt;0,INDEX('PEGAR'!$F$13:$F$512,L230),""))</f>
      </c>
      <c r="G230" s="39">
        <f>IF(B230="","",IF(OR(M230=0,N230&gt;0,O230&gt;0),"",SUMIFS('PEGAR'!$M$13:$M$512,'PEGAR'!$O$13:$O$512,B230)))</f>
      </c>
      <c r="H230" s="39">
        <f>IF(AND(ISNUMBER(F230),ISNUMBER(G230)),G230-F230,"")</f>
      </c>
      <c r="I230" s="27">
        <f>IF(B230="","",IF(W230=2,"ROJO",IF(W230=1,"ÁMBAR","VERDE")))</f>
      </c>
      <c r="J230" s="30">
        <f>IF(B230="","",IF(W230=0,"Sin avisos numéricos. Revisamos el alcance aparte.",IF(L230=0,"Faltan datos completos de partida; no elegimos un total por suposición."&amp;CHAR(10),"")&amp;IF(N230&gt;0,"Hay filas incompletas o contradictorias; las revisamos en PEGAR."&amp;CHAR(10),"")&amp;IF(O230&gt;0,"Faltan las medidas de alguna fila; no cerramos la suma."&amp;CHAR(10),"")&amp;IF(M230=0,"No constan líneas de medición."&amp;CHAR(10),"")&amp;IF(IF(ISNUMBER(H230),ROUND(ABS(H230),8)&gt;$F$6,FALSE),"Las líneas difieren del total en más de 0,01; confirmamos cantidad o exclusión."&amp;CHAR(10),"")&amp;IF(P230&gt;0,"Parece m³: encontramos tres dimensiones bajo m²."&amp;CHAR(10),"")&amp;IF(R230&gt;0,"Código repetido dentro del capítulo; mantenemos sus ID separados."&amp;CHAR(10),"")&amp;IF(S230&gt;0,"Código repetido en otro capítulo; no unimos las partidas."&amp;CHAR(10),"")&amp;IF(T230&gt;0,"Mismo código con unidades distintas; pedimos aclaración."&amp;CHAR(10),"")&amp;IF(Q230&gt;0,"Hay más precisión que los decimales indicados; cotejamos el formato original."&amp;CHAR(10),"")&amp;IF(U230&gt;0,"Unidad sin normalizar; cotejamos su significado antes de sumar unidades."&amp;CHAR(10),"")&amp;IF(V230&gt;0,"Revisamos dimensiones, cantidades directas, ceros o deducciones en PEGAR."&amp;CHAR(10),"")))</f>
      </c>
      <c r="K230" s="0">
        <f>IF(218&gt;'RESUMEN'!$E$6,"",MATCH(218,'PEGAR'!$W$13:$W$512,0))</f>
      </c>
      <c r="L230" s="0">
        <f>IF(K230="","",INDEX('PEGAR'!$R$13:$R$512,K230))</f>
      </c>
      <c r="M230" s="0">
        <f>IF(B230="","",COUNTIFS('PEGAR'!$O$13:$O$512,B230,'PEGAR'!$P$13:$P$512,"DIMENSIONES")+COUNTIFS('PEGAR'!$O$13:$O$512,B230,'PEGAR'!$P$13:$P$512,"DIRECTA"))</f>
      </c>
      <c r="N230" s="0">
        <f>IF(B230="","",COUNTIFS('PEGAR'!$O$13:$O$512,B230,'PEGAR'!$X$13:$X$512,2))</f>
      </c>
      <c r="O230" s="0">
        <f>IF(B230="","",COUNTIFS('PEGAR'!$O$13:$O$512,B230,'PEGAR'!$P$13:$P$512,"SIN LÍNEAS"))</f>
      </c>
      <c r="P230" s="0">
        <f>IF(B230="","",SUMIFS('PEGAR'!$Y$13:$Y$512,'PEGAR'!$O$13:$O$512,B230))</f>
      </c>
      <c r="Q230" s="0">
        <f>IF(B230="","",SUMIFS('PEGAR'!$Z$13:$Z$512,'PEGAR'!$O$13:$O$512,B230))</f>
      </c>
      <c r="R230" s="0" t="n">
        <f>IF(OR(B230="",D230=""),0,SUMPRODUCT(--($B$13:$B$512&lt;&gt;""),--($D$13:$D$512=D230),--($C$13:$C$512=C230))-1)</f>
        <v>0</v>
      </c>
      <c r="S230" s="0" t="n">
        <f>IF(OR(B230="",D230=""),0,SUMPRODUCT(--($B$13:$B$512&lt;&gt;""),--($D$13:$D$512=D230),--($C$13:$C$512&lt;&gt;C230)))</f>
        <v>0</v>
      </c>
      <c r="T230" s="0" t="n">
        <f>IF(OR(B230="",D230=""),0,SUMPRODUCT(--($B$13:$B$512&lt;&gt;""),--($D$13:$D$512=D230),--($E$13:$E$512&lt;&gt;E230)))</f>
        <v>0</v>
      </c>
      <c r="U230" s="0" t="n">
        <f>IF(B230="",0,IF(SUMPRODUCT(--('LÉEME'!$C$65:$C$86=E230))=0,1,0))</f>
        <v>0</v>
      </c>
      <c r="V230" s="0">
        <f>IF(B230="","",SUMIFS('PEGAR'!$AA$13:$AA$512,'PEGAR'!$O$13:$O$512,B230))</f>
      </c>
      <c r="W230" s="0">
        <f>IF(B230="","",IF(OR(L230=0,N230&gt;0,T230&gt;0,IF(ISNUMBER(H230),ROUND(ABS(H230),8)&gt;$F$6,FALSE)),2,IF(OR(M230=0,O230&gt;0,P230&gt;0,Q230&gt;0,R230&gt;0,S230&gt;0,U230&gt;0,V230&gt;0),1,0)))</f>
      </c>
      <c r="X230" s="0">
        <f>IF(B230="","",IF(ISNUMBER(G230),1,0))</f>
      </c>
      <c r="AB230" s="0">
        <f>IF(AND(ISNUMBER(W230),W230&gt;0),"ID "&amp;B230,"")</f>
      </c>
      <c r="AC230" s="0">
        <f>IF(AND(ISNUMBER(W230),W230&gt;0),C230,"")</f>
      </c>
      <c r="AD230" s="0">
        <f>IF(AND(ISNUMBER(W230),W230&gt;0),D230,"")</f>
      </c>
      <c r="AE230" s="0">
        <f>IF(AND(ISNUMBER(W230),W230&gt;0),IF(INDEX('PEGAR'!$D$13:$D$512,IF(L230&gt;0,L230,K230))="","Sin descripción",INDEX('PEGAR'!$D$13:$D$512,IF(L230&gt;0,L230,K230))),"")</f>
      </c>
      <c r="AF230" s="0">
        <f>IF(AND(ISNUMBER(W230),W230&gt;0),J230,"")</f>
      </c>
      <c r="AG230" s="0" t="n">
        <f>IF(AND(ISNUMBER(W230),W230&gt;0),W230,0)</f>
        <v>0</v>
      </c>
      <c r="AH230" s="0">
        <f>IF(AG230&gt;0,COUNTIFS($AG$13:AG230,"&gt;0"),"")</f>
      </c>
    </row>
    <row r="231" ht="22" customHeight="1">
      <c r="B231" s="27">
        <f>IF(K231="","",INDEX('PEGAR'!$O$13:$O$512,K231))</f>
      </c>
      <c r="C231" s="30">
        <f>IF(B231="","",IF(LEN(TRIM(INDEX('PEGAR'!$B$13:$B$512,IF(L231&gt;0,L231,K231))&amp;""))=0,"Sin capítulo",TRIM(INDEX('PEGAR'!$B$13:$B$512,IF(L231&gt;0,L231,K231))&amp;"")))</f>
      </c>
      <c r="D231" s="27">
        <f>IF(B231="","",IF(LEN(TRIM(INDEX('PEGAR'!$C$13:$C$512,IF(L231&gt;0,L231,K231))&amp;""))=0,"",TRIM(INDEX('PEGAR'!$C$13:$C$512,IF(L231&gt;0,L231,K231))&amp;"")))</f>
      </c>
      <c r="E231" s="27">
        <f>IF(B231="","",INDEX('PEGAR'!$S$13:$S$512,IF(L231&gt;0,L231,K231)))</f>
      </c>
      <c r="F231" s="39">
        <f>IF(B231="","",IF(L231&gt;0,INDEX('PEGAR'!$F$13:$F$512,L231),""))</f>
      </c>
      <c r="G231" s="39">
        <f>IF(B231="","",IF(OR(M231=0,N231&gt;0,O231&gt;0),"",SUMIFS('PEGAR'!$M$13:$M$512,'PEGAR'!$O$13:$O$512,B231)))</f>
      </c>
      <c r="H231" s="39">
        <f>IF(AND(ISNUMBER(F231),ISNUMBER(G231)),G231-F231,"")</f>
      </c>
      <c r="I231" s="27">
        <f>IF(B231="","",IF(W231=2,"ROJO",IF(W231=1,"ÁMBAR","VERDE")))</f>
      </c>
      <c r="J231" s="30">
        <f>IF(B231="","",IF(W231=0,"Sin avisos numéricos. Revisamos el alcance aparte.",IF(L231=0,"Faltan datos completos de partida; no elegimos un total por suposición."&amp;CHAR(10),"")&amp;IF(N231&gt;0,"Hay filas incompletas o contradictorias; las revisamos en PEGAR."&amp;CHAR(10),"")&amp;IF(O231&gt;0,"Faltan las medidas de alguna fila; no cerramos la suma."&amp;CHAR(10),"")&amp;IF(M231=0,"No constan líneas de medición."&amp;CHAR(10),"")&amp;IF(IF(ISNUMBER(H231),ROUND(ABS(H231),8)&gt;$F$6,FALSE),"Las líneas difieren del total en más de 0,01; confirmamos cantidad o exclusión."&amp;CHAR(10),"")&amp;IF(P231&gt;0,"Parece m³: encontramos tres dimensiones bajo m²."&amp;CHAR(10),"")&amp;IF(R231&gt;0,"Código repetido dentro del capítulo; mantenemos sus ID separados."&amp;CHAR(10),"")&amp;IF(S231&gt;0,"Código repetido en otro capítulo; no unimos las partidas."&amp;CHAR(10),"")&amp;IF(T231&gt;0,"Mismo código con unidades distintas; pedimos aclaración."&amp;CHAR(10),"")&amp;IF(Q231&gt;0,"Hay más precisión que los decimales indicados; cotejamos el formato original."&amp;CHAR(10),"")&amp;IF(U231&gt;0,"Unidad sin normalizar; cotejamos su significado antes de sumar unidades."&amp;CHAR(10),"")&amp;IF(V231&gt;0,"Revisamos dimensiones, cantidades directas, ceros o deducciones en PEGAR."&amp;CHAR(10),"")))</f>
      </c>
      <c r="K231" s="0">
        <f>IF(219&gt;'RESUMEN'!$E$6,"",MATCH(219,'PEGAR'!$W$13:$W$512,0))</f>
      </c>
      <c r="L231" s="0">
        <f>IF(K231="","",INDEX('PEGAR'!$R$13:$R$512,K231))</f>
      </c>
      <c r="M231" s="0">
        <f>IF(B231="","",COUNTIFS('PEGAR'!$O$13:$O$512,B231,'PEGAR'!$P$13:$P$512,"DIMENSIONES")+COUNTIFS('PEGAR'!$O$13:$O$512,B231,'PEGAR'!$P$13:$P$512,"DIRECTA"))</f>
      </c>
      <c r="N231" s="0">
        <f>IF(B231="","",COUNTIFS('PEGAR'!$O$13:$O$512,B231,'PEGAR'!$X$13:$X$512,2))</f>
      </c>
      <c r="O231" s="0">
        <f>IF(B231="","",COUNTIFS('PEGAR'!$O$13:$O$512,B231,'PEGAR'!$P$13:$P$512,"SIN LÍNEAS"))</f>
      </c>
      <c r="P231" s="0">
        <f>IF(B231="","",SUMIFS('PEGAR'!$Y$13:$Y$512,'PEGAR'!$O$13:$O$512,B231))</f>
      </c>
      <c r="Q231" s="0">
        <f>IF(B231="","",SUMIFS('PEGAR'!$Z$13:$Z$512,'PEGAR'!$O$13:$O$512,B231))</f>
      </c>
      <c r="R231" s="0" t="n">
        <f>IF(OR(B231="",D231=""),0,SUMPRODUCT(--($B$13:$B$512&lt;&gt;""),--($D$13:$D$512=D231),--($C$13:$C$512=C231))-1)</f>
        <v>0</v>
      </c>
      <c r="S231" s="0" t="n">
        <f>IF(OR(B231="",D231=""),0,SUMPRODUCT(--($B$13:$B$512&lt;&gt;""),--($D$13:$D$512=D231),--($C$13:$C$512&lt;&gt;C231)))</f>
        <v>0</v>
      </c>
      <c r="T231" s="0" t="n">
        <f>IF(OR(B231="",D231=""),0,SUMPRODUCT(--($B$13:$B$512&lt;&gt;""),--($D$13:$D$512=D231),--($E$13:$E$512&lt;&gt;E231)))</f>
        <v>0</v>
      </c>
      <c r="U231" s="0" t="n">
        <f>IF(B231="",0,IF(SUMPRODUCT(--('LÉEME'!$C$65:$C$86=E231))=0,1,0))</f>
        <v>0</v>
      </c>
      <c r="V231" s="0">
        <f>IF(B231="","",SUMIFS('PEGAR'!$AA$13:$AA$512,'PEGAR'!$O$13:$O$512,B231))</f>
      </c>
      <c r="W231" s="0">
        <f>IF(B231="","",IF(OR(L231=0,N231&gt;0,T231&gt;0,IF(ISNUMBER(H231),ROUND(ABS(H231),8)&gt;$F$6,FALSE)),2,IF(OR(M231=0,O231&gt;0,P231&gt;0,Q231&gt;0,R231&gt;0,S231&gt;0,U231&gt;0,V231&gt;0),1,0)))</f>
      </c>
      <c r="X231" s="0">
        <f>IF(B231="","",IF(ISNUMBER(G231),1,0))</f>
      </c>
      <c r="AB231" s="0">
        <f>IF(AND(ISNUMBER(W231),W231&gt;0),"ID "&amp;B231,"")</f>
      </c>
      <c r="AC231" s="0">
        <f>IF(AND(ISNUMBER(W231),W231&gt;0),C231,"")</f>
      </c>
      <c r="AD231" s="0">
        <f>IF(AND(ISNUMBER(W231),W231&gt;0),D231,"")</f>
      </c>
      <c r="AE231" s="0">
        <f>IF(AND(ISNUMBER(W231),W231&gt;0),IF(INDEX('PEGAR'!$D$13:$D$512,IF(L231&gt;0,L231,K231))="","Sin descripción",INDEX('PEGAR'!$D$13:$D$512,IF(L231&gt;0,L231,K231))),"")</f>
      </c>
      <c r="AF231" s="0">
        <f>IF(AND(ISNUMBER(W231),W231&gt;0),J231,"")</f>
      </c>
      <c r="AG231" s="0" t="n">
        <f>IF(AND(ISNUMBER(W231),W231&gt;0),W231,0)</f>
        <v>0</v>
      </c>
      <c r="AH231" s="0">
        <f>IF(AG231&gt;0,COUNTIFS($AG$13:AG231,"&gt;0"),"")</f>
      </c>
    </row>
    <row r="232" ht="22" customHeight="1">
      <c r="B232" s="27">
        <f>IF(K232="","",INDEX('PEGAR'!$O$13:$O$512,K232))</f>
      </c>
      <c r="C232" s="30">
        <f>IF(B232="","",IF(LEN(TRIM(INDEX('PEGAR'!$B$13:$B$512,IF(L232&gt;0,L232,K232))&amp;""))=0,"Sin capítulo",TRIM(INDEX('PEGAR'!$B$13:$B$512,IF(L232&gt;0,L232,K232))&amp;"")))</f>
      </c>
      <c r="D232" s="27">
        <f>IF(B232="","",IF(LEN(TRIM(INDEX('PEGAR'!$C$13:$C$512,IF(L232&gt;0,L232,K232))&amp;""))=0,"",TRIM(INDEX('PEGAR'!$C$13:$C$512,IF(L232&gt;0,L232,K232))&amp;"")))</f>
      </c>
      <c r="E232" s="27">
        <f>IF(B232="","",INDEX('PEGAR'!$S$13:$S$512,IF(L232&gt;0,L232,K232)))</f>
      </c>
      <c r="F232" s="39">
        <f>IF(B232="","",IF(L232&gt;0,INDEX('PEGAR'!$F$13:$F$512,L232),""))</f>
      </c>
      <c r="G232" s="39">
        <f>IF(B232="","",IF(OR(M232=0,N232&gt;0,O232&gt;0),"",SUMIFS('PEGAR'!$M$13:$M$512,'PEGAR'!$O$13:$O$512,B232)))</f>
      </c>
      <c r="H232" s="39">
        <f>IF(AND(ISNUMBER(F232),ISNUMBER(G232)),G232-F232,"")</f>
      </c>
      <c r="I232" s="27">
        <f>IF(B232="","",IF(W232=2,"ROJO",IF(W232=1,"ÁMBAR","VERDE")))</f>
      </c>
      <c r="J232" s="30">
        <f>IF(B232="","",IF(W232=0,"Sin avisos numéricos. Revisamos el alcance aparte.",IF(L232=0,"Faltan datos completos de partida; no elegimos un total por suposición."&amp;CHAR(10),"")&amp;IF(N232&gt;0,"Hay filas incompletas o contradictorias; las revisamos en PEGAR."&amp;CHAR(10),"")&amp;IF(O232&gt;0,"Faltan las medidas de alguna fila; no cerramos la suma."&amp;CHAR(10),"")&amp;IF(M232=0,"No constan líneas de medición."&amp;CHAR(10),"")&amp;IF(IF(ISNUMBER(H232),ROUND(ABS(H232),8)&gt;$F$6,FALSE),"Las líneas difieren del total en más de 0,01; confirmamos cantidad o exclusión."&amp;CHAR(10),"")&amp;IF(P232&gt;0,"Parece m³: encontramos tres dimensiones bajo m²."&amp;CHAR(10),"")&amp;IF(R232&gt;0,"Código repetido dentro del capítulo; mantenemos sus ID separados."&amp;CHAR(10),"")&amp;IF(S232&gt;0,"Código repetido en otro capítulo; no unimos las partidas."&amp;CHAR(10),"")&amp;IF(T232&gt;0,"Mismo código con unidades distintas; pedimos aclaración."&amp;CHAR(10),"")&amp;IF(Q232&gt;0,"Hay más precisión que los decimales indicados; cotejamos el formato original."&amp;CHAR(10),"")&amp;IF(U232&gt;0,"Unidad sin normalizar; cotejamos su significado antes de sumar unidades."&amp;CHAR(10),"")&amp;IF(V232&gt;0,"Revisamos dimensiones, cantidades directas, ceros o deducciones en PEGAR."&amp;CHAR(10),"")))</f>
      </c>
      <c r="K232" s="0">
        <f>IF(220&gt;'RESUMEN'!$E$6,"",MATCH(220,'PEGAR'!$W$13:$W$512,0))</f>
      </c>
      <c r="L232" s="0">
        <f>IF(K232="","",INDEX('PEGAR'!$R$13:$R$512,K232))</f>
      </c>
      <c r="M232" s="0">
        <f>IF(B232="","",COUNTIFS('PEGAR'!$O$13:$O$512,B232,'PEGAR'!$P$13:$P$512,"DIMENSIONES")+COUNTIFS('PEGAR'!$O$13:$O$512,B232,'PEGAR'!$P$13:$P$512,"DIRECTA"))</f>
      </c>
      <c r="N232" s="0">
        <f>IF(B232="","",COUNTIFS('PEGAR'!$O$13:$O$512,B232,'PEGAR'!$X$13:$X$512,2))</f>
      </c>
      <c r="O232" s="0">
        <f>IF(B232="","",COUNTIFS('PEGAR'!$O$13:$O$512,B232,'PEGAR'!$P$13:$P$512,"SIN LÍNEAS"))</f>
      </c>
      <c r="P232" s="0">
        <f>IF(B232="","",SUMIFS('PEGAR'!$Y$13:$Y$512,'PEGAR'!$O$13:$O$512,B232))</f>
      </c>
      <c r="Q232" s="0">
        <f>IF(B232="","",SUMIFS('PEGAR'!$Z$13:$Z$512,'PEGAR'!$O$13:$O$512,B232))</f>
      </c>
      <c r="R232" s="0" t="n">
        <f>IF(OR(B232="",D232=""),0,SUMPRODUCT(--($B$13:$B$512&lt;&gt;""),--($D$13:$D$512=D232),--($C$13:$C$512=C232))-1)</f>
        <v>0</v>
      </c>
      <c r="S232" s="0" t="n">
        <f>IF(OR(B232="",D232=""),0,SUMPRODUCT(--($B$13:$B$512&lt;&gt;""),--($D$13:$D$512=D232),--($C$13:$C$512&lt;&gt;C232)))</f>
        <v>0</v>
      </c>
      <c r="T232" s="0" t="n">
        <f>IF(OR(B232="",D232=""),0,SUMPRODUCT(--($B$13:$B$512&lt;&gt;""),--($D$13:$D$512=D232),--($E$13:$E$512&lt;&gt;E232)))</f>
        <v>0</v>
      </c>
      <c r="U232" s="0" t="n">
        <f>IF(B232="",0,IF(SUMPRODUCT(--('LÉEME'!$C$65:$C$86=E232))=0,1,0))</f>
        <v>0</v>
      </c>
      <c r="V232" s="0">
        <f>IF(B232="","",SUMIFS('PEGAR'!$AA$13:$AA$512,'PEGAR'!$O$13:$O$512,B232))</f>
      </c>
      <c r="W232" s="0">
        <f>IF(B232="","",IF(OR(L232=0,N232&gt;0,T232&gt;0,IF(ISNUMBER(H232),ROUND(ABS(H232),8)&gt;$F$6,FALSE)),2,IF(OR(M232=0,O232&gt;0,P232&gt;0,Q232&gt;0,R232&gt;0,S232&gt;0,U232&gt;0,V232&gt;0),1,0)))</f>
      </c>
      <c r="X232" s="0">
        <f>IF(B232="","",IF(ISNUMBER(G232),1,0))</f>
      </c>
      <c r="AB232" s="0">
        <f>IF(AND(ISNUMBER(W232),W232&gt;0),"ID "&amp;B232,"")</f>
      </c>
      <c r="AC232" s="0">
        <f>IF(AND(ISNUMBER(W232),W232&gt;0),C232,"")</f>
      </c>
      <c r="AD232" s="0">
        <f>IF(AND(ISNUMBER(W232),W232&gt;0),D232,"")</f>
      </c>
      <c r="AE232" s="0">
        <f>IF(AND(ISNUMBER(W232),W232&gt;0),IF(INDEX('PEGAR'!$D$13:$D$512,IF(L232&gt;0,L232,K232))="","Sin descripción",INDEX('PEGAR'!$D$13:$D$512,IF(L232&gt;0,L232,K232))),"")</f>
      </c>
      <c r="AF232" s="0">
        <f>IF(AND(ISNUMBER(W232),W232&gt;0),J232,"")</f>
      </c>
      <c r="AG232" s="0" t="n">
        <f>IF(AND(ISNUMBER(W232),W232&gt;0),W232,0)</f>
        <v>0</v>
      </c>
      <c r="AH232" s="0">
        <f>IF(AG232&gt;0,COUNTIFS($AG$13:AG232,"&gt;0"),"")</f>
      </c>
    </row>
    <row r="233" ht="22" customHeight="1">
      <c r="B233" s="27">
        <f>IF(K233="","",INDEX('PEGAR'!$O$13:$O$512,K233))</f>
      </c>
      <c r="C233" s="30">
        <f>IF(B233="","",IF(LEN(TRIM(INDEX('PEGAR'!$B$13:$B$512,IF(L233&gt;0,L233,K233))&amp;""))=0,"Sin capítulo",TRIM(INDEX('PEGAR'!$B$13:$B$512,IF(L233&gt;0,L233,K233))&amp;"")))</f>
      </c>
      <c r="D233" s="27">
        <f>IF(B233="","",IF(LEN(TRIM(INDEX('PEGAR'!$C$13:$C$512,IF(L233&gt;0,L233,K233))&amp;""))=0,"",TRIM(INDEX('PEGAR'!$C$13:$C$512,IF(L233&gt;0,L233,K233))&amp;"")))</f>
      </c>
      <c r="E233" s="27">
        <f>IF(B233="","",INDEX('PEGAR'!$S$13:$S$512,IF(L233&gt;0,L233,K233)))</f>
      </c>
      <c r="F233" s="39">
        <f>IF(B233="","",IF(L233&gt;0,INDEX('PEGAR'!$F$13:$F$512,L233),""))</f>
      </c>
      <c r="G233" s="39">
        <f>IF(B233="","",IF(OR(M233=0,N233&gt;0,O233&gt;0),"",SUMIFS('PEGAR'!$M$13:$M$512,'PEGAR'!$O$13:$O$512,B233)))</f>
      </c>
      <c r="H233" s="39">
        <f>IF(AND(ISNUMBER(F233),ISNUMBER(G233)),G233-F233,"")</f>
      </c>
      <c r="I233" s="27">
        <f>IF(B233="","",IF(W233=2,"ROJO",IF(W233=1,"ÁMBAR","VERDE")))</f>
      </c>
      <c r="J233" s="30">
        <f>IF(B233="","",IF(W233=0,"Sin avisos numéricos. Revisamos el alcance aparte.",IF(L233=0,"Faltan datos completos de partida; no elegimos un total por suposición."&amp;CHAR(10),"")&amp;IF(N233&gt;0,"Hay filas incompletas o contradictorias; las revisamos en PEGAR."&amp;CHAR(10),"")&amp;IF(O233&gt;0,"Faltan las medidas de alguna fila; no cerramos la suma."&amp;CHAR(10),"")&amp;IF(M233=0,"No constan líneas de medición."&amp;CHAR(10),"")&amp;IF(IF(ISNUMBER(H233),ROUND(ABS(H233),8)&gt;$F$6,FALSE),"Las líneas difieren del total en más de 0,01; confirmamos cantidad o exclusión."&amp;CHAR(10),"")&amp;IF(P233&gt;0,"Parece m³: encontramos tres dimensiones bajo m²."&amp;CHAR(10),"")&amp;IF(R233&gt;0,"Código repetido dentro del capítulo; mantenemos sus ID separados."&amp;CHAR(10),"")&amp;IF(S233&gt;0,"Código repetido en otro capítulo; no unimos las partidas."&amp;CHAR(10),"")&amp;IF(T233&gt;0,"Mismo código con unidades distintas; pedimos aclaración."&amp;CHAR(10),"")&amp;IF(Q233&gt;0,"Hay más precisión que los decimales indicados; cotejamos el formato original."&amp;CHAR(10),"")&amp;IF(U233&gt;0,"Unidad sin normalizar; cotejamos su significado antes de sumar unidades."&amp;CHAR(10),"")&amp;IF(V233&gt;0,"Revisamos dimensiones, cantidades directas, ceros o deducciones en PEGAR."&amp;CHAR(10),"")))</f>
      </c>
      <c r="K233" s="0">
        <f>IF(221&gt;'RESUMEN'!$E$6,"",MATCH(221,'PEGAR'!$W$13:$W$512,0))</f>
      </c>
      <c r="L233" s="0">
        <f>IF(K233="","",INDEX('PEGAR'!$R$13:$R$512,K233))</f>
      </c>
      <c r="M233" s="0">
        <f>IF(B233="","",COUNTIFS('PEGAR'!$O$13:$O$512,B233,'PEGAR'!$P$13:$P$512,"DIMENSIONES")+COUNTIFS('PEGAR'!$O$13:$O$512,B233,'PEGAR'!$P$13:$P$512,"DIRECTA"))</f>
      </c>
      <c r="N233" s="0">
        <f>IF(B233="","",COUNTIFS('PEGAR'!$O$13:$O$512,B233,'PEGAR'!$X$13:$X$512,2))</f>
      </c>
      <c r="O233" s="0">
        <f>IF(B233="","",COUNTIFS('PEGAR'!$O$13:$O$512,B233,'PEGAR'!$P$13:$P$512,"SIN LÍNEAS"))</f>
      </c>
      <c r="P233" s="0">
        <f>IF(B233="","",SUMIFS('PEGAR'!$Y$13:$Y$512,'PEGAR'!$O$13:$O$512,B233))</f>
      </c>
      <c r="Q233" s="0">
        <f>IF(B233="","",SUMIFS('PEGAR'!$Z$13:$Z$512,'PEGAR'!$O$13:$O$512,B233))</f>
      </c>
      <c r="R233" s="0" t="n">
        <f>IF(OR(B233="",D233=""),0,SUMPRODUCT(--($B$13:$B$512&lt;&gt;""),--($D$13:$D$512=D233),--($C$13:$C$512=C233))-1)</f>
        <v>0</v>
      </c>
      <c r="S233" s="0" t="n">
        <f>IF(OR(B233="",D233=""),0,SUMPRODUCT(--($B$13:$B$512&lt;&gt;""),--($D$13:$D$512=D233),--($C$13:$C$512&lt;&gt;C233)))</f>
        <v>0</v>
      </c>
      <c r="T233" s="0" t="n">
        <f>IF(OR(B233="",D233=""),0,SUMPRODUCT(--($B$13:$B$512&lt;&gt;""),--($D$13:$D$512=D233),--($E$13:$E$512&lt;&gt;E233)))</f>
        <v>0</v>
      </c>
      <c r="U233" s="0" t="n">
        <f>IF(B233="",0,IF(SUMPRODUCT(--('LÉEME'!$C$65:$C$86=E233))=0,1,0))</f>
        <v>0</v>
      </c>
      <c r="V233" s="0">
        <f>IF(B233="","",SUMIFS('PEGAR'!$AA$13:$AA$512,'PEGAR'!$O$13:$O$512,B233))</f>
      </c>
      <c r="W233" s="0">
        <f>IF(B233="","",IF(OR(L233=0,N233&gt;0,T233&gt;0,IF(ISNUMBER(H233),ROUND(ABS(H233),8)&gt;$F$6,FALSE)),2,IF(OR(M233=0,O233&gt;0,P233&gt;0,Q233&gt;0,R233&gt;0,S233&gt;0,U233&gt;0,V233&gt;0),1,0)))</f>
      </c>
      <c r="X233" s="0">
        <f>IF(B233="","",IF(ISNUMBER(G233),1,0))</f>
      </c>
      <c r="AB233" s="0">
        <f>IF(AND(ISNUMBER(W233),W233&gt;0),"ID "&amp;B233,"")</f>
      </c>
      <c r="AC233" s="0">
        <f>IF(AND(ISNUMBER(W233),W233&gt;0),C233,"")</f>
      </c>
      <c r="AD233" s="0">
        <f>IF(AND(ISNUMBER(W233),W233&gt;0),D233,"")</f>
      </c>
      <c r="AE233" s="0">
        <f>IF(AND(ISNUMBER(W233),W233&gt;0),IF(INDEX('PEGAR'!$D$13:$D$512,IF(L233&gt;0,L233,K233))="","Sin descripción",INDEX('PEGAR'!$D$13:$D$512,IF(L233&gt;0,L233,K233))),"")</f>
      </c>
      <c r="AF233" s="0">
        <f>IF(AND(ISNUMBER(W233),W233&gt;0),J233,"")</f>
      </c>
      <c r="AG233" s="0" t="n">
        <f>IF(AND(ISNUMBER(W233),W233&gt;0),W233,0)</f>
        <v>0</v>
      </c>
      <c r="AH233" s="0">
        <f>IF(AG233&gt;0,COUNTIFS($AG$13:AG233,"&gt;0"),"")</f>
      </c>
    </row>
    <row r="234" ht="22" customHeight="1">
      <c r="B234" s="27">
        <f>IF(K234="","",INDEX('PEGAR'!$O$13:$O$512,K234))</f>
      </c>
      <c r="C234" s="30">
        <f>IF(B234="","",IF(LEN(TRIM(INDEX('PEGAR'!$B$13:$B$512,IF(L234&gt;0,L234,K234))&amp;""))=0,"Sin capítulo",TRIM(INDEX('PEGAR'!$B$13:$B$512,IF(L234&gt;0,L234,K234))&amp;"")))</f>
      </c>
      <c r="D234" s="27">
        <f>IF(B234="","",IF(LEN(TRIM(INDEX('PEGAR'!$C$13:$C$512,IF(L234&gt;0,L234,K234))&amp;""))=0,"",TRIM(INDEX('PEGAR'!$C$13:$C$512,IF(L234&gt;0,L234,K234))&amp;"")))</f>
      </c>
      <c r="E234" s="27">
        <f>IF(B234="","",INDEX('PEGAR'!$S$13:$S$512,IF(L234&gt;0,L234,K234)))</f>
      </c>
      <c r="F234" s="39">
        <f>IF(B234="","",IF(L234&gt;0,INDEX('PEGAR'!$F$13:$F$512,L234),""))</f>
      </c>
      <c r="G234" s="39">
        <f>IF(B234="","",IF(OR(M234=0,N234&gt;0,O234&gt;0),"",SUMIFS('PEGAR'!$M$13:$M$512,'PEGAR'!$O$13:$O$512,B234)))</f>
      </c>
      <c r="H234" s="39">
        <f>IF(AND(ISNUMBER(F234),ISNUMBER(G234)),G234-F234,"")</f>
      </c>
      <c r="I234" s="27">
        <f>IF(B234="","",IF(W234=2,"ROJO",IF(W234=1,"ÁMBAR","VERDE")))</f>
      </c>
      <c r="J234" s="30">
        <f>IF(B234="","",IF(W234=0,"Sin avisos numéricos. Revisamos el alcance aparte.",IF(L234=0,"Faltan datos completos de partida; no elegimos un total por suposición."&amp;CHAR(10),"")&amp;IF(N234&gt;0,"Hay filas incompletas o contradictorias; las revisamos en PEGAR."&amp;CHAR(10),"")&amp;IF(O234&gt;0,"Faltan las medidas de alguna fila; no cerramos la suma."&amp;CHAR(10),"")&amp;IF(M234=0,"No constan líneas de medición."&amp;CHAR(10),"")&amp;IF(IF(ISNUMBER(H234),ROUND(ABS(H234),8)&gt;$F$6,FALSE),"Las líneas difieren del total en más de 0,01; confirmamos cantidad o exclusión."&amp;CHAR(10),"")&amp;IF(P234&gt;0,"Parece m³: encontramos tres dimensiones bajo m²."&amp;CHAR(10),"")&amp;IF(R234&gt;0,"Código repetido dentro del capítulo; mantenemos sus ID separados."&amp;CHAR(10),"")&amp;IF(S234&gt;0,"Código repetido en otro capítulo; no unimos las partidas."&amp;CHAR(10),"")&amp;IF(T234&gt;0,"Mismo código con unidades distintas; pedimos aclaración."&amp;CHAR(10),"")&amp;IF(Q234&gt;0,"Hay más precisión que los decimales indicados; cotejamos el formato original."&amp;CHAR(10),"")&amp;IF(U234&gt;0,"Unidad sin normalizar; cotejamos su significado antes de sumar unidades."&amp;CHAR(10),"")&amp;IF(V234&gt;0,"Revisamos dimensiones, cantidades directas, ceros o deducciones en PEGAR."&amp;CHAR(10),"")))</f>
      </c>
      <c r="K234" s="0">
        <f>IF(222&gt;'RESUMEN'!$E$6,"",MATCH(222,'PEGAR'!$W$13:$W$512,0))</f>
      </c>
      <c r="L234" s="0">
        <f>IF(K234="","",INDEX('PEGAR'!$R$13:$R$512,K234))</f>
      </c>
      <c r="M234" s="0">
        <f>IF(B234="","",COUNTIFS('PEGAR'!$O$13:$O$512,B234,'PEGAR'!$P$13:$P$512,"DIMENSIONES")+COUNTIFS('PEGAR'!$O$13:$O$512,B234,'PEGAR'!$P$13:$P$512,"DIRECTA"))</f>
      </c>
      <c r="N234" s="0">
        <f>IF(B234="","",COUNTIFS('PEGAR'!$O$13:$O$512,B234,'PEGAR'!$X$13:$X$512,2))</f>
      </c>
      <c r="O234" s="0">
        <f>IF(B234="","",COUNTIFS('PEGAR'!$O$13:$O$512,B234,'PEGAR'!$P$13:$P$512,"SIN LÍNEAS"))</f>
      </c>
      <c r="P234" s="0">
        <f>IF(B234="","",SUMIFS('PEGAR'!$Y$13:$Y$512,'PEGAR'!$O$13:$O$512,B234))</f>
      </c>
      <c r="Q234" s="0">
        <f>IF(B234="","",SUMIFS('PEGAR'!$Z$13:$Z$512,'PEGAR'!$O$13:$O$512,B234))</f>
      </c>
      <c r="R234" s="0" t="n">
        <f>IF(OR(B234="",D234=""),0,SUMPRODUCT(--($B$13:$B$512&lt;&gt;""),--($D$13:$D$512=D234),--($C$13:$C$512=C234))-1)</f>
        <v>0</v>
      </c>
      <c r="S234" s="0" t="n">
        <f>IF(OR(B234="",D234=""),0,SUMPRODUCT(--($B$13:$B$512&lt;&gt;""),--($D$13:$D$512=D234),--($C$13:$C$512&lt;&gt;C234)))</f>
        <v>0</v>
      </c>
      <c r="T234" s="0" t="n">
        <f>IF(OR(B234="",D234=""),0,SUMPRODUCT(--($B$13:$B$512&lt;&gt;""),--($D$13:$D$512=D234),--($E$13:$E$512&lt;&gt;E234)))</f>
        <v>0</v>
      </c>
      <c r="U234" s="0" t="n">
        <f>IF(B234="",0,IF(SUMPRODUCT(--('LÉEME'!$C$65:$C$86=E234))=0,1,0))</f>
        <v>0</v>
      </c>
      <c r="V234" s="0">
        <f>IF(B234="","",SUMIFS('PEGAR'!$AA$13:$AA$512,'PEGAR'!$O$13:$O$512,B234))</f>
      </c>
      <c r="W234" s="0">
        <f>IF(B234="","",IF(OR(L234=0,N234&gt;0,T234&gt;0,IF(ISNUMBER(H234),ROUND(ABS(H234),8)&gt;$F$6,FALSE)),2,IF(OR(M234=0,O234&gt;0,P234&gt;0,Q234&gt;0,R234&gt;0,S234&gt;0,U234&gt;0,V234&gt;0),1,0)))</f>
      </c>
      <c r="X234" s="0">
        <f>IF(B234="","",IF(ISNUMBER(G234),1,0))</f>
      </c>
      <c r="AB234" s="0">
        <f>IF(AND(ISNUMBER(W234),W234&gt;0),"ID "&amp;B234,"")</f>
      </c>
      <c r="AC234" s="0">
        <f>IF(AND(ISNUMBER(W234),W234&gt;0),C234,"")</f>
      </c>
      <c r="AD234" s="0">
        <f>IF(AND(ISNUMBER(W234),W234&gt;0),D234,"")</f>
      </c>
      <c r="AE234" s="0">
        <f>IF(AND(ISNUMBER(W234),W234&gt;0),IF(INDEX('PEGAR'!$D$13:$D$512,IF(L234&gt;0,L234,K234))="","Sin descripción",INDEX('PEGAR'!$D$13:$D$512,IF(L234&gt;0,L234,K234))),"")</f>
      </c>
      <c r="AF234" s="0">
        <f>IF(AND(ISNUMBER(W234),W234&gt;0),J234,"")</f>
      </c>
      <c r="AG234" s="0" t="n">
        <f>IF(AND(ISNUMBER(W234),W234&gt;0),W234,0)</f>
        <v>0</v>
      </c>
      <c r="AH234" s="0">
        <f>IF(AG234&gt;0,COUNTIFS($AG$13:AG234,"&gt;0"),"")</f>
      </c>
    </row>
    <row r="235" ht="22" customHeight="1">
      <c r="B235" s="27">
        <f>IF(K235="","",INDEX('PEGAR'!$O$13:$O$512,K235))</f>
      </c>
      <c r="C235" s="30">
        <f>IF(B235="","",IF(LEN(TRIM(INDEX('PEGAR'!$B$13:$B$512,IF(L235&gt;0,L235,K235))&amp;""))=0,"Sin capítulo",TRIM(INDEX('PEGAR'!$B$13:$B$512,IF(L235&gt;0,L235,K235))&amp;"")))</f>
      </c>
      <c r="D235" s="27">
        <f>IF(B235="","",IF(LEN(TRIM(INDEX('PEGAR'!$C$13:$C$512,IF(L235&gt;0,L235,K235))&amp;""))=0,"",TRIM(INDEX('PEGAR'!$C$13:$C$512,IF(L235&gt;0,L235,K235))&amp;"")))</f>
      </c>
      <c r="E235" s="27">
        <f>IF(B235="","",INDEX('PEGAR'!$S$13:$S$512,IF(L235&gt;0,L235,K235)))</f>
      </c>
      <c r="F235" s="39">
        <f>IF(B235="","",IF(L235&gt;0,INDEX('PEGAR'!$F$13:$F$512,L235),""))</f>
      </c>
      <c r="G235" s="39">
        <f>IF(B235="","",IF(OR(M235=0,N235&gt;0,O235&gt;0),"",SUMIFS('PEGAR'!$M$13:$M$512,'PEGAR'!$O$13:$O$512,B235)))</f>
      </c>
      <c r="H235" s="39">
        <f>IF(AND(ISNUMBER(F235),ISNUMBER(G235)),G235-F235,"")</f>
      </c>
      <c r="I235" s="27">
        <f>IF(B235="","",IF(W235=2,"ROJO",IF(W235=1,"ÁMBAR","VERDE")))</f>
      </c>
      <c r="J235" s="30">
        <f>IF(B235="","",IF(W235=0,"Sin avisos numéricos. Revisamos el alcance aparte.",IF(L235=0,"Faltan datos completos de partida; no elegimos un total por suposición."&amp;CHAR(10),"")&amp;IF(N235&gt;0,"Hay filas incompletas o contradictorias; las revisamos en PEGAR."&amp;CHAR(10),"")&amp;IF(O235&gt;0,"Faltan las medidas de alguna fila; no cerramos la suma."&amp;CHAR(10),"")&amp;IF(M235=0,"No constan líneas de medición."&amp;CHAR(10),"")&amp;IF(IF(ISNUMBER(H235),ROUND(ABS(H235),8)&gt;$F$6,FALSE),"Las líneas difieren del total en más de 0,01; confirmamos cantidad o exclusión."&amp;CHAR(10),"")&amp;IF(P235&gt;0,"Parece m³: encontramos tres dimensiones bajo m²."&amp;CHAR(10),"")&amp;IF(R235&gt;0,"Código repetido dentro del capítulo; mantenemos sus ID separados."&amp;CHAR(10),"")&amp;IF(S235&gt;0,"Código repetido en otro capítulo; no unimos las partidas."&amp;CHAR(10),"")&amp;IF(T235&gt;0,"Mismo código con unidades distintas; pedimos aclaración."&amp;CHAR(10),"")&amp;IF(Q235&gt;0,"Hay más precisión que los decimales indicados; cotejamos el formato original."&amp;CHAR(10),"")&amp;IF(U235&gt;0,"Unidad sin normalizar; cotejamos su significado antes de sumar unidades."&amp;CHAR(10),"")&amp;IF(V235&gt;0,"Revisamos dimensiones, cantidades directas, ceros o deducciones en PEGAR."&amp;CHAR(10),"")))</f>
      </c>
      <c r="K235" s="0">
        <f>IF(223&gt;'RESUMEN'!$E$6,"",MATCH(223,'PEGAR'!$W$13:$W$512,0))</f>
      </c>
      <c r="L235" s="0">
        <f>IF(K235="","",INDEX('PEGAR'!$R$13:$R$512,K235))</f>
      </c>
      <c r="M235" s="0">
        <f>IF(B235="","",COUNTIFS('PEGAR'!$O$13:$O$512,B235,'PEGAR'!$P$13:$P$512,"DIMENSIONES")+COUNTIFS('PEGAR'!$O$13:$O$512,B235,'PEGAR'!$P$13:$P$512,"DIRECTA"))</f>
      </c>
      <c r="N235" s="0">
        <f>IF(B235="","",COUNTIFS('PEGAR'!$O$13:$O$512,B235,'PEGAR'!$X$13:$X$512,2))</f>
      </c>
      <c r="O235" s="0">
        <f>IF(B235="","",COUNTIFS('PEGAR'!$O$13:$O$512,B235,'PEGAR'!$P$13:$P$512,"SIN LÍNEAS"))</f>
      </c>
      <c r="P235" s="0">
        <f>IF(B235="","",SUMIFS('PEGAR'!$Y$13:$Y$512,'PEGAR'!$O$13:$O$512,B235))</f>
      </c>
      <c r="Q235" s="0">
        <f>IF(B235="","",SUMIFS('PEGAR'!$Z$13:$Z$512,'PEGAR'!$O$13:$O$512,B235))</f>
      </c>
      <c r="R235" s="0" t="n">
        <f>IF(OR(B235="",D235=""),0,SUMPRODUCT(--($B$13:$B$512&lt;&gt;""),--($D$13:$D$512=D235),--($C$13:$C$512=C235))-1)</f>
        <v>0</v>
      </c>
      <c r="S235" s="0" t="n">
        <f>IF(OR(B235="",D235=""),0,SUMPRODUCT(--($B$13:$B$512&lt;&gt;""),--($D$13:$D$512=D235),--($C$13:$C$512&lt;&gt;C235)))</f>
        <v>0</v>
      </c>
      <c r="T235" s="0" t="n">
        <f>IF(OR(B235="",D235=""),0,SUMPRODUCT(--($B$13:$B$512&lt;&gt;""),--($D$13:$D$512=D235),--($E$13:$E$512&lt;&gt;E235)))</f>
        <v>0</v>
      </c>
      <c r="U235" s="0" t="n">
        <f>IF(B235="",0,IF(SUMPRODUCT(--('LÉEME'!$C$65:$C$86=E235))=0,1,0))</f>
        <v>0</v>
      </c>
      <c r="V235" s="0">
        <f>IF(B235="","",SUMIFS('PEGAR'!$AA$13:$AA$512,'PEGAR'!$O$13:$O$512,B235))</f>
      </c>
      <c r="W235" s="0">
        <f>IF(B235="","",IF(OR(L235=0,N235&gt;0,T235&gt;0,IF(ISNUMBER(H235),ROUND(ABS(H235),8)&gt;$F$6,FALSE)),2,IF(OR(M235=0,O235&gt;0,P235&gt;0,Q235&gt;0,R235&gt;0,S235&gt;0,U235&gt;0,V235&gt;0),1,0)))</f>
      </c>
      <c r="X235" s="0">
        <f>IF(B235="","",IF(ISNUMBER(G235),1,0))</f>
      </c>
      <c r="AB235" s="0">
        <f>IF(AND(ISNUMBER(W235),W235&gt;0),"ID "&amp;B235,"")</f>
      </c>
      <c r="AC235" s="0">
        <f>IF(AND(ISNUMBER(W235),W235&gt;0),C235,"")</f>
      </c>
      <c r="AD235" s="0">
        <f>IF(AND(ISNUMBER(W235),W235&gt;0),D235,"")</f>
      </c>
      <c r="AE235" s="0">
        <f>IF(AND(ISNUMBER(W235),W235&gt;0),IF(INDEX('PEGAR'!$D$13:$D$512,IF(L235&gt;0,L235,K235))="","Sin descripción",INDEX('PEGAR'!$D$13:$D$512,IF(L235&gt;0,L235,K235))),"")</f>
      </c>
      <c r="AF235" s="0">
        <f>IF(AND(ISNUMBER(W235),W235&gt;0),J235,"")</f>
      </c>
      <c r="AG235" s="0" t="n">
        <f>IF(AND(ISNUMBER(W235),W235&gt;0),W235,0)</f>
        <v>0</v>
      </c>
      <c r="AH235" s="0">
        <f>IF(AG235&gt;0,COUNTIFS($AG$13:AG235,"&gt;0"),"")</f>
      </c>
    </row>
    <row r="236" ht="22" customHeight="1">
      <c r="B236" s="27">
        <f>IF(K236="","",INDEX('PEGAR'!$O$13:$O$512,K236))</f>
      </c>
      <c r="C236" s="30">
        <f>IF(B236="","",IF(LEN(TRIM(INDEX('PEGAR'!$B$13:$B$512,IF(L236&gt;0,L236,K236))&amp;""))=0,"Sin capítulo",TRIM(INDEX('PEGAR'!$B$13:$B$512,IF(L236&gt;0,L236,K236))&amp;"")))</f>
      </c>
      <c r="D236" s="27">
        <f>IF(B236="","",IF(LEN(TRIM(INDEX('PEGAR'!$C$13:$C$512,IF(L236&gt;0,L236,K236))&amp;""))=0,"",TRIM(INDEX('PEGAR'!$C$13:$C$512,IF(L236&gt;0,L236,K236))&amp;"")))</f>
      </c>
      <c r="E236" s="27">
        <f>IF(B236="","",INDEX('PEGAR'!$S$13:$S$512,IF(L236&gt;0,L236,K236)))</f>
      </c>
      <c r="F236" s="39">
        <f>IF(B236="","",IF(L236&gt;0,INDEX('PEGAR'!$F$13:$F$512,L236),""))</f>
      </c>
      <c r="G236" s="39">
        <f>IF(B236="","",IF(OR(M236=0,N236&gt;0,O236&gt;0),"",SUMIFS('PEGAR'!$M$13:$M$512,'PEGAR'!$O$13:$O$512,B236)))</f>
      </c>
      <c r="H236" s="39">
        <f>IF(AND(ISNUMBER(F236),ISNUMBER(G236)),G236-F236,"")</f>
      </c>
      <c r="I236" s="27">
        <f>IF(B236="","",IF(W236=2,"ROJO",IF(W236=1,"ÁMBAR","VERDE")))</f>
      </c>
      <c r="J236" s="30">
        <f>IF(B236="","",IF(W236=0,"Sin avisos numéricos. Revisamos el alcance aparte.",IF(L236=0,"Faltan datos completos de partida; no elegimos un total por suposición."&amp;CHAR(10),"")&amp;IF(N236&gt;0,"Hay filas incompletas o contradictorias; las revisamos en PEGAR."&amp;CHAR(10),"")&amp;IF(O236&gt;0,"Faltan las medidas de alguna fila; no cerramos la suma."&amp;CHAR(10),"")&amp;IF(M236=0,"No constan líneas de medición."&amp;CHAR(10),"")&amp;IF(IF(ISNUMBER(H236),ROUND(ABS(H236),8)&gt;$F$6,FALSE),"Las líneas difieren del total en más de 0,01; confirmamos cantidad o exclusión."&amp;CHAR(10),"")&amp;IF(P236&gt;0,"Parece m³: encontramos tres dimensiones bajo m²."&amp;CHAR(10),"")&amp;IF(R236&gt;0,"Código repetido dentro del capítulo; mantenemos sus ID separados."&amp;CHAR(10),"")&amp;IF(S236&gt;0,"Código repetido en otro capítulo; no unimos las partidas."&amp;CHAR(10),"")&amp;IF(T236&gt;0,"Mismo código con unidades distintas; pedimos aclaración."&amp;CHAR(10),"")&amp;IF(Q236&gt;0,"Hay más precisión que los decimales indicados; cotejamos el formato original."&amp;CHAR(10),"")&amp;IF(U236&gt;0,"Unidad sin normalizar; cotejamos su significado antes de sumar unidades."&amp;CHAR(10),"")&amp;IF(V236&gt;0,"Revisamos dimensiones, cantidades directas, ceros o deducciones en PEGAR."&amp;CHAR(10),"")))</f>
      </c>
      <c r="K236" s="0">
        <f>IF(224&gt;'RESUMEN'!$E$6,"",MATCH(224,'PEGAR'!$W$13:$W$512,0))</f>
      </c>
      <c r="L236" s="0">
        <f>IF(K236="","",INDEX('PEGAR'!$R$13:$R$512,K236))</f>
      </c>
      <c r="M236" s="0">
        <f>IF(B236="","",COUNTIFS('PEGAR'!$O$13:$O$512,B236,'PEGAR'!$P$13:$P$512,"DIMENSIONES")+COUNTIFS('PEGAR'!$O$13:$O$512,B236,'PEGAR'!$P$13:$P$512,"DIRECTA"))</f>
      </c>
      <c r="N236" s="0">
        <f>IF(B236="","",COUNTIFS('PEGAR'!$O$13:$O$512,B236,'PEGAR'!$X$13:$X$512,2))</f>
      </c>
      <c r="O236" s="0">
        <f>IF(B236="","",COUNTIFS('PEGAR'!$O$13:$O$512,B236,'PEGAR'!$P$13:$P$512,"SIN LÍNEAS"))</f>
      </c>
      <c r="P236" s="0">
        <f>IF(B236="","",SUMIFS('PEGAR'!$Y$13:$Y$512,'PEGAR'!$O$13:$O$512,B236))</f>
      </c>
      <c r="Q236" s="0">
        <f>IF(B236="","",SUMIFS('PEGAR'!$Z$13:$Z$512,'PEGAR'!$O$13:$O$512,B236))</f>
      </c>
      <c r="R236" s="0" t="n">
        <f>IF(OR(B236="",D236=""),0,SUMPRODUCT(--($B$13:$B$512&lt;&gt;""),--($D$13:$D$512=D236),--($C$13:$C$512=C236))-1)</f>
        <v>0</v>
      </c>
      <c r="S236" s="0" t="n">
        <f>IF(OR(B236="",D236=""),0,SUMPRODUCT(--($B$13:$B$512&lt;&gt;""),--($D$13:$D$512=D236),--($C$13:$C$512&lt;&gt;C236)))</f>
        <v>0</v>
      </c>
      <c r="T236" s="0" t="n">
        <f>IF(OR(B236="",D236=""),0,SUMPRODUCT(--($B$13:$B$512&lt;&gt;""),--($D$13:$D$512=D236),--($E$13:$E$512&lt;&gt;E236)))</f>
        <v>0</v>
      </c>
      <c r="U236" s="0" t="n">
        <f>IF(B236="",0,IF(SUMPRODUCT(--('LÉEME'!$C$65:$C$86=E236))=0,1,0))</f>
        <v>0</v>
      </c>
      <c r="V236" s="0">
        <f>IF(B236="","",SUMIFS('PEGAR'!$AA$13:$AA$512,'PEGAR'!$O$13:$O$512,B236))</f>
      </c>
      <c r="W236" s="0">
        <f>IF(B236="","",IF(OR(L236=0,N236&gt;0,T236&gt;0,IF(ISNUMBER(H236),ROUND(ABS(H236),8)&gt;$F$6,FALSE)),2,IF(OR(M236=0,O236&gt;0,P236&gt;0,Q236&gt;0,R236&gt;0,S236&gt;0,U236&gt;0,V236&gt;0),1,0)))</f>
      </c>
      <c r="X236" s="0">
        <f>IF(B236="","",IF(ISNUMBER(G236),1,0))</f>
      </c>
      <c r="AB236" s="0">
        <f>IF(AND(ISNUMBER(W236),W236&gt;0),"ID "&amp;B236,"")</f>
      </c>
      <c r="AC236" s="0">
        <f>IF(AND(ISNUMBER(W236),W236&gt;0),C236,"")</f>
      </c>
      <c r="AD236" s="0">
        <f>IF(AND(ISNUMBER(W236),W236&gt;0),D236,"")</f>
      </c>
      <c r="AE236" s="0">
        <f>IF(AND(ISNUMBER(W236),W236&gt;0),IF(INDEX('PEGAR'!$D$13:$D$512,IF(L236&gt;0,L236,K236))="","Sin descripción",INDEX('PEGAR'!$D$13:$D$512,IF(L236&gt;0,L236,K236))),"")</f>
      </c>
      <c r="AF236" s="0">
        <f>IF(AND(ISNUMBER(W236),W236&gt;0),J236,"")</f>
      </c>
      <c r="AG236" s="0" t="n">
        <f>IF(AND(ISNUMBER(W236),W236&gt;0),W236,0)</f>
        <v>0</v>
      </c>
      <c r="AH236" s="0">
        <f>IF(AG236&gt;0,COUNTIFS($AG$13:AG236,"&gt;0"),"")</f>
      </c>
    </row>
    <row r="237" ht="22" customHeight="1">
      <c r="B237" s="27">
        <f>IF(K237="","",INDEX('PEGAR'!$O$13:$O$512,K237))</f>
      </c>
      <c r="C237" s="30">
        <f>IF(B237="","",IF(LEN(TRIM(INDEX('PEGAR'!$B$13:$B$512,IF(L237&gt;0,L237,K237))&amp;""))=0,"Sin capítulo",TRIM(INDEX('PEGAR'!$B$13:$B$512,IF(L237&gt;0,L237,K237))&amp;"")))</f>
      </c>
      <c r="D237" s="27">
        <f>IF(B237="","",IF(LEN(TRIM(INDEX('PEGAR'!$C$13:$C$512,IF(L237&gt;0,L237,K237))&amp;""))=0,"",TRIM(INDEX('PEGAR'!$C$13:$C$512,IF(L237&gt;0,L237,K237))&amp;"")))</f>
      </c>
      <c r="E237" s="27">
        <f>IF(B237="","",INDEX('PEGAR'!$S$13:$S$512,IF(L237&gt;0,L237,K237)))</f>
      </c>
      <c r="F237" s="39">
        <f>IF(B237="","",IF(L237&gt;0,INDEX('PEGAR'!$F$13:$F$512,L237),""))</f>
      </c>
      <c r="G237" s="39">
        <f>IF(B237="","",IF(OR(M237=0,N237&gt;0,O237&gt;0),"",SUMIFS('PEGAR'!$M$13:$M$512,'PEGAR'!$O$13:$O$512,B237)))</f>
      </c>
      <c r="H237" s="39">
        <f>IF(AND(ISNUMBER(F237),ISNUMBER(G237)),G237-F237,"")</f>
      </c>
      <c r="I237" s="27">
        <f>IF(B237="","",IF(W237=2,"ROJO",IF(W237=1,"ÁMBAR","VERDE")))</f>
      </c>
      <c r="J237" s="30">
        <f>IF(B237="","",IF(W237=0,"Sin avisos numéricos. Revisamos el alcance aparte.",IF(L237=0,"Faltan datos completos de partida; no elegimos un total por suposición."&amp;CHAR(10),"")&amp;IF(N237&gt;0,"Hay filas incompletas o contradictorias; las revisamos en PEGAR."&amp;CHAR(10),"")&amp;IF(O237&gt;0,"Faltan las medidas de alguna fila; no cerramos la suma."&amp;CHAR(10),"")&amp;IF(M237=0,"No constan líneas de medición."&amp;CHAR(10),"")&amp;IF(IF(ISNUMBER(H237),ROUND(ABS(H237),8)&gt;$F$6,FALSE),"Las líneas difieren del total en más de 0,01; confirmamos cantidad o exclusión."&amp;CHAR(10),"")&amp;IF(P237&gt;0,"Parece m³: encontramos tres dimensiones bajo m²."&amp;CHAR(10),"")&amp;IF(R237&gt;0,"Código repetido dentro del capítulo; mantenemos sus ID separados."&amp;CHAR(10),"")&amp;IF(S237&gt;0,"Código repetido en otro capítulo; no unimos las partidas."&amp;CHAR(10),"")&amp;IF(T237&gt;0,"Mismo código con unidades distintas; pedimos aclaración."&amp;CHAR(10),"")&amp;IF(Q237&gt;0,"Hay más precisión que los decimales indicados; cotejamos el formato original."&amp;CHAR(10),"")&amp;IF(U237&gt;0,"Unidad sin normalizar; cotejamos su significado antes de sumar unidades."&amp;CHAR(10),"")&amp;IF(V237&gt;0,"Revisamos dimensiones, cantidades directas, ceros o deducciones en PEGAR."&amp;CHAR(10),"")))</f>
      </c>
      <c r="K237" s="0">
        <f>IF(225&gt;'RESUMEN'!$E$6,"",MATCH(225,'PEGAR'!$W$13:$W$512,0))</f>
      </c>
      <c r="L237" s="0">
        <f>IF(K237="","",INDEX('PEGAR'!$R$13:$R$512,K237))</f>
      </c>
      <c r="M237" s="0">
        <f>IF(B237="","",COUNTIFS('PEGAR'!$O$13:$O$512,B237,'PEGAR'!$P$13:$P$512,"DIMENSIONES")+COUNTIFS('PEGAR'!$O$13:$O$512,B237,'PEGAR'!$P$13:$P$512,"DIRECTA"))</f>
      </c>
      <c r="N237" s="0">
        <f>IF(B237="","",COUNTIFS('PEGAR'!$O$13:$O$512,B237,'PEGAR'!$X$13:$X$512,2))</f>
      </c>
      <c r="O237" s="0">
        <f>IF(B237="","",COUNTIFS('PEGAR'!$O$13:$O$512,B237,'PEGAR'!$P$13:$P$512,"SIN LÍNEAS"))</f>
      </c>
      <c r="P237" s="0">
        <f>IF(B237="","",SUMIFS('PEGAR'!$Y$13:$Y$512,'PEGAR'!$O$13:$O$512,B237))</f>
      </c>
      <c r="Q237" s="0">
        <f>IF(B237="","",SUMIFS('PEGAR'!$Z$13:$Z$512,'PEGAR'!$O$13:$O$512,B237))</f>
      </c>
      <c r="R237" s="0" t="n">
        <f>IF(OR(B237="",D237=""),0,SUMPRODUCT(--($B$13:$B$512&lt;&gt;""),--($D$13:$D$512=D237),--($C$13:$C$512=C237))-1)</f>
        <v>0</v>
      </c>
      <c r="S237" s="0" t="n">
        <f>IF(OR(B237="",D237=""),0,SUMPRODUCT(--($B$13:$B$512&lt;&gt;""),--($D$13:$D$512=D237),--($C$13:$C$512&lt;&gt;C237)))</f>
        <v>0</v>
      </c>
      <c r="T237" s="0" t="n">
        <f>IF(OR(B237="",D237=""),0,SUMPRODUCT(--($B$13:$B$512&lt;&gt;""),--($D$13:$D$512=D237),--($E$13:$E$512&lt;&gt;E237)))</f>
        <v>0</v>
      </c>
      <c r="U237" s="0" t="n">
        <f>IF(B237="",0,IF(SUMPRODUCT(--('LÉEME'!$C$65:$C$86=E237))=0,1,0))</f>
        <v>0</v>
      </c>
      <c r="V237" s="0">
        <f>IF(B237="","",SUMIFS('PEGAR'!$AA$13:$AA$512,'PEGAR'!$O$13:$O$512,B237))</f>
      </c>
      <c r="W237" s="0">
        <f>IF(B237="","",IF(OR(L237=0,N237&gt;0,T237&gt;0,IF(ISNUMBER(H237),ROUND(ABS(H237),8)&gt;$F$6,FALSE)),2,IF(OR(M237=0,O237&gt;0,P237&gt;0,Q237&gt;0,R237&gt;0,S237&gt;0,U237&gt;0,V237&gt;0),1,0)))</f>
      </c>
      <c r="X237" s="0">
        <f>IF(B237="","",IF(ISNUMBER(G237),1,0))</f>
      </c>
      <c r="AB237" s="0">
        <f>IF(AND(ISNUMBER(W237),W237&gt;0),"ID "&amp;B237,"")</f>
      </c>
      <c r="AC237" s="0">
        <f>IF(AND(ISNUMBER(W237),W237&gt;0),C237,"")</f>
      </c>
      <c r="AD237" s="0">
        <f>IF(AND(ISNUMBER(W237),W237&gt;0),D237,"")</f>
      </c>
      <c r="AE237" s="0">
        <f>IF(AND(ISNUMBER(W237),W237&gt;0),IF(INDEX('PEGAR'!$D$13:$D$512,IF(L237&gt;0,L237,K237))="","Sin descripción",INDEX('PEGAR'!$D$13:$D$512,IF(L237&gt;0,L237,K237))),"")</f>
      </c>
      <c r="AF237" s="0">
        <f>IF(AND(ISNUMBER(W237),W237&gt;0),J237,"")</f>
      </c>
      <c r="AG237" s="0" t="n">
        <f>IF(AND(ISNUMBER(W237),W237&gt;0),W237,0)</f>
        <v>0</v>
      </c>
      <c r="AH237" s="0">
        <f>IF(AG237&gt;0,COUNTIFS($AG$13:AG237,"&gt;0"),"")</f>
      </c>
    </row>
    <row r="238" ht="22" customHeight="1">
      <c r="B238" s="27">
        <f>IF(K238="","",INDEX('PEGAR'!$O$13:$O$512,K238))</f>
      </c>
      <c r="C238" s="30">
        <f>IF(B238="","",IF(LEN(TRIM(INDEX('PEGAR'!$B$13:$B$512,IF(L238&gt;0,L238,K238))&amp;""))=0,"Sin capítulo",TRIM(INDEX('PEGAR'!$B$13:$B$512,IF(L238&gt;0,L238,K238))&amp;"")))</f>
      </c>
      <c r="D238" s="27">
        <f>IF(B238="","",IF(LEN(TRIM(INDEX('PEGAR'!$C$13:$C$512,IF(L238&gt;0,L238,K238))&amp;""))=0,"",TRIM(INDEX('PEGAR'!$C$13:$C$512,IF(L238&gt;0,L238,K238))&amp;"")))</f>
      </c>
      <c r="E238" s="27">
        <f>IF(B238="","",INDEX('PEGAR'!$S$13:$S$512,IF(L238&gt;0,L238,K238)))</f>
      </c>
      <c r="F238" s="39">
        <f>IF(B238="","",IF(L238&gt;0,INDEX('PEGAR'!$F$13:$F$512,L238),""))</f>
      </c>
      <c r="G238" s="39">
        <f>IF(B238="","",IF(OR(M238=0,N238&gt;0,O238&gt;0),"",SUMIFS('PEGAR'!$M$13:$M$512,'PEGAR'!$O$13:$O$512,B238)))</f>
      </c>
      <c r="H238" s="39">
        <f>IF(AND(ISNUMBER(F238),ISNUMBER(G238)),G238-F238,"")</f>
      </c>
      <c r="I238" s="27">
        <f>IF(B238="","",IF(W238=2,"ROJO",IF(W238=1,"ÁMBAR","VERDE")))</f>
      </c>
      <c r="J238" s="30">
        <f>IF(B238="","",IF(W238=0,"Sin avisos numéricos. Revisamos el alcance aparte.",IF(L238=0,"Faltan datos completos de partida; no elegimos un total por suposición."&amp;CHAR(10),"")&amp;IF(N238&gt;0,"Hay filas incompletas o contradictorias; las revisamos en PEGAR."&amp;CHAR(10),"")&amp;IF(O238&gt;0,"Faltan las medidas de alguna fila; no cerramos la suma."&amp;CHAR(10),"")&amp;IF(M238=0,"No constan líneas de medición."&amp;CHAR(10),"")&amp;IF(IF(ISNUMBER(H238),ROUND(ABS(H238),8)&gt;$F$6,FALSE),"Las líneas difieren del total en más de 0,01; confirmamos cantidad o exclusión."&amp;CHAR(10),"")&amp;IF(P238&gt;0,"Parece m³: encontramos tres dimensiones bajo m²."&amp;CHAR(10),"")&amp;IF(R238&gt;0,"Código repetido dentro del capítulo; mantenemos sus ID separados."&amp;CHAR(10),"")&amp;IF(S238&gt;0,"Código repetido en otro capítulo; no unimos las partidas."&amp;CHAR(10),"")&amp;IF(T238&gt;0,"Mismo código con unidades distintas; pedimos aclaración."&amp;CHAR(10),"")&amp;IF(Q238&gt;0,"Hay más precisión que los decimales indicados; cotejamos el formato original."&amp;CHAR(10),"")&amp;IF(U238&gt;0,"Unidad sin normalizar; cotejamos su significado antes de sumar unidades."&amp;CHAR(10),"")&amp;IF(V238&gt;0,"Revisamos dimensiones, cantidades directas, ceros o deducciones en PEGAR."&amp;CHAR(10),"")))</f>
      </c>
      <c r="K238" s="0">
        <f>IF(226&gt;'RESUMEN'!$E$6,"",MATCH(226,'PEGAR'!$W$13:$W$512,0))</f>
      </c>
      <c r="L238" s="0">
        <f>IF(K238="","",INDEX('PEGAR'!$R$13:$R$512,K238))</f>
      </c>
      <c r="M238" s="0">
        <f>IF(B238="","",COUNTIFS('PEGAR'!$O$13:$O$512,B238,'PEGAR'!$P$13:$P$512,"DIMENSIONES")+COUNTIFS('PEGAR'!$O$13:$O$512,B238,'PEGAR'!$P$13:$P$512,"DIRECTA"))</f>
      </c>
      <c r="N238" s="0">
        <f>IF(B238="","",COUNTIFS('PEGAR'!$O$13:$O$512,B238,'PEGAR'!$X$13:$X$512,2))</f>
      </c>
      <c r="O238" s="0">
        <f>IF(B238="","",COUNTIFS('PEGAR'!$O$13:$O$512,B238,'PEGAR'!$P$13:$P$512,"SIN LÍNEAS"))</f>
      </c>
      <c r="P238" s="0">
        <f>IF(B238="","",SUMIFS('PEGAR'!$Y$13:$Y$512,'PEGAR'!$O$13:$O$512,B238))</f>
      </c>
      <c r="Q238" s="0">
        <f>IF(B238="","",SUMIFS('PEGAR'!$Z$13:$Z$512,'PEGAR'!$O$13:$O$512,B238))</f>
      </c>
      <c r="R238" s="0" t="n">
        <f>IF(OR(B238="",D238=""),0,SUMPRODUCT(--($B$13:$B$512&lt;&gt;""),--($D$13:$D$512=D238),--($C$13:$C$512=C238))-1)</f>
        <v>0</v>
      </c>
      <c r="S238" s="0" t="n">
        <f>IF(OR(B238="",D238=""),0,SUMPRODUCT(--($B$13:$B$512&lt;&gt;""),--($D$13:$D$512=D238),--($C$13:$C$512&lt;&gt;C238)))</f>
        <v>0</v>
      </c>
      <c r="T238" s="0" t="n">
        <f>IF(OR(B238="",D238=""),0,SUMPRODUCT(--($B$13:$B$512&lt;&gt;""),--($D$13:$D$512=D238),--($E$13:$E$512&lt;&gt;E238)))</f>
        <v>0</v>
      </c>
      <c r="U238" s="0" t="n">
        <f>IF(B238="",0,IF(SUMPRODUCT(--('LÉEME'!$C$65:$C$86=E238))=0,1,0))</f>
        <v>0</v>
      </c>
      <c r="V238" s="0">
        <f>IF(B238="","",SUMIFS('PEGAR'!$AA$13:$AA$512,'PEGAR'!$O$13:$O$512,B238))</f>
      </c>
      <c r="W238" s="0">
        <f>IF(B238="","",IF(OR(L238=0,N238&gt;0,T238&gt;0,IF(ISNUMBER(H238),ROUND(ABS(H238),8)&gt;$F$6,FALSE)),2,IF(OR(M238=0,O238&gt;0,P238&gt;0,Q238&gt;0,R238&gt;0,S238&gt;0,U238&gt;0,V238&gt;0),1,0)))</f>
      </c>
      <c r="X238" s="0">
        <f>IF(B238="","",IF(ISNUMBER(G238),1,0))</f>
      </c>
      <c r="AB238" s="0">
        <f>IF(AND(ISNUMBER(W238),W238&gt;0),"ID "&amp;B238,"")</f>
      </c>
      <c r="AC238" s="0">
        <f>IF(AND(ISNUMBER(W238),W238&gt;0),C238,"")</f>
      </c>
      <c r="AD238" s="0">
        <f>IF(AND(ISNUMBER(W238),W238&gt;0),D238,"")</f>
      </c>
      <c r="AE238" s="0">
        <f>IF(AND(ISNUMBER(W238),W238&gt;0),IF(INDEX('PEGAR'!$D$13:$D$512,IF(L238&gt;0,L238,K238))="","Sin descripción",INDEX('PEGAR'!$D$13:$D$512,IF(L238&gt;0,L238,K238))),"")</f>
      </c>
      <c r="AF238" s="0">
        <f>IF(AND(ISNUMBER(W238),W238&gt;0),J238,"")</f>
      </c>
      <c r="AG238" s="0" t="n">
        <f>IF(AND(ISNUMBER(W238),W238&gt;0),W238,0)</f>
        <v>0</v>
      </c>
      <c r="AH238" s="0">
        <f>IF(AG238&gt;0,COUNTIFS($AG$13:AG238,"&gt;0"),"")</f>
      </c>
    </row>
    <row r="239" ht="22" customHeight="1">
      <c r="B239" s="27">
        <f>IF(K239="","",INDEX('PEGAR'!$O$13:$O$512,K239))</f>
      </c>
      <c r="C239" s="30">
        <f>IF(B239="","",IF(LEN(TRIM(INDEX('PEGAR'!$B$13:$B$512,IF(L239&gt;0,L239,K239))&amp;""))=0,"Sin capítulo",TRIM(INDEX('PEGAR'!$B$13:$B$512,IF(L239&gt;0,L239,K239))&amp;"")))</f>
      </c>
      <c r="D239" s="27">
        <f>IF(B239="","",IF(LEN(TRIM(INDEX('PEGAR'!$C$13:$C$512,IF(L239&gt;0,L239,K239))&amp;""))=0,"",TRIM(INDEX('PEGAR'!$C$13:$C$512,IF(L239&gt;0,L239,K239))&amp;"")))</f>
      </c>
      <c r="E239" s="27">
        <f>IF(B239="","",INDEX('PEGAR'!$S$13:$S$512,IF(L239&gt;0,L239,K239)))</f>
      </c>
      <c r="F239" s="39">
        <f>IF(B239="","",IF(L239&gt;0,INDEX('PEGAR'!$F$13:$F$512,L239),""))</f>
      </c>
      <c r="G239" s="39">
        <f>IF(B239="","",IF(OR(M239=0,N239&gt;0,O239&gt;0),"",SUMIFS('PEGAR'!$M$13:$M$512,'PEGAR'!$O$13:$O$512,B239)))</f>
      </c>
      <c r="H239" s="39">
        <f>IF(AND(ISNUMBER(F239),ISNUMBER(G239)),G239-F239,"")</f>
      </c>
      <c r="I239" s="27">
        <f>IF(B239="","",IF(W239=2,"ROJO",IF(W239=1,"ÁMBAR","VERDE")))</f>
      </c>
      <c r="J239" s="30">
        <f>IF(B239="","",IF(W239=0,"Sin avisos numéricos. Revisamos el alcance aparte.",IF(L239=0,"Faltan datos completos de partida; no elegimos un total por suposición."&amp;CHAR(10),"")&amp;IF(N239&gt;0,"Hay filas incompletas o contradictorias; las revisamos en PEGAR."&amp;CHAR(10),"")&amp;IF(O239&gt;0,"Faltan las medidas de alguna fila; no cerramos la suma."&amp;CHAR(10),"")&amp;IF(M239=0,"No constan líneas de medición."&amp;CHAR(10),"")&amp;IF(IF(ISNUMBER(H239),ROUND(ABS(H239),8)&gt;$F$6,FALSE),"Las líneas difieren del total en más de 0,01; confirmamos cantidad o exclusión."&amp;CHAR(10),"")&amp;IF(P239&gt;0,"Parece m³: encontramos tres dimensiones bajo m²."&amp;CHAR(10),"")&amp;IF(R239&gt;0,"Código repetido dentro del capítulo; mantenemos sus ID separados."&amp;CHAR(10),"")&amp;IF(S239&gt;0,"Código repetido en otro capítulo; no unimos las partidas."&amp;CHAR(10),"")&amp;IF(T239&gt;0,"Mismo código con unidades distintas; pedimos aclaración."&amp;CHAR(10),"")&amp;IF(Q239&gt;0,"Hay más precisión que los decimales indicados; cotejamos el formato original."&amp;CHAR(10),"")&amp;IF(U239&gt;0,"Unidad sin normalizar; cotejamos su significado antes de sumar unidades."&amp;CHAR(10),"")&amp;IF(V239&gt;0,"Revisamos dimensiones, cantidades directas, ceros o deducciones en PEGAR."&amp;CHAR(10),"")))</f>
      </c>
      <c r="K239" s="0">
        <f>IF(227&gt;'RESUMEN'!$E$6,"",MATCH(227,'PEGAR'!$W$13:$W$512,0))</f>
      </c>
      <c r="L239" s="0">
        <f>IF(K239="","",INDEX('PEGAR'!$R$13:$R$512,K239))</f>
      </c>
      <c r="M239" s="0">
        <f>IF(B239="","",COUNTIFS('PEGAR'!$O$13:$O$512,B239,'PEGAR'!$P$13:$P$512,"DIMENSIONES")+COUNTIFS('PEGAR'!$O$13:$O$512,B239,'PEGAR'!$P$13:$P$512,"DIRECTA"))</f>
      </c>
      <c r="N239" s="0">
        <f>IF(B239="","",COUNTIFS('PEGAR'!$O$13:$O$512,B239,'PEGAR'!$X$13:$X$512,2))</f>
      </c>
      <c r="O239" s="0">
        <f>IF(B239="","",COUNTIFS('PEGAR'!$O$13:$O$512,B239,'PEGAR'!$P$13:$P$512,"SIN LÍNEAS"))</f>
      </c>
      <c r="P239" s="0">
        <f>IF(B239="","",SUMIFS('PEGAR'!$Y$13:$Y$512,'PEGAR'!$O$13:$O$512,B239))</f>
      </c>
      <c r="Q239" s="0">
        <f>IF(B239="","",SUMIFS('PEGAR'!$Z$13:$Z$512,'PEGAR'!$O$13:$O$512,B239))</f>
      </c>
      <c r="R239" s="0" t="n">
        <f>IF(OR(B239="",D239=""),0,SUMPRODUCT(--($B$13:$B$512&lt;&gt;""),--($D$13:$D$512=D239),--($C$13:$C$512=C239))-1)</f>
        <v>0</v>
      </c>
      <c r="S239" s="0" t="n">
        <f>IF(OR(B239="",D239=""),0,SUMPRODUCT(--($B$13:$B$512&lt;&gt;""),--($D$13:$D$512=D239),--($C$13:$C$512&lt;&gt;C239)))</f>
        <v>0</v>
      </c>
      <c r="T239" s="0" t="n">
        <f>IF(OR(B239="",D239=""),0,SUMPRODUCT(--($B$13:$B$512&lt;&gt;""),--($D$13:$D$512=D239),--($E$13:$E$512&lt;&gt;E239)))</f>
        <v>0</v>
      </c>
      <c r="U239" s="0" t="n">
        <f>IF(B239="",0,IF(SUMPRODUCT(--('LÉEME'!$C$65:$C$86=E239))=0,1,0))</f>
        <v>0</v>
      </c>
      <c r="V239" s="0">
        <f>IF(B239="","",SUMIFS('PEGAR'!$AA$13:$AA$512,'PEGAR'!$O$13:$O$512,B239))</f>
      </c>
      <c r="W239" s="0">
        <f>IF(B239="","",IF(OR(L239=0,N239&gt;0,T239&gt;0,IF(ISNUMBER(H239),ROUND(ABS(H239),8)&gt;$F$6,FALSE)),2,IF(OR(M239=0,O239&gt;0,P239&gt;0,Q239&gt;0,R239&gt;0,S239&gt;0,U239&gt;0,V239&gt;0),1,0)))</f>
      </c>
      <c r="X239" s="0">
        <f>IF(B239="","",IF(ISNUMBER(G239),1,0))</f>
      </c>
      <c r="AB239" s="0">
        <f>IF(AND(ISNUMBER(W239),W239&gt;0),"ID "&amp;B239,"")</f>
      </c>
      <c r="AC239" s="0">
        <f>IF(AND(ISNUMBER(W239),W239&gt;0),C239,"")</f>
      </c>
      <c r="AD239" s="0">
        <f>IF(AND(ISNUMBER(W239),W239&gt;0),D239,"")</f>
      </c>
      <c r="AE239" s="0">
        <f>IF(AND(ISNUMBER(W239),W239&gt;0),IF(INDEX('PEGAR'!$D$13:$D$512,IF(L239&gt;0,L239,K239))="","Sin descripción",INDEX('PEGAR'!$D$13:$D$512,IF(L239&gt;0,L239,K239))),"")</f>
      </c>
      <c r="AF239" s="0">
        <f>IF(AND(ISNUMBER(W239),W239&gt;0),J239,"")</f>
      </c>
      <c r="AG239" s="0" t="n">
        <f>IF(AND(ISNUMBER(W239),W239&gt;0),W239,0)</f>
        <v>0</v>
      </c>
      <c r="AH239" s="0">
        <f>IF(AG239&gt;0,COUNTIFS($AG$13:AG239,"&gt;0"),"")</f>
      </c>
    </row>
    <row r="240" ht="22" customHeight="1">
      <c r="B240" s="27">
        <f>IF(K240="","",INDEX('PEGAR'!$O$13:$O$512,K240))</f>
      </c>
      <c r="C240" s="30">
        <f>IF(B240="","",IF(LEN(TRIM(INDEX('PEGAR'!$B$13:$B$512,IF(L240&gt;0,L240,K240))&amp;""))=0,"Sin capítulo",TRIM(INDEX('PEGAR'!$B$13:$B$512,IF(L240&gt;0,L240,K240))&amp;"")))</f>
      </c>
      <c r="D240" s="27">
        <f>IF(B240="","",IF(LEN(TRIM(INDEX('PEGAR'!$C$13:$C$512,IF(L240&gt;0,L240,K240))&amp;""))=0,"",TRIM(INDEX('PEGAR'!$C$13:$C$512,IF(L240&gt;0,L240,K240))&amp;"")))</f>
      </c>
      <c r="E240" s="27">
        <f>IF(B240="","",INDEX('PEGAR'!$S$13:$S$512,IF(L240&gt;0,L240,K240)))</f>
      </c>
      <c r="F240" s="39">
        <f>IF(B240="","",IF(L240&gt;0,INDEX('PEGAR'!$F$13:$F$512,L240),""))</f>
      </c>
      <c r="G240" s="39">
        <f>IF(B240="","",IF(OR(M240=0,N240&gt;0,O240&gt;0),"",SUMIFS('PEGAR'!$M$13:$M$512,'PEGAR'!$O$13:$O$512,B240)))</f>
      </c>
      <c r="H240" s="39">
        <f>IF(AND(ISNUMBER(F240),ISNUMBER(G240)),G240-F240,"")</f>
      </c>
      <c r="I240" s="27">
        <f>IF(B240="","",IF(W240=2,"ROJO",IF(W240=1,"ÁMBAR","VERDE")))</f>
      </c>
      <c r="J240" s="30">
        <f>IF(B240="","",IF(W240=0,"Sin avisos numéricos. Revisamos el alcance aparte.",IF(L240=0,"Faltan datos completos de partida; no elegimos un total por suposición."&amp;CHAR(10),"")&amp;IF(N240&gt;0,"Hay filas incompletas o contradictorias; las revisamos en PEGAR."&amp;CHAR(10),"")&amp;IF(O240&gt;0,"Faltan las medidas de alguna fila; no cerramos la suma."&amp;CHAR(10),"")&amp;IF(M240=0,"No constan líneas de medición."&amp;CHAR(10),"")&amp;IF(IF(ISNUMBER(H240),ROUND(ABS(H240),8)&gt;$F$6,FALSE),"Las líneas difieren del total en más de 0,01; confirmamos cantidad o exclusión."&amp;CHAR(10),"")&amp;IF(P240&gt;0,"Parece m³: encontramos tres dimensiones bajo m²."&amp;CHAR(10),"")&amp;IF(R240&gt;0,"Código repetido dentro del capítulo; mantenemos sus ID separados."&amp;CHAR(10),"")&amp;IF(S240&gt;0,"Código repetido en otro capítulo; no unimos las partidas."&amp;CHAR(10),"")&amp;IF(T240&gt;0,"Mismo código con unidades distintas; pedimos aclaración."&amp;CHAR(10),"")&amp;IF(Q240&gt;0,"Hay más precisión que los decimales indicados; cotejamos el formato original."&amp;CHAR(10),"")&amp;IF(U240&gt;0,"Unidad sin normalizar; cotejamos su significado antes de sumar unidades."&amp;CHAR(10),"")&amp;IF(V240&gt;0,"Revisamos dimensiones, cantidades directas, ceros o deducciones en PEGAR."&amp;CHAR(10),"")))</f>
      </c>
      <c r="K240" s="0">
        <f>IF(228&gt;'RESUMEN'!$E$6,"",MATCH(228,'PEGAR'!$W$13:$W$512,0))</f>
      </c>
      <c r="L240" s="0">
        <f>IF(K240="","",INDEX('PEGAR'!$R$13:$R$512,K240))</f>
      </c>
      <c r="M240" s="0">
        <f>IF(B240="","",COUNTIFS('PEGAR'!$O$13:$O$512,B240,'PEGAR'!$P$13:$P$512,"DIMENSIONES")+COUNTIFS('PEGAR'!$O$13:$O$512,B240,'PEGAR'!$P$13:$P$512,"DIRECTA"))</f>
      </c>
      <c r="N240" s="0">
        <f>IF(B240="","",COUNTIFS('PEGAR'!$O$13:$O$512,B240,'PEGAR'!$X$13:$X$512,2))</f>
      </c>
      <c r="O240" s="0">
        <f>IF(B240="","",COUNTIFS('PEGAR'!$O$13:$O$512,B240,'PEGAR'!$P$13:$P$512,"SIN LÍNEAS"))</f>
      </c>
      <c r="P240" s="0">
        <f>IF(B240="","",SUMIFS('PEGAR'!$Y$13:$Y$512,'PEGAR'!$O$13:$O$512,B240))</f>
      </c>
      <c r="Q240" s="0">
        <f>IF(B240="","",SUMIFS('PEGAR'!$Z$13:$Z$512,'PEGAR'!$O$13:$O$512,B240))</f>
      </c>
      <c r="R240" s="0" t="n">
        <f>IF(OR(B240="",D240=""),0,SUMPRODUCT(--($B$13:$B$512&lt;&gt;""),--($D$13:$D$512=D240),--($C$13:$C$512=C240))-1)</f>
        <v>0</v>
      </c>
      <c r="S240" s="0" t="n">
        <f>IF(OR(B240="",D240=""),0,SUMPRODUCT(--($B$13:$B$512&lt;&gt;""),--($D$13:$D$512=D240),--($C$13:$C$512&lt;&gt;C240)))</f>
        <v>0</v>
      </c>
      <c r="T240" s="0" t="n">
        <f>IF(OR(B240="",D240=""),0,SUMPRODUCT(--($B$13:$B$512&lt;&gt;""),--($D$13:$D$512=D240),--($E$13:$E$512&lt;&gt;E240)))</f>
        <v>0</v>
      </c>
      <c r="U240" s="0" t="n">
        <f>IF(B240="",0,IF(SUMPRODUCT(--('LÉEME'!$C$65:$C$86=E240))=0,1,0))</f>
        <v>0</v>
      </c>
      <c r="V240" s="0">
        <f>IF(B240="","",SUMIFS('PEGAR'!$AA$13:$AA$512,'PEGAR'!$O$13:$O$512,B240))</f>
      </c>
      <c r="W240" s="0">
        <f>IF(B240="","",IF(OR(L240=0,N240&gt;0,T240&gt;0,IF(ISNUMBER(H240),ROUND(ABS(H240),8)&gt;$F$6,FALSE)),2,IF(OR(M240=0,O240&gt;0,P240&gt;0,Q240&gt;0,R240&gt;0,S240&gt;0,U240&gt;0,V240&gt;0),1,0)))</f>
      </c>
      <c r="X240" s="0">
        <f>IF(B240="","",IF(ISNUMBER(G240),1,0))</f>
      </c>
      <c r="AB240" s="0">
        <f>IF(AND(ISNUMBER(W240),W240&gt;0),"ID "&amp;B240,"")</f>
      </c>
      <c r="AC240" s="0">
        <f>IF(AND(ISNUMBER(W240),W240&gt;0),C240,"")</f>
      </c>
      <c r="AD240" s="0">
        <f>IF(AND(ISNUMBER(W240),W240&gt;0),D240,"")</f>
      </c>
      <c r="AE240" s="0">
        <f>IF(AND(ISNUMBER(W240),W240&gt;0),IF(INDEX('PEGAR'!$D$13:$D$512,IF(L240&gt;0,L240,K240))="","Sin descripción",INDEX('PEGAR'!$D$13:$D$512,IF(L240&gt;0,L240,K240))),"")</f>
      </c>
      <c r="AF240" s="0">
        <f>IF(AND(ISNUMBER(W240),W240&gt;0),J240,"")</f>
      </c>
      <c r="AG240" s="0" t="n">
        <f>IF(AND(ISNUMBER(W240),W240&gt;0),W240,0)</f>
        <v>0</v>
      </c>
      <c r="AH240" s="0">
        <f>IF(AG240&gt;0,COUNTIFS($AG$13:AG240,"&gt;0"),"")</f>
      </c>
    </row>
    <row r="241" ht="22" customHeight="1">
      <c r="B241" s="27">
        <f>IF(K241="","",INDEX('PEGAR'!$O$13:$O$512,K241))</f>
      </c>
      <c r="C241" s="30">
        <f>IF(B241="","",IF(LEN(TRIM(INDEX('PEGAR'!$B$13:$B$512,IF(L241&gt;0,L241,K241))&amp;""))=0,"Sin capítulo",TRIM(INDEX('PEGAR'!$B$13:$B$512,IF(L241&gt;0,L241,K241))&amp;"")))</f>
      </c>
      <c r="D241" s="27">
        <f>IF(B241="","",IF(LEN(TRIM(INDEX('PEGAR'!$C$13:$C$512,IF(L241&gt;0,L241,K241))&amp;""))=0,"",TRIM(INDEX('PEGAR'!$C$13:$C$512,IF(L241&gt;0,L241,K241))&amp;"")))</f>
      </c>
      <c r="E241" s="27">
        <f>IF(B241="","",INDEX('PEGAR'!$S$13:$S$512,IF(L241&gt;0,L241,K241)))</f>
      </c>
      <c r="F241" s="39">
        <f>IF(B241="","",IF(L241&gt;0,INDEX('PEGAR'!$F$13:$F$512,L241),""))</f>
      </c>
      <c r="G241" s="39">
        <f>IF(B241="","",IF(OR(M241=0,N241&gt;0,O241&gt;0),"",SUMIFS('PEGAR'!$M$13:$M$512,'PEGAR'!$O$13:$O$512,B241)))</f>
      </c>
      <c r="H241" s="39">
        <f>IF(AND(ISNUMBER(F241),ISNUMBER(G241)),G241-F241,"")</f>
      </c>
      <c r="I241" s="27">
        <f>IF(B241="","",IF(W241=2,"ROJO",IF(W241=1,"ÁMBAR","VERDE")))</f>
      </c>
      <c r="J241" s="30">
        <f>IF(B241="","",IF(W241=0,"Sin avisos numéricos. Revisamos el alcance aparte.",IF(L241=0,"Faltan datos completos de partida; no elegimos un total por suposición."&amp;CHAR(10),"")&amp;IF(N241&gt;0,"Hay filas incompletas o contradictorias; las revisamos en PEGAR."&amp;CHAR(10),"")&amp;IF(O241&gt;0,"Faltan las medidas de alguna fila; no cerramos la suma."&amp;CHAR(10),"")&amp;IF(M241=0,"No constan líneas de medición."&amp;CHAR(10),"")&amp;IF(IF(ISNUMBER(H241),ROUND(ABS(H241),8)&gt;$F$6,FALSE),"Las líneas difieren del total en más de 0,01; confirmamos cantidad o exclusión."&amp;CHAR(10),"")&amp;IF(P241&gt;0,"Parece m³: encontramos tres dimensiones bajo m²."&amp;CHAR(10),"")&amp;IF(R241&gt;0,"Código repetido dentro del capítulo; mantenemos sus ID separados."&amp;CHAR(10),"")&amp;IF(S241&gt;0,"Código repetido en otro capítulo; no unimos las partidas."&amp;CHAR(10),"")&amp;IF(T241&gt;0,"Mismo código con unidades distintas; pedimos aclaración."&amp;CHAR(10),"")&amp;IF(Q241&gt;0,"Hay más precisión que los decimales indicados; cotejamos el formato original."&amp;CHAR(10),"")&amp;IF(U241&gt;0,"Unidad sin normalizar; cotejamos su significado antes de sumar unidades."&amp;CHAR(10),"")&amp;IF(V241&gt;0,"Revisamos dimensiones, cantidades directas, ceros o deducciones en PEGAR."&amp;CHAR(10),"")))</f>
      </c>
      <c r="K241" s="0">
        <f>IF(229&gt;'RESUMEN'!$E$6,"",MATCH(229,'PEGAR'!$W$13:$W$512,0))</f>
      </c>
      <c r="L241" s="0">
        <f>IF(K241="","",INDEX('PEGAR'!$R$13:$R$512,K241))</f>
      </c>
      <c r="M241" s="0">
        <f>IF(B241="","",COUNTIFS('PEGAR'!$O$13:$O$512,B241,'PEGAR'!$P$13:$P$512,"DIMENSIONES")+COUNTIFS('PEGAR'!$O$13:$O$512,B241,'PEGAR'!$P$13:$P$512,"DIRECTA"))</f>
      </c>
      <c r="N241" s="0">
        <f>IF(B241="","",COUNTIFS('PEGAR'!$O$13:$O$512,B241,'PEGAR'!$X$13:$X$512,2))</f>
      </c>
      <c r="O241" s="0">
        <f>IF(B241="","",COUNTIFS('PEGAR'!$O$13:$O$512,B241,'PEGAR'!$P$13:$P$512,"SIN LÍNEAS"))</f>
      </c>
      <c r="P241" s="0">
        <f>IF(B241="","",SUMIFS('PEGAR'!$Y$13:$Y$512,'PEGAR'!$O$13:$O$512,B241))</f>
      </c>
      <c r="Q241" s="0">
        <f>IF(B241="","",SUMIFS('PEGAR'!$Z$13:$Z$512,'PEGAR'!$O$13:$O$512,B241))</f>
      </c>
      <c r="R241" s="0" t="n">
        <f>IF(OR(B241="",D241=""),0,SUMPRODUCT(--($B$13:$B$512&lt;&gt;""),--($D$13:$D$512=D241),--($C$13:$C$512=C241))-1)</f>
        <v>0</v>
      </c>
      <c r="S241" s="0" t="n">
        <f>IF(OR(B241="",D241=""),0,SUMPRODUCT(--($B$13:$B$512&lt;&gt;""),--($D$13:$D$512=D241),--($C$13:$C$512&lt;&gt;C241)))</f>
        <v>0</v>
      </c>
      <c r="T241" s="0" t="n">
        <f>IF(OR(B241="",D241=""),0,SUMPRODUCT(--($B$13:$B$512&lt;&gt;""),--($D$13:$D$512=D241),--($E$13:$E$512&lt;&gt;E241)))</f>
        <v>0</v>
      </c>
      <c r="U241" s="0" t="n">
        <f>IF(B241="",0,IF(SUMPRODUCT(--('LÉEME'!$C$65:$C$86=E241))=0,1,0))</f>
        <v>0</v>
      </c>
      <c r="V241" s="0">
        <f>IF(B241="","",SUMIFS('PEGAR'!$AA$13:$AA$512,'PEGAR'!$O$13:$O$512,B241))</f>
      </c>
      <c r="W241" s="0">
        <f>IF(B241="","",IF(OR(L241=0,N241&gt;0,T241&gt;0,IF(ISNUMBER(H241),ROUND(ABS(H241),8)&gt;$F$6,FALSE)),2,IF(OR(M241=0,O241&gt;0,P241&gt;0,Q241&gt;0,R241&gt;0,S241&gt;0,U241&gt;0,V241&gt;0),1,0)))</f>
      </c>
      <c r="X241" s="0">
        <f>IF(B241="","",IF(ISNUMBER(G241),1,0))</f>
      </c>
      <c r="AB241" s="0">
        <f>IF(AND(ISNUMBER(W241),W241&gt;0),"ID "&amp;B241,"")</f>
      </c>
      <c r="AC241" s="0">
        <f>IF(AND(ISNUMBER(W241),W241&gt;0),C241,"")</f>
      </c>
      <c r="AD241" s="0">
        <f>IF(AND(ISNUMBER(W241),W241&gt;0),D241,"")</f>
      </c>
      <c r="AE241" s="0">
        <f>IF(AND(ISNUMBER(W241),W241&gt;0),IF(INDEX('PEGAR'!$D$13:$D$512,IF(L241&gt;0,L241,K241))="","Sin descripción",INDEX('PEGAR'!$D$13:$D$512,IF(L241&gt;0,L241,K241))),"")</f>
      </c>
      <c r="AF241" s="0">
        <f>IF(AND(ISNUMBER(W241),W241&gt;0),J241,"")</f>
      </c>
      <c r="AG241" s="0" t="n">
        <f>IF(AND(ISNUMBER(W241),W241&gt;0),W241,0)</f>
        <v>0</v>
      </c>
      <c r="AH241" s="0">
        <f>IF(AG241&gt;0,COUNTIFS($AG$13:AG241,"&gt;0"),"")</f>
      </c>
    </row>
    <row r="242" ht="22" customHeight="1">
      <c r="B242" s="27">
        <f>IF(K242="","",INDEX('PEGAR'!$O$13:$O$512,K242))</f>
      </c>
      <c r="C242" s="30">
        <f>IF(B242="","",IF(LEN(TRIM(INDEX('PEGAR'!$B$13:$B$512,IF(L242&gt;0,L242,K242))&amp;""))=0,"Sin capítulo",TRIM(INDEX('PEGAR'!$B$13:$B$512,IF(L242&gt;0,L242,K242))&amp;"")))</f>
      </c>
      <c r="D242" s="27">
        <f>IF(B242="","",IF(LEN(TRIM(INDEX('PEGAR'!$C$13:$C$512,IF(L242&gt;0,L242,K242))&amp;""))=0,"",TRIM(INDEX('PEGAR'!$C$13:$C$512,IF(L242&gt;0,L242,K242))&amp;"")))</f>
      </c>
      <c r="E242" s="27">
        <f>IF(B242="","",INDEX('PEGAR'!$S$13:$S$512,IF(L242&gt;0,L242,K242)))</f>
      </c>
      <c r="F242" s="39">
        <f>IF(B242="","",IF(L242&gt;0,INDEX('PEGAR'!$F$13:$F$512,L242),""))</f>
      </c>
      <c r="G242" s="39">
        <f>IF(B242="","",IF(OR(M242=0,N242&gt;0,O242&gt;0),"",SUMIFS('PEGAR'!$M$13:$M$512,'PEGAR'!$O$13:$O$512,B242)))</f>
      </c>
      <c r="H242" s="39">
        <f>IF(AND(ISNUMBER(F242),ISNUMBER(G242)),G242-F242,"")</f>
      </c>
      <c r="I242" s="27">
        <f>IF(B242="","",IF(W242=2,"ROJO",IF(W242=1,"ÁMBAR","VERDE")))</f>
      </c>
      <c r="J242" s="30">
        <f>IF(B242="","",IF(W242=0,"Sin avisos numéricos. Revisamos el alcance aparte.",IF(L242=0,"Faltan datos completos de partida; no elegimos un total por suposición."&amp;CHAR(10),"")&amp;IF(N242&gt;0,"Hay filas incompletas o contradictorias; las revisamos en PEGAR."&amp;CHAR(10),"")&amp;IF(O242&gt;0,"Faltan las medidas de alguna fila; no cerramos la suma."&amp;CHAR(10),"")&amp;IF(M242=0,"No constan líneas de medición."&amp;CHAR(10),"")&amp;IF(IF(ISNUMBER(H242),ROUND(ABS(H242),8)&gt;$F$6,FALSE),"Las líneas difieren del total en más de 0,01; confirmamos cantidad o exclusión."&amp;CHAR(10),"")&amp;IF(P242&gt;0,"Parece m³: encontramos tres dimensiones bajo m²."&amp;CHAR(10),"")&amp;IF(R242&gt;0,"Código repetido dentro del capítulo; mantenemos sus ID separados."&amp;CHAR(10),"")&amp;IF(S242&gt;0,"Código repetido en otro capítulo; no unimos las partidas."&amp;CHAR(10),"")&amp;IF(T242&gt;0,"Mismo código con unidades distintas; pedimos aclaración."&amp;CHAR(10),"")&amp;IF(Q242&gt;0,"Hay más precisión que los decimales indicados; cotejamos el formato original."&amp;CHAR(10),"")&amp;IF(U242&gt;0,"Unidad sin normalizar; cotejamos su significado antes de sumar unidades."&amp;CHAR(10),"")&amp;IF(V242&gt;0,"Revisamos dimensiones, cantidades directas, ceros o deducciones en PEGAR."&amp;CHAR(10),"")))</f>
      </c>
      <c r="K242" s="0">
        <f>IF(230&gt;'RESUMEN'!$E$6,"",MATCH(230,'PEGAR'!$W$13:$W$512,0))</f>
      </c>
      <c r="L242" s="0">
        <f>IF(K242="","",INDEX('PEGAR'!$R$13:$R$512,K242))</f>
      </c>
      <c r="M242" s="0">
        <f>IF(B242="","",COUNTIFS('PEGAR'!$O$13:$O$512,B242,'PEGAR'!$P$13:$P$512,"DIMENSIONES")+COUNTIFS('PEGAR'!$O$13:$O$512,B242,'PEGAR'!$P$13:$P$512,"DIRECTA"))</f>
      </c>
      <c r="N242" s="0">
        <f>IF(B242="","",COUNTIFS('PEGAR'!$O$13:$O$512,B242,'PEGAR'!$X$13:$X$512,2))</f>
      </c>
      <c r="O242" s="0">
        <f>IF(B242="","",COUNTIFS('PEGAR'!$O$13:$O$512,B242,'PEGAR'!$P$13:$P$512,"SIN LÍNEAS"))</f>
      </c>
      <c r="P242" s="0">
        <f>IF(B242="","",SUMIFS('PEGAR'!$Y$13:$Y$512,'PEGAR'!$O$13:$O$512,B242))</f>
      </c>
      <c r="Q242" s="0">
        <f>IF(B242="","",SUMIFS('PEGAR'!$Z$13:$Z$512,'PEGAR'!$O$13:$O$512,B242))</f>
      </c>
      <c r="R242" s="0" t="n">
        <f>IF(OR(B242="",D242=""),0,SUMPRODUCT(--($B$13:$B$512&lt;&gt;""),--($D$13:$D$512=D242),--($C$13:$C$512=C242))-1)</f>
        <v>0</v>
      </c>
      <c r="S242" s="0" t="n">
        <f>IF(OR(B242="",D242=""),0,SUMPRODUCT(--($B$13:$B$512&lt;&gt;""),--($D$13:$D$512=D242),--($C$13:$C$512&lt;&gt;C242)))</f>
        <v>0</v>
      </c>
      <c r="T242" s="0" t="n">
        <f>IF(OR(B242="",D242=""),0,SUMPRODUCT(--($B$13:$B$512&lt;&gt;""),--($D$13:$D$512=D242),--($E$13:$E$512&lt;&gt;E242)))</f>
        <v>0</v>
      </c>
      <c r="U242" s="0" t="n">
        <f>IF(B242="",0,IF(SUMPRODUCT(--('LÉEME'!$C$65:$C$86=E242))=0,1,0))</f>
        <v>0</v>
      </c>
      <c r="V242" s="0">
        <f>IF(B242="","",SUMIFS('PEGAR'!$AA$13:$AA$512,'PEGAR'!$O$13:$O$512,B242))</f>
      </c>
      <c r="W242" s="0">
        <f>IF(B242="","",IF(OR(L242=0,N242&gt;0,T242&gt;0,IF(ISNUMBER(H242),ROUND(ABS(H242),8)&gt;$F$6,FALSE)),2,IF(OR(M242=0,O242&gt;0,P242&gt;0,Q242&gt;0,R242&gt;0,S242&gt;0,U242&gt;0,V242&gt;0),1,0)))</f>
      </c>
      <c r="X242" s="0">
        <f>IF(B242="","",IF(ISNUMBER(G242),1,0))</f>
      </c>
      <c r="AB242" s="0">
        <f>IF(AND(ISNUMBER(W242),W242&gt;0),"ID "&amp;B242,"")</f>
      </c>
      <c r="AC242" s="0">
        <f>IF(AND(ISNUMBER(W242),W242&gt;0),C242,"")</f>
      </c>
      <c r="AD242" s="0">
        <f>IF(AND(ISNUMBER(W242),W242&gt;0),D242,"")</f>
      </c>
      <c r="AE242" s="0">
        <f>IF(AND(ISNUMBER(W242),W242&gt;0),IF(INDEX('PEGAR'!$D$13:$D$512,IF(L242&gt;0,L242,K242))="","Sin descripción",INDEX('PEGAR'!$D$13:$D$512,IF(L242&gt;0,L242,K242))),"")</f>
      </c>
      <c r="AF242" s="0">
        <f>IF(AND(ISNUMBER(W242),W242&gt;0),J242,"")</f>
      </c>
      <c r="AG242" s="0" t="n">
        <f>IF(AND(ISNUMBER(W242),W242&gt;0),W242,0)</f>
        <v>0</v>
      </c>
      <c r="AH242" s="0">
        <f>IF(AG242&gt;0,COUNTIFS($AG$13:AG242,"&gt;0"),"")</f>
      </c>
    </row>
    <row r="243" ht="22" customHeight="1">
      <c r="B243" s="27">
        <f>IF(K243="","",INDEX('PEGAR'!$O$13:$O$512,K243))</f>
      </c>
      <c r="C243" s="30">
        <f>IF(B243="","",IF(LEN(TRIM(INDEX('PEGAR'!$B$13:$B$512,IF(L243&gt;0,L243,K243))&amp;""))=0,"Sin capítulo",TRIM(INDEX('PEGAR'!$B$13:$B$512,IF(L243&gt;0,L243,K243))&amp;"")))</f>
      </c>
      <c r="D243" s="27">
        <f>IF(B243="","",IF(LEN(TRIM(INDEX('PEGAR'!$C$13:$C$512,IF(L243&gt;0,L243,K243))&amp;""))=0,"",TRIM(INDEX('PEGAR'!$C$13:$C$512,IF(L243&gt;0,L243,K243))&amp;"")))</f>
      </c>
      <c r="E243" s="27">
        <f>IF(B243="","",INDEX('PEGAR'!$S$13:$S$512,IF(L243&gt;0,L243,K243)))</f>
      </c>
      <c r="F243" s="39">
        <f>IF(B243="","",IF(L243&gt;0,INDEX('PEGAR'!$F$13:$F$512,L243),""))</f>
      </c>
      <c r="G243" s="39">
        <f>IF(B243="","",IF(OR(M243=0,N243&gt;0,O243&gt;0),"",SUMIFS('PEGAR'!$M$13:$M$512,'PEGAR'!$O$13:$O$512,B243)))</f>
      </c>
      <c r="H243" s="39">
        <f>IF(AND(ISNUMBER(F243),ISNUMBER(G243)),G243-F243,"")</f>
      </c>
      <c r="I243" s="27">
        <f>IF(B243="","",IF(W243=2,"ROJO",IF(W243=1,"ÁMBAR","VERDE")))</f>
      </c>
      <c r="J243" s="30">
        <f>IF(B243="","",IF(W243=0,"Sin avisos numéricos. Revisamos el alcance aparte.",IF(L243=0,"Faltan datos completos de partida; no elegimos un total por suposición."&amp;CHAR(10),"")&amp;IF(N243&gt;0,"Hay filas incompletas o contradictorias; las revisamos en PEGAR."&amp;CHAR(10),"")&amp;IF(O243&gt;0,"Faltan las medidas de alguna fila; no cerramos la suma."&amp;CHAR(10),"")&amp;IF(M243=0,"No constan líneas de medición."&amp;CHAR(10),"")&amp;IF(IF(ISNUMBER(H243),ROUND(ABS(H243),8)&gt;$F$6,FALSE),"Las líneas difieren del total en más de 0,01; confirmamos cantidad o exclusión."&amp;CHAR(10),"")&amp;IF(P243&gt;0,"Parece m³: encontramos tres dimensiones bajo m²."&amp;CHAR(10),"")&amp;IF(R243&gt;0,"Código repetido dentro del capítulo; mantenemos sus ID separados."&amp;CHAR(10),"")&amp;IF(S243&gt;0,"Código repetido en otro capítulo; no unimos las partidas."&amp;CHAR(10),"")&amp;IF(T243&gt;0,"Mismo código con unidades distintas; pedimos aclaración."&amp;CHAR(10),"")&amp;IF(Q243&gt;0,"Hay más precisión que los decimales indicados; cotejamos el formato original."&amp;CHAR(10),"")&amp;IF(U243&gt;0,"Unidad sin normalizar; cotejamos su significado antes de sumar unidades."&amp;CHAR(10),"")&amp;IF(V243&gt;0,"Revisamos dimensiones, cantidades directas, ceros o deducciones en PEGAR."&amp;CHAR(10),"")))</f>
      </c>
      <c r="K243" s="0">
        <f>IF(231&gt;'RESUMEN'!$E$6,"",MATCH(231,'PEGAR'!$W$13:$W$512,0))</f>
      </c>
      <c r="L243" s="0">
        <f>IF(K243="","",INDEX('PEGAR'!$R$13:$R$512,K243))</f>
      </c>
      <c r="M243" s="0">
        <f>IF(B243="","",COUNTIFS('PEGAR'!$O$13:$O$512,B243,'PEGAR'!$P$13:$P$512,"DIMENSIONES")+COUNTIFS('PEGAR'!$O$13:$O$512,B243,'PEGAR'!$P$13:$P$512,"DIRECTA"))</f>
      </c>
      <c r="N243" s="0">
        <f>IF(B243="","",COUNTIFS('PEGAR'!$O$13:$O$512,B243,'PEGAR'!$X$13:$X$512,2))</f>
      </c>
      <c r="O243" s="0">
        <f>IF(B243="","",COUNTIFS('PEGAR'!$O$13:$O$512,B243,'PEGAR'!$P$13:$P$512,"SIN LÍNEAS"))</f>
      </c>
      <c r="P243" s="0">
        <f>IF(B243="","",SUMIFS('PEGAR'!$Y$13:$Y$512,'PEGAR'!$O$13:$O$512,B243))</f>
      </c>
      <c r="Q243" s="0">
        <f>IF(B243="","",SUMIFS('PEGAR'!$Z$13:$Z$512,'PEGAR'!$O$13:$O$512,B243))</f>
      </c>
      <c r="R243" s="0" t="n">
        <f>IF(OR(B243="",D243=""),0,SUMPRODUCT(--($B$13:$B$512&lt;&gt;""),--($D$13:$D$512=D243),--($C$13:$C$512=C243))-1)</f>
        <v>0</v>
      </c>
      <c r="S243" s="0" t="n">
        <f>IF(OR(B243="",D243=""),0,SUMPRODUCT(--($B$13:$B$512&lt;&gt;""),--($D$13:$D$512=D243),--($C$13:$C$512&lt;&gt;C243)))</f>
        <v>0</v>
      </c>
      <c r="T243" s="0" t="n">
        <f>IF(OR(B243="",D243=""),0,SUMPRODUCT(--($B$13:$B$512&lt;&gt;""),--($D$13:$D$512=D243),--($E$13:$E$512&lt;&gt;E243)))</f>
        <v>0</v>
      </c>
      <c r="U243" s="0" t="n">
        <f>IF(B243="",0,IF(SUMPRODUCT(--('LÉEME'!$C$65:$C$86=E243))=0,1,0))</f>
        <v>0</v>
      </c>
      <c r="V243" s="0">
        <f>IF(B243="","",SUMIFS('PEGAR'!$AA$13:$AA$512,'PEGAR'!$O$13:$O$512,B243))</f>
      </c>
      <c r="W243" s="0">
        <f>IF(B243="","",IF(OR(L243=0,N243&gt;0,T243&gt;0,IF(ISNUMBER(H243),ROUND(ABS(H243),8)&gt;$F$6,FALSE)),2,IF(OR(M243=0,O243&gt;0,P243&gt;0,Q243&gt;0,R243&gt;0,S243&gt;0,U243&gt;0,V243&gt;0),1,0)))</f>
      </c>
      <c r="X243" s="0">
        <f>IF(B243="","",IF(ISNUMBER(G243),1,0))</f>
      </c>
      <c r="AB243" s="0">
        <f>IF(AND(ISNUMBER(W243),W243&gt;0),"ID "&amp;B243,"")</f>
      </c>
      <c r="AC243" s="0">
        <f>IF(AND(ISNUMBER(W243),W243&gt;0),C243,"")</f>
      </c>
      <c r="AD243" s="0">
        <f>IF(AND(ISNUMBER(W243),W243&gt;0),D243,"")</f>
      </c>
      <c r="AE243" s="0">
        <f>IF(AND(ISNUMBER(W243),W243&gt;0),IF(INDEX('PEGAR'!$D$13:$D$512,IF(L243&gt;0,L243,K243))="","Sin descripción",INDEX('PEGAR'!$D$13:$D$512,IF(L243&gt;0,L243,K243))),"")</f>
      </c>
      <c r="AF243" s="0">
        <f>IF(AND(ISNUMBER(W243),W243&gt;0),J243,"")</f>
      </c>
      <c r="AG243" s="0" t="n">
        <f>IF(AND(ISNUMBER(W243),W243&gt;0),W243,0)</f>
        <v>0</v>
      </c>
      <c r="AH243" s="0">
        <f>IF(AG243&gt;0,COUNTIFS($AG$13:AG243,"&gt;0"),"")</f>
      </c>
    </row>
    <row r="244" ht="22" customHeight="1">
      <c r="B244" s="27">
        <f>IF(K244="","",INDEX('PEGAR'!$O$13:$O$512,K244))</f>
      </c>
      <c r="C244" s="30">
        <f>IF(B244="","",IF(LEN(TRIM(INDEX('PEGAR'!$B$13:$B$512,IF(L244&gt;0,L244,K244))&amp;""))=0,"Sin capítulo",TRIM(INDEX('PEGAR'!$B$13:$B$512,IF(L244&gt;0,L244,K244))&amp;"")))</f>
      </c>
      <c r="D244" s="27">
        <f>IF(B244="","",IF(LEN(TRIM(INDEX('PEGAR'!$C$13:$C$512,IF(L244&gt;0,L244,K244))&amp;""))=0,"",TRIM(INDEX('PEGAR'!$C$13:$C$512,IF(L244&gt;0,L244,K244))&amp;"")))</f>
      </c>
      <c r="E244" s="27">
        <f>IF(B244="","",INDEX('PEGAR'!$S$13:$S$512,IF(L244&gt;0,L244,K244)))</f>
      </c>
      <c r="F244" s="39">
        <f>IF(B244="","",IF(L244&gt;0,INDEX('PEGAR'!$F$13:$F$512,L244),""))</f>
      </c>
      <c r="G244" s="39">
        <f>IF(B244="","",IF(OR(M244=0,N244&gt;0,O244&gt;0),"",SUMIFS('PEGAR'!$M$13:$M$512,'PEGAR'!$O$13:$O$512,B244)))</f>
      </c>
      <c r="H244" s="39">
        <f>IF(AND(ISNUMBER(F244),ISNUMBER(G244)),G244-F244,"")</f>
      </c>
      <c r="I244" s="27">
        <f>IF(B244="","",IF(W244=2,"ROJO",IF(W244=1,"ÁMBAR","VERDE")))</f>
      </c>
      <c r="J244" s="30">
        <f>IF(B244="","",IF(W244=0,"Sin avisos numéricos. Revisamos el alcance aparte.",IF(L244=0,"Faltan datos completos de partida; no elegimos un total por suposición."&amp;CHAR(10),"")&amp;IF(N244&gt;0,"Hay filas incompletas o contradictorias; las revisamos en PEGAR."&amp;CHAR(10),"")&amp;IF(O244&gt;0,"Faltan las medidas de alguna fila; no cerramos la suma."&amp;CHAR(10),"")&amp;IF(M244=0,"No constan líneas de medición."&amp;CHAR(10),"")&amp;IF(IF(ISNUMBER(H244),ROUND(ABS(H244),8)&gt;$F$6,FALSE),"Las líneas difieren del total en más de 0,01; confirmamos cantidad o exclusión."&amp;CHAR(10),"")&amp;IF(P244&gt;0,"Parece m³: encontramos tres dimensiones bajo m²."&amp;CHAR(10),"")&amp;IF(R244&gt;0,"Código repetido dentro del capítulo; mantenemos sus ID separados."&amp;CHAR(10),"")&amp;IF(S244&gt;0,"Código repetido en otro capítulo; no unimos las partidas."&amp;CHAR(10),"")&amp;IF(T244&gt;0,"Mismo código con unidades distintas; pedimos aclaración."&amp;CHAR(10),"")&amp;IF(Q244&gt;0,"Hay más precisión que los decimales indicados; cotejamos el formato original."&amp;CHAR(10),"")&amp;IF(U244&gt;0,"Unidad sin normalizar; cotejamos su significado antes de sumar unidades."&amp;CHAR(10),"")&amp;IF(V244&gt;0,"Revisamos dimensiones, cantidades directas, ceros o deducciones en PEGAR."&amp;CHAR(10),"")))</f>
      </c>
      <c r="K244" s="0">
        <f>IF(232&gt;'RESUMEN'!$E$6,"",MATCH(232,'PEGAR'!$W$13:$W$512,0))</f>
      </c>
      <c r="L244" s="0">
        <f>IF(K244="","",INDEX('PEGAR'!$R$13:$R$512,K244))</f>
      </c>
      <c r="M244" s="0">
        <f>IF(B244="","",COUNTIFS('PEGAR'!$O$13:$O$512,B244,'PEGAR'!$P$13:$P$512,"DIMENSIONES")+COUNTIFS('PEGAR'!$O$13:$O$512,B244,'PEGAR'!$P$13:$P$512,"DIRECTA"))</f>
      </c>
      <c r="N244" s="0">
        <f>IF(B244="","",COUNTIFS('PEGAR'!$O$13:$O$512,B244,'PEGAR'!$X$13:$X$512,2))</f>
      </c>
      <c r="O244" s="0">
        <f>IF(B244="","",COUNTIFS('PEGAR'!$O$13:$O$512,B244,'PEGAR'!$P$13:$P$512,"SIN LÍNEAS"))</f>
      </c>
      <c r="P244" s="0">
        <f>IF(B244="","",SUMIFS('PEGAR'!$Y$13:$Y$512,'PEGAR'!$O$13:$O$512,B244))</f>
      </c>
      <c r="Q244" s="0">
        <f>IF(B244="","",SUMIFS('PEGAR'!$Z$13:$Z$512,'PEGAR'!$O$13:$O$512,B244))</f>
      </c>
      <c r="R244" s="0" t="n">
        <f>IF(OR(B244="",D244=""),0,SUMPRODUCT(--($B$13:$B$512&lt;&gt;""),--($D$13:$D$512=D244),--($C$13:$C$512=C244))-1)</f>
        <v>0</v>
      </c>
      <c r="S244" s="0" t="n">
        <f>IF(OR(B244="",D244=""),0,SUMPRODUCT(--($B$13:$B$512&lt;&gt;""),--($D$13:$D$512=D244),--($C$13:$C$512&lt;&gt;C244)))</f>
        <v>0</v>
      </c>
      <c r="T244" s="0" t="n">
        <f>IF(OR(B244="",D244=""),0,SUMPRODUCT(--($B$13:$B$512&lt;&gt;""),--($D$13:$D$512=D244),--($E$13:$E$512&lt;&gt;E244)))</f>
        <v>0</v>
      </c>
      <c r="U244" s="0" t="n">
        <f>IF(B244="",0,IF(SUMPRODUCT(--('LÉEME'!$C$65:$C$86=E244))=0,1,0))</f>
        <v>0</v>
      </c>
      <c r="V244" s="0">
        <f>IF(B244="","",SUMIFS('PEGAR'!$AA$13:$AA$512,'PEGAR'!$O$13:$O$512,B244))</f>
      </c>
      <c r="W244" s="0">
        <f>IF(B244="","",IF(OR(L244=0,N244&gt;0,T244&gt;0,IF(ISNUMBER(H244),ROUND(ABS(H244),8)&gt;$F$6,FALSE)),2,IF(OR(M244=0,O244&gt;0,P244&gt;0,Q244&gt;0,R244&gt;0,S244&gt;0,U244&gt;0,V244&gt;0),1,0)))</f>
      </c>
      <c r="X244" s="0">
        <f>IF(B244="","",IF(ISNUMBER(G244),1,0))</f>
      </c>
      <c r="AB244" s="0">
        <f>IF(AND(ISNUMBER(W244),W244&gt;0),"ID "&amp;B244,"")</f>
      </c>
      <c r="AC244" s="0">
        <f>IF(AND(ISNUMBER(W244),W244&gt;0),C244,"")</f>
      </c>
      <c r="AD244" s="0">
        <f>IF(AND(ISNUMBER(W244),W244&gt;0),D244,"")</f>
      </c>
      <c r="AE244" s="0">
        <f>IF(AND(ISNUMBER(W244),W244&gt;0),IF(INDEX('PEGAR'!$D$13:$D$512,IF(L244&gt;0,L244,K244))="","Sin descripción",INDEX('PEGAR'!$D$13:$D$512,IF(L244&gt;0,L244,K244))),"")</f>
      </c>
      <c r="AF244" s="0">
        <f>IF(AND(ISNUMBER(W244),W244&gt;0),J244,"")</f>
      </c>
      <c r="AG244" s="0" t="n">
        <f>IF(AND(ISNUMBER(W244),W244&gt;0),W244,0)</f>
        <v>0</v>
      </c>
      <c r="AH244" s="0">
        <f>IF(AG244&gt;0,COUNTIFS($AG$13:AG244,"&gt;0"),"")</f>
      </c>
    </row>
    <row r="245" ht="22" customHeight="1">
      <c r="B245" s="27">
        <f>IF(K245="","",INDEX('PEGAR'!$O$13:$O$512,K245))</f>
      </c>
      <c r="C245" s="30">
        <f>IF(B245="","",IF(LEN(TRIM(INDEX('PEGAR'!$B$13:$B$512,IF(L245&gt;0,L245,K245))&amp;""))=0,"Sin capítulo",TRIM(INDEX('PEGAR'!$B$13:$B$512,IF(L245&gt;0,L245,K245))&amp;"")))</f>
      </c>
      <c r="D245" s="27">
        <f>IF(B245="","",IF(LEN(TRIM(INDEX('PEGAR'!$C$13:$C$512,IF(L245&gt;0,L245,K245))&amp;""))=0,"",TRIM(INDEX('PEGAR'!$C$13:$C$512,IF(L245&gt;0,L245,K245))&amp;"")))</f>
      </c>
      <c r="E245" s="27">
        <f>IF(B245="","",INDEX('PEGAR'!$S$13:$S$512,IF(L245&gt;0,L245,K245)))</f>
      </c>
      <c r="F245" s="39">
        <f>IF(B245="","",IF(L245&gt;0,INDEX('PEGAR'!$F$13:$F$512,L245),""))</f>
      </c>
      <c r="G245" s="39">
        <f>IF(B245="","",IF(OR(M245=0,N245&gt;0,O245&gt;0),"",SUMIFS('PEGAR'!$M$13:$M$512,'PEGAR'!$O$13:$O$512,B245)))</f>
      </c>
      <c r="H245" s="39">
        <f>IF(AND(ISNUMBER(F245),ISNUMBER(G245)),G245-F245,"")</f>
      </c>
      <c r="I245" s="27">
        <f>IF(B245="","",IF(W245=2,"ROJO",IF(W245=1,"ÁMBAR","VERDE")))</f>
      </c>
      <c r="J245" s="30">
        <f>IF(B245="","",IF(W245=0,"Sin avisos numéricos. Revisamos el alcance aparte.",IF(L245=0,"Faltan datos completos de partida; no elegimos un total por suposición."&amp;CHAR(10),"")&amp;IF(N245&gt;0,"Hay filas incompletas o contradictorias; las revisamos en PEGAR."&amp;CHAR(10),"")&amp;IF(O245&gt;0,"Faltan las medidas de alguna fila; no cerramos la suma."&amp;CHAR(10),"")&amp;IF(M245=0,"No constan líneas de medición."&amp;CHAR(10),"")&amp;IF(IF(ISNUMBER(H245),ROUND(ABS(H245),8)&gt;$F$6,FALSE),"Las líneas difieren del total en más de 0,01; confirmamos cantidad o exclusión."&amp;CHAR(10),"")&amp;IF(P245&gt;0,"Parece m³: encontramos tres dimensiones bajo m²."&amp;CHAR(10),"")&amp;IF(R245&gt;0,"Código repetido dentro del capítulo; mantenemos sus ID separados."&amp;CHAR(10),"")&amp;IF(S245&gt;0,"Código repetido en otro capítulo; no unimos las partidas."&amp;CHAR(10),"")&amp;IF(T245&gt;0,"Mismo código con unidades distintas; pedimos aclaración."&amp;CHAR(10),"")&amp;IF(Q245&gt;0,"Hay más precisión que los decimales indicados; cotejamos el formato original."&amp;CHAR(10),"")&amp;IF(U245&gt;0,"Unidad sin normalizar; cotejamos su significado antes de sumar unidades."&amp;CHAR(10),"")&amp;IF(V245&gt;0,"Revisamos dimensiones, cantidades directas, ceros o deducciones en PEGAR."&amp;CHAR(10),"")))</f>
      </c>
      <c r="K245" s="0">
        <f>IF(233&gt;'RESUMEN'!$E$6,"",MATCH(233,'PEGAR'!$W$13:$W$512,0))</f>
      </c>
      <c r="L245" s="0">
        <f>IF(K245="","",INDEX('PEGAR'!$R$13:$R$512,K245))</f>
      </c>
      <c r="M245" s="0">
        <f>IF(B245="","",COUNTIFS('PEGAR'!$O$13:$O$512,B245,'PEGAR'!$P$13:$P$512,"DIMENSIONES")+COUNTIFS('PEGAR'!$O$13:$O$512,B245,'PEGAR'!$P$13:$P$512,"DIRECTA"))</f>
      </c>
      <c r="N245" s="0">
        <f>IF(B245="","",COUNTIFS('PEGAR'!$O$13:$O$512,B245,'PEGAR'!$X$13:$X$512,2))</f>
      </c>
      <c r="O245" s="0">
        <f>IF(B245="","",COUNTIFS('PEGAR'!$O$13:$O$512,B245,'PEGAR'!$P$13:$P$512,"SIN LÍNEAS"))</f>
      </c>
      <c r="P245" s="0">
        <f>IF(B245="","",SUMIFS('PEGAR'!$Y$13:$Y$512,'PEGAR'!$O$13:$O$512,B245))</f>
      </c>
      <c r="Q245" s="0">
        <f>IF(B245="","",SUMIFS('PEGAR'!$Z$13:$Z$512,'PEGAR'!$O$13:$O$512,B245))</f>
      </c>
      <c r="R245" s="0" t="n">
        <f>IF(OR(B245="",D245=""),0,SUMPRODUCT(--($B$13:$B$512&lt;&gt;""),--($D$13:$D$512=D245),--($C$13:$C$512=C245))-1)</f>
        <v>0</v>
      </c>
      <c r="S245" s="0" t="n">
        <f>IF(OR(B245="",D245=""),0,SUMPRODUCT(--($B$13:$B$512&lt;&gt;""),--($D$13:$D$512=D245),--($C$13:$C$512&lt;&gt;C245)))</f>
        <v>0</v>
      </c>
      <c r="T245" s="0" t="n">
        <f>IF(OR(B245="",D245=""),0,SUMPRODUCT(--($B$13:$B$512&lt;&gt;""),--($D$13:$D$512=D245),--($E$13:$E$512&lt;&gt;E245)))</f>
        <v>0</v>
      </c>
      <c r="U245" s="0" t="n">
        <f>IF(B245="",0,IF(SUMPRODUCT(--('LÉEME'!$C$65:$C$86=E245))=0,1,0))</f>
        <v>0</v>
      </c>
      <c r="V245" s="0">
        <f>IF(B245="","",SUMIFS('PEGAR'!$AA$13:$AA$512,'PEGAR'!$O$13:$O$512,B245))</f>
      </c>
      <c r="W245" s="0">
        <f>IF(B245="","",IF(OR(L245=0,N245&gt;0,T245&gt;0,IF(ISNUMBER(H245),ROUND(ABS(H245),8)&gt;$F$6,FALSE)),2,IF(OR(M245=0,O245&gt;0,P245&gt;0,Q245&gt;0,R245&gt;0,S245&gt;0,U245&gt;0,V245&gt;0),1,0)))</f>
      </c>
      <c r="X245" s="0">
        <f>IF(B245="","",IF(ISNUMBER(G245),1,0))</f>
      </c>
      <c r="AB245" s="0">
        <f>IF(AND(ISNUMBER(W245),W245&gt;0),"ID "&amp;B245,"")</f>
      </c>
      <c r="AC245" s="0">
        <f>IF(AND(ISNUMBER(W245),W245&gt;0),C245,"")</f>
      </c>
      <c r="AD245" s="0">
        <f>IF(AND(ISNUMBER(W245),W245&gt;0),D245,"")</f>
      </c>
      <c r="AE245" s="0">
        <f>IF(AND(ISNUMBER(W245),W245&gt;0),IF(INDEX('PEGAR'!$D$13:$D$512,IF(L245&gt;0,L245,K245))="","Sin descripción",INDEX('PEGAR'!$D$13:$D$512,IF(L245&gt;0,L245,K245))),"")</f>
      </c>
      <c r="AF245" s="0">
        <f>IF(AND(ISNUMBER(W245),W245&gt;0),J245,"")</f>
      </c>
      <c r="AG245" s="0" t="n">
        <f>IF(AND(ISNUMBER(W245),W245&gt;0),W245,0)</f>
        <v>0</v>
      </c>
      <c r="AH245" s="0">
        <f>IF(AG245&gt;0,COUNTIFS($AG$13:AG245,"&gt;0"),"")</f>
      </c>
    </row>
    <row r="246" ht="22" customHeight="1">
      <c r="B246" s="27">
        <f>IF(K246="","",INDEX('PEGAR'!$O$13:$O$512,K246))</f>
      </c>
      <c r="C246" s="30">
        <f>IF(B246="","",IF(LEN(TRIM(INDEX('PEGAR'!$B$13:$B$512,IF(L246&gt;0,L246,K246))&amp;""))=0,"Sin capítulo",TRIM(INDEX('PEGAR'!$B$13:$B$512,IF(L246&gt;0,L246,K246))&amp;"")))</f>
      </c>
      <c r="D246" s="27">
        <f>IF(B246="","",IF(LEN(TRIM(INDEX('PEGAR'!$C$13:$C$512,IF(L246&gt;0,L246,K246))&amp;""))=0,"",TRIM(INDEX('PEGAR'!$C$13:$C$512,IF(L246&gt;0,L246,K246))&amp;"")))</f>
      </c>
      <c r="E246" s="27">
        <f>IF(B246="","",INDEX('PEGAR'!$S$13:$S$512,IF(L246&gt;0,L246,K246)))</f>
      </c>
      <c r="F246" s="39">
        <f>IF(B246="","",IF(L246&gt;0,INDEX('PEGAR'!$F$13:$F$512,L246),""))</f>
      </c>
      <c r="G246" s="39">
        <f>IF(B246="","",IF(OR(M246=0,N246&gt;0,O246&gt;0),"",SUMIFS('PEGAR'!$M$13:$M$512,'PEGAR'!$O$13:$O$512,B246)))</f>
      </c>
      <c r="H246" s="39">
        <f>IF(AND(ISNUMBER(F246),ISNUMBER(G246)),G246-F246,"")</f>
      </c>
      <c r="I246" s="27">
        <f>IF(B246="","",IF(W246=2,"ROJO",IF(W246=1,"ÁMBAR","VERDE")))</f>
      </c>
      <c r="J246" s="30">
        <f>IF(B246="","",IF(W246=0,"Sin avisos numéricos. Revisamos el alcance aparte.",IF(L246=0,"Faltan datos completos de partida; no elegimos un total por suposición."&amp;CHAR(10),"")&amp;IF(N246&gt;0,"Hay filas incompletas o contradictorias; las revisamos en PEGAR."&amp;CHAR(10),"")&amp;IF(O246&gt;0,"Faltan las medidas de alguna fila; no cerramos la suma."&amp;CHAR(10),"")&amp;IF(M246=0,"No constan líneas de medición."&amp;CHAR(10),"")&amp;IF(IF(ISNUMBER(H246),ROUND(ABS(H246),8)&gt;$F$6,FALSE),"Las líneas difieren del total en más de 0,01; confirmamos cantidad o exclusión."&amp;CHAR(10),"")&amp;IF(P246&gt;0,"Parece m³: encontramos tres dimensiones bajo m²."&amp;CHAR(10),"")&amp;IF(R246&gt;0,"Código repetido dentro del capítulo; mantenemos sus ID separados."&amp;CHAR(10),"")&amp;IF(S246&gt;0,"Código repetido en otro capítulo; no unimos las partidas."&amp;CHAR(10),"")&amp;IF(T246&gt;0,"Mismo código con unidades distintas; pedimos aclaración."&amp;CHAR(10),"")&amp;IF(Q246&gt;0,"Hay más precisión que los decimales indicados; cotejamos el formato original."&amp;CHAR(10),"")&amp;IF(U246&gt;0,"Unidad sin normalizar; cotejamos su significado antes de sumar unidades."&amp;CHAR(10),"")&amp;IF(V246&gt;0,"Revisamos dimensiones, cantidades directas, ceros o deducciones en PEGAR."&amp;CHAR(10),"")))</f>
      </c>
      <c r="K246" s="0">
        <f>IF(234&gt;'RESUMEN'!$E$6,"",MATCH(234,'PEGAR'!$W$13:$W$512,0))</f>
      </c>
      <c r="L246" s="0">
        <f>IF(K246="","",INDEX('PEGAR'!$R$13:$R$512,K246))</f>
      </c>
      <c r="M246" s="0">
        <f>IF(B246="","",COUNTIFS('PEGAR'!$O$13:$O$512,B246,'PEGAR'!$P$13:$P$512,"DIMENSIONES")+COUNTIFS('PEGAR'!$O$13:$O$512,B246,'PEGAR'!$P$13:$P$512,"DIRECTA"))</f>
      </c>
      <c r="N246" s="0">
        <f>IF(B246="","",COUNTIFS('PEGAR'!$O$13:$O$512,B246,'PEGAR'!$X$13:$X$512,2))</f>
      </c>
      <c r="O246" s="0">
        <f>IF(B246="","",COUNTIFS('PEGAR'!$O$13:$O$512,B246,'PEGAR'!$P$13:$P$512,"SIN LÍNEAS"))</f>
      </c>
      <c r="P246" s="0">
        <f>IF(B246="","",SUMIFS('PEGAR'!$Y$13:$Y$512,'PEGAR'!$O$13:$O$512,B246))</f>
      </c>
      <c r="Q246" s="0">
        <f>IF(B246="","",SUMIFS('PEGAR'!$Z$13:$Z$512,'PEGAR'!$O$13:$O$512,B246))</f>
      </c>
      <c r="R246" s="0" t="n">
        <f>IF(OR(B246="",D246=""),0,SUMPRODUCT(--($B$13:$B$512&lt;&gt;""),--($D$13:$D$512=D246),--($C$13:$C$512=C246))-1)</f>
        <v>0</v>
      </c>
      <c r="S246" s="0" t="n">
        <f>IF(OR(B246="",D246=""),0,SUMPRODUCT(--($B$13:$B$512&lt;&gt;""),--($D$13:$D$512=D246),--($C$13:$C$512&lt;&gt;C246)))</f>
        <v>0</v>
      </c>
      <c r="T246" s="0" t="n">
        <f>IF(OR(B246="",D246=""),0,SUMPRODUCT(--($B$13:$B$512&lt;&gt;""),--($D$13:$D$512=D246),--($E$13:$E$512&lt;&gt;E246)))</f>
        <v>0</v>
      </c>
      <c r="U246" s="0" t="n">
        <f>IF(B246="",0,IF(SUMPRODUCT(--('LÉEME'!$C$65:$C$86=E246))=0,1,0))</f>
        <v>0</v>
      </c>
      <c r="V246" s="0">
        <f>IF(B246="","",SUMIFS('PEGAR'!$AA$13:$AA$512,'PEGAR'!$O$13:$O$512,B246))</f>
      </c>
      <c r="W246" s="0">
        <f>IF(B246="","",IF(OR(L246=0,N246&gt;0,T246&gt;0,IF(ISNUMBER(H246),ROUND(ABS(H246),8)&gt;$F$6,FALSE)),2,IF(OR(M246=0,O246&gt;0,P246&gt;0,Q246&gt;0,R246&gt;0,S246&gt;0,U246&gt;0,V246&gt;0),1,0)))</f>
      </c>
      <c r="X246" s="0">
        <f>IF(B246="","",IF(ISNUMBER(G246),1,0))</f>
      </c>
      <c r="AB246" s="0">
        <f>IF(AND(ISNUMBER(W246),W246&gt;0),"ID "&amp;B246,"")</f>
      </c>
      <c r="AC246" s="0">
        <f>IF(AND(ISNUMBER(W246),W246&gt;0),C246,"")</f>
      </c>
      <c r="AD246" s="0">
        <f>IF(AND(ISNUMBER(W246),W246&gt;0),D246,"")</f>
      </c>
      <c r="AE246" s="0">
        <f>IF(AND(ISNUMBER(W246),W246&gt;0),IF(INDEX('PEGAR'!$D$13:$D$512,IF(L246&gt;0,L246,K246))="","Sin descripción",INDEX('PEGAR'!$D$13:$D$512,IF(L246&gt;0,L246,K246))),"")</f>
      </c>
      <c r="AF246" s="0">
        <f>IF(AND(ISNUMBER(W246),W246&gt;0),J246,"")</f>
      </c>
      <c r="AG246" s="0" t="n">
        <f>IF(AND(ISNUMBER(W246),W246&gt;0),W246,0)</f>
        <v>0</v>
      </c>
      <c r="AH246" s="0">
        <f>IF(AG246&gt;0,COUNTIFS($AG$13:AG246,"&gt;0"),"")</f>
      </c>
    </row>
    <row r="247" ht="22" customHeight="1">
      <c r="B247" s="27">
        <f>IF(K247="","",INDEX('PEGAR'!$O$13:$O$512,K247))</f>
      </c>
      <c r="C247" s="30">
        <f>IF(B247="","",IF(LEN(TRIM(INDEX('PEGAR'!$B$13:$B$512,IF(L247&gt;0,L247,K247))&amp;""))=0,"Sin capítulo",TRIM(INDEX('PEGAR'!$B$13:$B$512,IF(L247&gt;0,L247,K247))&amp;"")))</f>
      </c>
      <c r="D247" s="27">
        <f>IF(B247="","",IF(LEN(TRIM(INDEX('PEGAR'!$C$13:$C$512,IF(L247&gt;0,L247,K247))&amp;""))=0,"",TRIM(INDEX('PEGAR'!$C$13:$C$512,IF(L247&gt;0,L247,K247))&amp;"")))</f>
      </c>
      <c r="E247" s="27">
        <f>IF(B247="","",INDEX('PEGAR'!$S$13:$S$512,IF(L247&gt;0,L247,K247)))</f>
      </c>
      <c r="F247" s="39">
        <f>IF(B247="","",IF(L247&gt;0,INDEX('PEGAR'!$F$13:$F$512,L247),""))</f>
      </c>
      <c r="G247" s="39">
        <f>IF(B247="","",IF(OR(M247=0,N247&gt;0,O247&gt;0),"",SUMIFS('PEGAR'!$M$13:$M$512,'PEGAR'!$O$13:$O$512,B247)))</f>
      </c>
      <c r="H247" s="39">
        <f>IF(AND(ISNUMBER(F247),ISNUMBER(G247)),G247-F247,"")</f>
      </c>
      <c r="I247" s="27">
        <f>IF(B247="","",IF(W247=2,"ROJO",IF(W247=1,"ÁMBAR","VERDE")))</f>
      </c>
      <c r="J247" s="30">
        <f>IF(B247="","",IF(W247=0,"Sin avisos numéricos. Revisamos el alcance aparte.",IF(L247=0,"Faltan datos completos de partida; no elegimos un total por suposición."&amp;CHAR(10),"")&amp;IF(N247&gt;0,"Hay filas incompletas o contradictorias; las revisamos en PEGAR."&amp;CHAR(10),"")&amp;IF(O247&gt;0,"Faltan las medidas de alguna fila; no cerramos la suma."&amp;CHAR(10),"")&amp;IF(M247=0,"No constan líneas de medición."&amp;CHAR(10),"")&amp;IF(IF(ISNUMBER(H247),ROUND(ABS(H247),8)&gt;$F$6,FALSE),"Las líneas difieren del total en más de 0,01; confirmamos cantidad o exclusión."&amp;CHAR(10),"")&amp;IF(P247&gt;0,"Parece m³: encontramos tres dimensiones bajo m²."&amp;CHAR(10),"")&amp;IF(R247&gt;0,"Código repetido dentro del capítulo; mantenemos sus ID separados."&amp;CHAR(10),"")&amp;IF(S247&gt;0,"Código repetido en otro capítulo; no unimos las partidas."&amp;CHAR(10),"")&amp;IF(T247&gt;0,"Mismo código con unidades distintas; pedimos aclaración."&amp;CHAR(10),"")&amp;IF(Q247&gt;0,"Hay más precisión que los decimales indicados; cotejamos el formato original."&amp;CHAR(10),"")&amp;IF(U247&gt;0,"Unidad sin normalizar; cotejamos su significado antes de sumar unidades."&amp;CHAR(10),"")&amp;IF(V247&gt;0,"Revisamos dimensiones, cantidades directas, ceros o deducciones en PEGAR."&amp;CHAR(10),"")))</f>
      </c>
      <c r="K247" s="0">
        <f>IF(235&gt;'RESUMEN'!$E$6,"",MATCH(235,'PEGAR'!$W$13:$W$512,0))</f>
      </c>
      <c r="L247" s="0">
        <f>IF(K247="","",INDEX('PEGAR'!$R$13:$R$512,K247))</f>
      </c>
      <c r="M247" s="0">
        <f>IF(B247="","",COUNTIFS('PEGAR'!$O$13:$O$512,B247,'PEGAR'!$P$13:$P$512,"DIMENSIONES")+COUNTIFS('PEGAR'!$O$13:$O$512,B247,'PEGAR'!$P$13:$P$512,"DIRECTA"))</f>
      </c>
      <c r="N247" s="0">
        <f>IF(B247="","",COUNTIFS('PEGAR'!$O$13:$O$512,B247,'PEGAR'!$X$13:$X$512,2))</f>
      </c>
      <c r="O247" s="0">
        <f>IF(B247="","",COUNTIFS('PEGAR'!$O$13:$O$512,B247,'PEGAR'!$P$13:$P$512,"SIN LÍNEAS"))</f>
      </c>
      <c r="P247" s="0">
        <f>IF(B247="","",SUMIFS('PEGAR'!$Y$13:$Y$512,'PEGAR'!$O$13:$O$512,B247))</f>
      </c>
      <c r="Q247" s="0">
        <f>IF(B247="","",SUMIFS('PEGAR'!$Z$13:$Z$512,'PEGAR'!$O$13:$O$512,B247))</f>
      </c>
      <c r="R247" s="0" t="n">
        <f>IF(OR(B247="",D247=""),0,SUMPRODUCT(--($B$13:$B$512&lt;&gt;""),--($D$13:$D$512=D247),--($C$13:$C$512=C247))-1)</f>
        <v>0</v>
      </c>
      <c r="S247" s="0" t="n">
        <f>IF(OR(B247="",D247=""),0,SUMPRODUCT(--($B$13:$B$512&lt;&gt;""),--($D$13:$D$512=D247),--($C$13:$C$512&lt;&gt;C247)))</f>
        <v>0</v>
      </c>
      <c r="T247" s="0" t="n">
        <f>IF(OR(B247="",D247=""),0,SUMPRODUCT(--($B$13:$B$512&lt;&gt;""),--($D$13:$D$512=D247),--($E$13:$E$512&lt;&gt;E247)))</f>
        <v>0</v>
      </c>
      <c r="U247" s="0" t="n">
        <f>IF(B247="",0,IF(SUMPRODUCT(--('LÉEME'!$C$65:$C$86=E247))=0,1,0))</f>
        <v>0</v>
      </c>
      <c r="V247" s="0">
        <f>IF(B247="","",SUMIFS('PEGAR'!$AA$13:$AA$512,'PEGAR'!$O$13:$O$512,B247))</f>
      </c>
      <c r="W247" s="0">
        <f>IF(B247="","",IF(OR(L247=0,N247&gt;0,T247&gt;0,IF(ISNUMBER(H247),ROUND(ABS(H247),8)&gt;$F$6,FALSE)),2,IF(OR(M247=0,O247&gt;0,P247&gt;0,Q247&gt;0,R247&gt;0,S247&gt;0,U247&gt;0,V247&gt;0),1,0)))</f>
      </c>
      <c r="X247" s="0">
        <f>IF(B247="","",IF(ISNUMBER(G247),1,0))</f>
      </c>
      <c r="AB247" s="0">
        <f>IF(AND(ISNUMBER(W247),W247&gt;0),"ID "&amp;B247,"")</f>
      </c>
      <c r="AC247" s="0">
        <f>IF(AND(ISNUMBER(W247),W247&gt;0),C247,"")</f>
      </c>
      <c r="AD247" s="0">
        <f>IF(AND(ISNUMBER(W247),W247&gt;0),D247,"")</f>
      </c>
      <c r="AE247" s="0">
        <f>IF(AND(ISNUMBER(W247),W247&gt;0),IF(INDEX('PEGAR'!$D$13:$D$512,IF(L247&gt;0,L247,K247))="","Sin descripción",INDEX('PEGAR'!$D$13:$D$512,IF(L247&gt;0,L247,K247))),"")</f>
      </c>
      <c r="AF247" s="0">
        <f>IF(AND(ISNUMBER(W247),W247&gt;0),J247,"")</f>
      </c>
      <c r="AG247" s="0" t="n">
        <f>IF(AND(ISNUMBER(W247),W247&gt;0),W247,0)</f>
        <v>0</v>
      </c>
      <c r="AH247" s="0">
        <f>IF(AG247&gt;0,COUNTIFS($AG$13:AG247,"&gt;0"),"")</f>
      </c>
    </row>
    <row r="248" ht="22" customHeight="1">
      <c r="B248" s="27">
        <f>IF(K248="","",INDEX('PEGAR'!$O$13:$O$512,K248))</f>
      </c>
      <c r="C248" s="30">
        <f>IF(B248="","",IF(LEN(TRIM(INDEX('PEGAR'!$B$13:$B$512,IF(L248&gt;0,L248,K248))&amp;""))=0,"Sin capítulo",TRIM(INDEX('PEGAR'!$B$13:$B$512,IF(L248&gt;0,L248,K248))&amp;"")))</f>
      </c>
      <c r="D248" s="27">
        <f>IF(B248="","",IF(LEN(TRIM(INDEX('PEGAR'!$C$13:$C$512,IF(L248&gt;0,L248,K248))&amp;""))=0,"",TRIM(INDEX('PEGAR'!$C$13:$C$512,IF(L248&gt;0,L248,K248))&amp;"")))</f>
      </c>
      <c r="E248" s="27">
        <f>IF(B248="","",INDEX('PEGAR'!$S$13:$S$512,IF(L248&gt;0,L248,K248)))</f>
      </c>
      <c r="F248" s="39">
        <f>IF(B248="","",IF(L248&gt;0,INDEX('PEGAR'!$F$13:$F$512,L248),""))</f>
      </c>
      <c r="G248" s="39">
        <f>IF(B248="","",IF(OR(M248=0,N248&gt;0,O248&gt;0),"",SUMIFS('PEGAR'!$M$13:$M$512,'PEGAR'!$O$13:$O$512,B248)))</f>
      </c>
      <c r="H248" s="39">
        <f>IF(AND(ISNUMBER(F248),ISNUMBER(G248)),G248-F248,"")</f>
      </c>
      <c r="I248" s="27">
        <f>IF(B248="","",IF(W248=2,"ROJO",IF(W248=1,"ÁMBAR","VERDE")))</f>
      </c>
      <c r="J248" s="30">
        <f>IF(B248="","",IF(W248=0,"Sin avisos numéricos. Revisamos el alcance aparte.",IF(L248=0,"Faltan datos completos de partida; no elegimos un total por suposición."&amp;CHAR(10),"")&amp;IF(N248&gt;0,"Hay filas incompletas o contradictorias; las revisamos en PEGAR."&amp;CHAR(10),"")&amp;IF(O248&gt;0,"Faltan las medidas de alguna fila; no cerramos la suma."&amp;CHAR(10),"")&amp;IF(M248=0,"No constan líneas de medición."&amp;CHAR(10),"")&amp;IF(IF(ISNUMBER(H248),ROUND(ABS(H248),8)&gt;$F$6,FALSE),"Las líneas difieren del total en más de 0,01; confirmamos cantidad o exclusión."&amp;CHAR(10),"")&amp;IF(P248&gt;0,"Parece m³: encontramos tres dimensiones bajo m²."&amp;CHAR(10),"")&amp;IF(R248&gt;0,"Código repetido dentro del capítulo; mantenemos sus ID separados."&amp;CHAR(10),"")&amp;IF(S248&gt;0,"Código repetido en otro capítulo; no unimos las partidas."&amp;CHAR(10),"")&amp;IF(T248&gt;0,"Mismo código con unidades distintas; pedimos aclaración."&amp;CHAR(10),"")&amp;IF(Q248&gt;0,"Hay más precisión que los decimales indicados; cotejamos el formato original."&amp;CHAR(10),"")&amp;IF(U248&gt;0,"Unidad sin normalizar; cotejamos su significado antes de sumar unidades."&amp;CHAR(10),"")&amp;IF(V248&gt;0,"Revisamos dimensiones, cantidades directas, ceros o deducciones en PEGAR."&amp;CHAR(10),"")))</f>
      </c>
      <c r="K248" s="0">
        <f>IF(236&gt;'RESUMEN'!$E$6,"",MATCH(236,'PEGAR'!$W$13:$W$512,0))</f>
      </c>
      <c r="L248" s="0">
        <f>IF(K248="","",INDEX('PEGAR'!$R$13:$R$512,K248))</f>
      </c>
      <c r="M248" s="0">
        <f>IF(B248="","",COUNTIFS('PEGAR'!$O$13:$O$512,B248,'PEGAR'!$P$13:$P$512,"DIMENSIONES")+COUNTIFS('PEGAR'!$O$13:$O$512,B248,'PEGAR'!$P$13:$P$512,"DIRECTA"))</f>
      </c>
      <c r="N248" s="0">
        <f>IF(B248="","",COUNTIFS('PEGAR'!$O$13:$O$512,B248,'PEGAR'!$X$13:$X$512,2))</f>
      </c>
      <c r="O248" s="0">
        <f>IF(B248="","",COUNTIFS('PEGAR'!$O$13:$O$512,B248,'PEGAR'!$P$13:$P$512,"SIN LÍNEAS"))</f>
      </c>
      <c r="P248" s="0">
        <f>IF(B248="","",SUMIFS('PEGAR'!$Y$13:$Y$512,'PEGAR'!$O$13:$O$512,B248))</f>
      </c>
      <c r="Q248" s="0">
        <f>IF(B248="","",SUMIFS('PEGAR'!$Z$13:$Z$512,'PEGAR'!$O$13:$O$512,B248))</f>
      </c>
      <c r="R248" s="0" t="n">
        <f>IF(OR(B248="",D248=""),0,SUMPRODUCT(--($B$13:$B$512&lt;&gt;""),--($D$13:$D$512=D248),--($C$13:$C$512=C248))-1)</f>
        <v>0</v>
      </c>
      <c r="S248" s="0" t="n">
        <f>IF(OR(B248="",D248=""),0,SUMPRODUCT(--($B$13:$B$512&lt;&gt;""),--($D$13:$D$512=D248),--($C$13:$C$512&lt;&gt;C248)))</f>
        <v>0</v>
      </c>
      <c r="T248" s="0" t="n">
        <f>IF(OR(B248="",D248=""),0,SUMPRODUCT(--($B$13:$B$512&lt;&gt;""),--($D$13:$D$512=D248),--($E$13:$E$512&lt;&gt;E248)))</f>
        <v>0</v>
      </c>
      <c r="U248" s="0" t="n">
        <f>IF(B248="",0,IF(SUMPRODUCT(--('LÉEME'!$C$65:$C$86=E248))=0,1,0))</f>
        <v>0</v>
      </c>
      <c r="V248" s="0">
        <f>IF(B248="","",SUMIFS('PEGAR'!$AA$13:$AA$512,'PEGAR'!$O$13:$O$512,B248))</f>
      </c>
      <c r="W248" s="0">
        <f>IF(B248="","",IF(OR(L248=0,N248&gt;0,T248&gt;0,IF(ISNUMBER(H248),ROUND(ABS(H248),8)&gt;$F$6,FALSE)),2,IF(OR(M248=0,O248&gt;0,P248&gt;0,Q248&gt;0,R248&gt;0,S248&gt;0,U248&gt;0,V248&gt;0),1,0)))</f>
      </c>
      <c r="X248" s="0">
        <f>IF(B248="","",IF(ISNUMBER(G248),1,0))</f>
      </c>
      <c r="AB248" s="0">
        <f>IF(AND(ISNUMBER(W248),W248&gt;0),"ID "&amp;B248,"")</f>
      </c>
      <c r="AC248" s="0">
        <f>IF(AND(ISNUMBER(W248),W248&gt;0),C248,"")</f>
      </c>
      <c r="AD248" s="0">
        <f>IF(AND(ISNUMBER(W248),W248&gt;0),D248,"")</f>
      </c>
      <c r="AE248" s="0">
        <f>IF(AND(ISNUMBER(W248),W248&gt;0),IF(INDEX('PEGAR'!$D$13:$D$512,IF(L248&gt;0,L248,K248))="","Sin descripción",INDEX('PEGAR'!$D$13:$D$512,IF(L248&gt;0,L248,K248))),"")</f>
      </c>
      <c r="AF248" s="0">
        <f>IF(AND(ISNUMBER(W248),W248&gt;0),J248,"")</f>
      </c>
      <c r="AG248" s="0" t="n">
        <f>IF(AND(ISNUMBER(W248),W248&gt;0),W248,0)</f>
        <v>0</v>
      </c>
      <c r="AH248" s="0">
        <f>IF(AG248&gt;0,COUNTIFS($AG$13:AG248,"&gt;0"),"")</f>
      </c>
    </row>
    <row r="249" ht="22" customHeight="1">
      <c r="B249" s="27">
        <f>IF(K249="","",INDEX('PEGAR'!$O$13:$O$512,K249))</f>
      </c>
      <c r="C249" s="30">
        <f>IF(B249="","",IF(LEN(TRIM(INDEX('PEGAR'!$B$13:$B$512,IF(L249&gt;0,L249,K249))&amp;""))=0,"Sin capítulo",TRIM(INDEX('PEGAR'!$B$13:$B$512,IF(L249&gt;0,L249,K249))&amp;"")))</f>
      </c>
      <c r="D249" s="27">
        <f>IF(B249="","",IF(LEN(TRIM(INDEX('PEGAR'!$C$13:$C$512,IF(L249&gt;0,L249,K249))&amp;""))=0,"",TRIM(INDEX('PEGAR'!$C$13:$C$512,IF(L249&gt;0,L249,K249))&amp;"")))</f>
      </c>
      <c r="E249" s="27">
        <f>IF(B249="","",INDEX('PEGAR'!$S$13:$S$512,IF(L249&gt;0,L249,K249)))</f>
      </c>
      <c r="F249" s="39">
        <f>IF(B249="","",IF(L249&gt;0,INDEX('PEGAR'!$F$13:$F$512,L249),""))</f>
      </c>
      <c r="G249" s="39">
        <f>IF(B249="","",IF(OR(M249=0,N249&gt;0,O249&gt;0),"",SUMIFS('PEGAR'!$M$13:$M$512,'PEGAR'!$O$13:$O$512,B249)))</f>
      </c>
      <c r="H249" s="39">
        <f>IF(AND(ISNUMBER(F249),ISNUMBER(G249)),G249-F249,"")</f>
      </c>
      <c r="I249" s="27">
        <f>IF(B249="","",IF(W249=2,"ROJO",IF(W249=1,"ÁMBAR","VERDE")))</f>
      </c>
      <c r="J249" s="30">
        <f>IF(B249="","",IF(W249=0,"Sin avisos numéricos. Revisamos el alcance aparte.",IF(L249=0,"Faltan datos completos de partida; no elegimos un total por suposición."&amp;CHAR(10),"")&amp;IF(N249&gt;0,"Hay filas incompletas o contradictorias; las revisamos en PEGAR."&amp;CHAR(10),"")&amp;IF(O249&gt;0,"Faltan las medidas de alguna fila; no cerramos la suma."&amp;CHAR(10),"")&amp;IF(M249=0,"No constan líneas de medición."&amp;CHAR(10),"")&amp;IF(IF(ISNUMBER(H249),ROUND(ABS(H249),8)&gt;$F$6,FALSE),"Las líneas difieren del total en más de 0,01; confirmamos cantidad o exclusión."&amp;CHAR(10),"")&amp;IF(P249&gt;0,"Parece m³: encontramos tres dimensiones bajo m²."&amp;CHAR(10),"")&amp;IF(R249&gt;0,"Código repetido dentro del capítulo; mantenemos sus ID separados."&amp;CHAR(10),"")&amp;IF(S249&gt;0,"Código repetido en otro capítulo; no unimos las partidas."&amp;CHAR(10),"")&amp;IF(T249&gt;0,"Mismo código con unidades distintas; pedimos aclaración."&amp;CHAR(10),"")&amp;IF(Q249&gt;0,"Hay más precisión que los decimales indicados; cotejamos el formato original."&amp;CHAR(10),"")&amp;IF(U249&gt;0,"Unidad sin normalizar; cotejamos su significado antes de sumar unidades."&amp;CHAR(10),"")&amp;IF(V249&gt;0,"Revisamos dimensiones, cantidades directas, ceros o deducciones en PEGAR."&amp;CHAR(10),"")))</f>
      </c>
      <c r="K249" s="0">
        <f>IF(237&gt;'RESUMEN'!$E$6,"",MATCH(237,'PEGAR'!$W$13:$W$512,0))</f>
      </c>
      <c r="L249" s="0">
        <f>IF(K249="","",INDEX('PEGAR'!$R$13:$R$512,K249))</f>
      </c>
      <c r="M249" s="0">
        <f>IF(B249="","",COUNTIFS('PEGAR'!$O$13:$O$512,B249,'PEGAR'!$P$13:$P$512,"DIMENSIONES")+COUNTIFS('PEGAR'!$O$13:$O$512,B249,'PEGAR'!$P$13:$P$512,"DIRECTA"))</f>
      </c>
      <c r="N249" s="0">
        <f>IF(B249="","",COUNTIFS('PEGAR'!$O$13:$O$512,B249,'PEGAR'!$X$13:$X$512,2))</f>
      </c>
      <c r="O249" s="0">
        <f>IF(B249="","",COUNTIFS('PEGAR'!$O$13:$O$512,B249,'PEGAR'!$P$13:$P$512,"SIN LÍNEAS"))</f>
      </c>
      <c r="P249" s="0">
        <f>IF(B249="","",SUMIFS('PEGAR'!$Y$13:$Y$512,'PEGAR'!$O$13:$O$512,B249))</f>
      </c>
      <c r="Q249" s="0">
        <f>IF(B249="","",SUMIFS('PEGAR'!$Z$13:$Z$512,'PEGAR'!$O$13:$O$512,B249))</f>
      </c>
      <c r="R249" s="0" t="n">
        <f>IF(OR(B249="",D249=""),0,SUMPRODUCT(--($B$13:$B$512&lt;&gt;""),--($D$13:$D$512=D249),--($C$13:$C$512=C249))-1)</f>
        <v>0</v>
      </c>
      <c r="S249" s="0" t="n">
        <f>IF(OR(B249="",D249=""),0,SUMPRODUCT(--($B$13:$B$512&lt;&gt;""),--($D$13:$D$512=D249),--($C$13:$C$512&lt;&gt;C249)))</f>
        <v>0</v>
      </c>
      <c r="T249" s="0" t="n">
        <f>IF(OR(B249="",D249=""),0,SUMPRODUCT(--($B$13:$B$512&lt;&gt;""),--($D$13:$D$512=D249),--($E$13:$E$512&lt;&gt;E249)))</f>
        <v>0</v>
      </c>
      <c r="U249" s="0" t="n">
        <f>IF(B249="",0,IF(SUMPRODUCT(--('LÉEME'!$C$65:$C$86=E249))=0,1,0))</f>
        <v>0</v>
      </c>
      <c r="V249" s="0">
        <f>IF(B249="","",SUMIFS('PEGAR'!$AA$13:$AA$512,'PEGAR'!$O$13:$O$512,B249))</f>
      </c>
      <c r="W249" s="0">
        <f>IF(B249="","",IF(OR(L249=0,N249&gt;0,T249&gt;0,IF(ISNUMBER(H249),ROUND(ABS(H249),8)&gt;$F$6,FALSE)),2,IF(OR(M249=0,O249&gt;0,P249&gt;0,Q249&gt;0,R249&gt;0,S249&gt;0,U249&gt;0,V249&gt;0),1,0)))</f>
      </c>
      <c r="X249" s="0">
        <f>IF(B249="","",IF(ISNUMBER(G249),1,0))</f>
      </c>
      <c r="AB249" s="0">
        <f>IF(AND(ISNUMBER(W249),W249&gt;0),"ID "&amp;B249,"")</f>
      </c>
      <c r="AC249" s="0">
        <f>IF(AND(ISNUMBER(W249),W249&gt;0),C249,"")</f>
      </c>
      <c r="AD249" s="0">
        <f>IF(AND(ISNUMBER(W249),W249&gt;0),D249,"")</f>
      </c>
      <c r="AE249" s="0">
        <f>IF(AND(ISNUMBER(W249),W249&gt;0),IF(INDEX('PEGAR'!$D$13:$D$512,IF(L249&gt;0,L249,K249))="","Sin descripción",INDEX('PEGAR'!$D$13:$D$512,IF(L249&gt;0,L249,K249))),"")</f>
      </c>
      <c r="AF249" s="0">
        <f>IF(AND(ISNUMBER(W249),W249&gt;0),J249,"")</f>
      </c>
      <c r="AG249" s="0" t="n">
        <f>IF(AND(ISNUMBER(W249),W249&gt;0),W249,0)</f>
        <v>0</v>
      </c>
      <c r="AH249" s="0">
        <f>IF(AG249&gt;0,COUNTIFS($AG$13:AG249,"&gt;0"),"")</f>
      </c>
    </row>
    <row r="250" ht="22" customHeight="1">
      <c r="B250" s="27">
        <f>IF(K250="","",INDEX('PEGAR'!$O$13:$O$512,K250))</f>
      </c>
      <c r="C250" s="30">
        <f>IF(B250="","",IF(LEN(TRIM(INDEX('PEGAR'!$B$13:$B$512,IF(L250&gt;0,L250,K250))&amp;""))=0,"Sin capítulo",TRIM(INDEX('PEGAR'!$B$13:$B$512,IF(L250&gt;0,L250,K250))&amp;"")))</f>
      </c>
      <c r="D250" s="27">
        <f>IF(B250="","",IF(LEN(TRIM(INDEX('PEGAR'!$C$13:$C$512,IF(L250&gt;0,L250,K250))&amp;""))=0,"",TRIM(INDEX('PEGAR'!$C$13:$C$512,IF(L250&gt;0,L250,K250))&amp;"")))</f>
      </c>
      <c r="E250" s="27">
        <f>IF(B250="","",INDEX('PEGAR'!$S$13:$S$512,IF(L250&gt;0,L250,K250)))</f>
      </c>
      <c r="F250" s="39">
        <f>IF(B250="","",IF(L250&gt;0,INDEX('PEGAR'!$F$13:$F$512,L250),""))</f>
      </c>
      <c r="G250" s="39">
        <f>IF(B250="","",IF(OR(M250=0,N250&gt;0,O250&gt;0),"",SUMIFS('PEGAR'!$M$13:$M$512,'PEGAR'!$O$13:$O$512,B250)))</f>
      </c>
      <c r="H250" s="39">
        <f>IF(AND(ISNUMBER(F250),ISNUMBER(G250)),G250-F250,"")</f>
      </c>
      <c r="I250" s="27">
        <f>IF(B250="","",IF(W250=2,"ROJO",IF(W250=1,"ÁMBAR","VERDE")))</f>
      </c>
      <c r="J250" s="30">
        <f>IF(B250="","",IF(W250=0,"Sin avisos numéricos. Revisamos el alcance aparte.",IF(L250=0,"Faltan datos completos de partida; no elegimos un total por suposición."&amp;CHAR(10),"")&amp;IF(N250&gt;0,"Hay filas incompletas o contradictorias; las revisamos en PEGAR."&amp;CHAR(10),"")&amp;IF(O250&gt;0,"Faltan las medidas de alguna fila; no cerramos la suma."&amp;CHAR(10),"")&amp;IF(M250=0,"No constan líneas de medición."&amp;CHAR(10),"")&amp;IF(IF(ISNUMBER(H250),ROUND(ABS(H250),8)&gt;$F$6,FALSE),"Las líneas difieren del total en más de 0,01; confirmamos cantidad o exclusión."&amp;CHAR(10),"")&amp;IF(P250&gt;0,"Parece m³: encontramos tres dimensiones bajo m²."&amp;CHAR(10),"")&amp;IF(R250&gt;0,"Código repetido dentro del capítulo; mantenemos sus ID separados."&amp;CHAR(10),"")&amp;IF(S250&gt;0,"Código repetido en otro capítulo; no unimos las partidas."&amp;CHAR(10),"")&amp;IF(T250&gt;0,"Mismo código con unidades distintas; pedimos aclaración."&amp;CHAR(10),"")&amp;IF(Q250&gt;0,"Hay más precisión que los decimales indicados; cotejamos el formato original."&amp;CHAR(10),"")&amp;IF(U250&gt;0,"Unidad sin normalizar; cotejamos su significado antes de sumar unidades."&amp;CHAR(10),"")&amp;IF(V250&gt;0,"Revisamos dimensiones, cantidades directas, ceros o deducciones en PEGAR."&amp;CHAR(10),"")))</f>
      </c>
      <c r="K250" s="0">
        <f>IF(238&gt;'RESUMEN'!$E$6,"",MATCH(238,'PEGAR'!$W$13:$W$512,0))</f>
      </c>
      <c r="L250" s="0">
        <f>IF(K250="","",INDEX('PEGAR'!$R$13:$R$512,K250))</f>
      </c>
      <c r="M250" s="0">
        <f>IF(B250="","",COUNTIFS('PEGAR'!$O$13:$O$512,B250,'PEGAR'!$P$13:$P$512,"DIMENSIONES")+COUNTIFS('PEGAR'!$O$13:$O$512,B250,'PEGAR'!$P$13:$P$512,"DIRECTA"))</f>
      </c>
      <c r="N250" s="0">
        <f>IF(B250="","",COUNTIFS('PEGAR'!$O$13:$O$512,B250,'PEGAR'!$X$13:$X$512,2))</f>
      </c>
      <c r="O250" s="0">
        <f>IF(B250="","",COUNTIFS('PEGAR'!$O$13:$O$512,B250,'PEGAR'!$P$13:$P$512,"SIN LÍNEAS"))</f>
      </c>
      <c r="P250" s="0">
        <f>IF(B250="","",SUMIFS('PEGAR'!$Y$13:$Y$512,'PEGAR'!$O$13:$O$512,B250))</f>
      </c>
      <c r="Q250" s="0">
        <f>IF(B250="","",SUMIFS('PEGAR'!$Z$13:$Z$512,'PEGAR'!$O$13:$O$512,B250))</f>
      </c>
      <c r="R250" s="0" t="n">
        <f>IF(OR(B250="",D250=""),0,SUMPRODUCT(--($B$13:$B$512&lt;&gt;""),--($D$13:$D$512=D250),--($C$13:$C$512=C250))-1)</f>
        <v>0</v>
      </c>
      <c r="S250" s="0" t="n">
        <f>IF(OR(B250="",D250=""),0,SUMPRODUCT(--($B$13:$B$512&lt;&gt;""),--($D$13:$D$512=D250),--($C$13:$C$512&lt;&gt;C250)))</f>
        <v>0</v>
      </c>
      <c r="T250" s="0" t="n">
        <f>IF(OR(B250="",D250=""),0,SUMPRODUCT(--($B$13:$B$512&lt;&gt;""),--($D$13:$D$512=D250),--($E$13:$E$512&lt;&gt;E250)))</f>
        <v>0</v>
      </c>
      <c r="U250" s="0" t="n">
        <f>IF(B250="",0,IF(SUMPRODUCT(--('LÉEME'!$C$65:$C$86=E250))=0,1,0))</f>
        <v>0</v>
      </c>
      <c r="V250" s="0">
        <f>IF(B250="","",SUMIFS('PEGAR'!$AA$13:$AA$512,'PEGAR'!$O$13:$O$512,B250))</f>
      </c>
      <c r="W250" s="0">
        <f>IF(B250="","",IF(OR(L250=0,N250&gt;0,T250&gt;0,IF(ISNUMBER(H250),ROUND(ABS(H250),8)&gt;$F$6,FALSE)),2,IF(OR(M250=0,O250&gt;0,P250&gt;0,Q250&gt;0,R250&gt;0,S250&gt;0,U250&gt;0,V250&gt;0),1,0)))</f>
      </c>
      <c r="X250" s="0">
        <f>IF(B250="","",IF(ISNUMBER(G250),1,0))</f>
      </c>
      <c r="AB250" s="0">
        <f>IF(AND(ISNUMBER(W250),W250&gt;0),"ID "&amp;B250,"")</f>
      </c>
      <c r="AC250" s="0">
        <f>IF(AND(ISNUMBER(W250),W250&gt;0),C250,"")</f>
      </c>
      <c r="AD250" s="0">
        <f>IF(AND(ISNUMBER(W250),W250&gt;0),D250,"")</f>
      </c>
      <c r="AE250" s="0">
        <f>IF(AND(ISNUMBER(W250),W250&gt;0),IF(INDEX('PEGAR'!$D$13:$D$512,IF(L250&gt;0,L250,K250))="","Sin descripción",INDEX('PEGAR'!$D$13:$D$512,IF(L250&gt;0,L250,K250))),"")</f>
      </c>
      <c r="AF250" s="0">
        <f>IF(AND(ISNUMBER(W250),W250&gt;0),J250,"")</f>
      </c>
      <c r="AG250" s="0" t="n">
        <f>IF(AND(ISNUMBER(W250),W250&gt;0),W250,0)</f>
        <v>0</v>
      </c>
      <c r="AH250" s="0">
        <f>IF(AG250&gt;0,COUNTIFS($AG$13:AG250,"&gt;0"),"")</f>
      </c>
    </row>
    <row r="251" ht="22" customHeight="1">
      <c r="B251" s="27">
        <f>IF(K251="","",INDEX('PEGAR'!$O$13:$O$512,K251))</f>
      </c>
      <c r="C251" s="30">
        <f>IF(B251="","",IF(LEN(TRIM(INDEX('PEGAR'!$B$13:$B$512,IF(L251&gt;0,L251,K251))&amp;""))=0,"Sin capítulo",TRIM(INDEX('PEGAR'!$B$13:$B$512,IF(L251&gt;0,L251,K251))&amp;"")))</f>
      </c>
      <c r="D251" s="27">
        <f>IF(B251="","",IF(LEN(TRIM(INDEX('PEGAR'!$C$13:$C$512,IF(L251&gt;0,L251,K251))&amp;""))=0,"",TRIM(INDEX('PEGAR'!$C$13:$C$512,IF(L251&gt;0,L251,K251))&amp;"")))</f>
      </c>
      <c r="E251" s="27">
        <f>IF(B251="","",INDEX('PEGAR'!$S$13:$S$512,IF(L251&gt;0,L251,K251)))</f>
      </c>
      <c r="F251" s="39">
        <f>IF(B251="","",IF(L251&gt;0,INDEX('PEGAR'!$F$13:$F$512,L251),""))</f>
      </c>
      <c r="G251" s="39">
        <f>IF(B251="","",IF(OR(M251=0,N251&gt;0,O251&gt;0),"",SUMIFS('PEGAR'!$M$13:$M$512,'PEGAR'!$O$13:$O$512,B251)))</f>
      </c>
      <c r="H251" s="39">
        <f>IF(AND(ISNUMBER(F251),ISNUMBER(G251)),G251-F251,"")</f>
      </c>
      <c r="I251" s="27">
        <f>IF(B251="","",IF(W251=2,"ROJO",IF(W251=1,"ÁMBAR","VERDE")))</f>
      </c>
      <c r="J251" s="30">
        <f>IF(B251="","",IF(W251=0,"Sin avisos numéricos. Revisamos el alcance aparte.",IF(L251=0,"Faltan datos completos de partida; no elegimos un total por suposición."&amp;CHAR(10),"")&amp;IF(N251&gt;0,"Hay filas incompletas o contradictorias; las revisamos en PEGAR."&amp;CHAR(10),"")&amp;IF(O251&gt;0,"Faltan las medidas de alguna fila; no cerramos la suma."&amp;CHAR(10),"")&amp;IF(M251=0,"No constan líneas de medición."&amp;CHAR(10),"")&amp;IF(IF(ISNUMBER(H251),ROUND(ABS(H251),8)&gt;$F$6,FALSE),"Las líneas difieren del total en más de 0,01; confirmamos cantidad o exclusión."&amp;CHAR(10),"")&amp;IF(P251&gt;0,"Parece m³: encontramos tres dimensiones bajo m²."&amp;CHAR(10),"")&amp;IF(R251&gt;0,"Código repetido dentro del capítulo; mantenemos sus ID separados."&amp;CHAR(10),"")&amp;IF(S251&gt;0,"Código repetido en otro capítulo; no unimos las partidas."&amp;CHAR(10),"")&amp;IF(T251&gt;0,"Mismo código con unidades distintas; pedimos aclaración."&amp;CHAR(10),"")&amp;IF(Q251&gt;0,"Hay más precisión que los decimales indicados; cotejamos el formato original."&amp;CHAR(10),"")&amp;IF(U251&gt;0,"Unidad sin normalizar; cotejamos su significado antes de sumar unidades."&amp;CHAR(10),"")&amp;IF(V251&gt;0,"Revisamos dimensiones, cantidades directas, ceros o deducciones en PEGAR."&amp;CHAR(10),"")))</f>
      </c>
      <c r="K251" s="0">
        <f>IF(239&gt;'RESUMEN'!$E$6,"",MATCH(239,'PEGAR'!$W$13:$W$512,0))</f>
      </c>
      <c r="L251" s="0">
        <f>IF(K251="","",INDEX('PEGAR'!$R$13:$R$512,K251))</f>
      </c>
      <c r="M251" s="0">
        <f>IF(B251="","",COUNTIFS('PEGAR'!$O$13:$O$512,B251,'PEGAR'!$P$13:$P$512,"DIMENSIONES")+COUNTIFS('PEGAR'!$O$13:$O$512,B251,'PEGAR'!$P$13:$P$512,"DIRECTA"))</f>
      </c>
      <c r="N251" s="0">
        <f>IF(B251="","",COUNTIFS('PEGAR'!$O$13:$O$512,B251,'PEGAR'!$X$13:$X$512,2))</f>
      </c>
      <c r="O251" s="0">
        <f>IF(B251="","",COUNTIFS('PEGAR'!$O$13:$O$512,B251,'PEGAR'!$P$13:$P$512,"SIN LÍNEAS"))</f>
      </c>
      <c r="P251" s="0">
        <f>IF(B251="","",SUMIFS('PEGAR'!$Y$13:$Y$512,'PEGAR'!$O$13:$O$512,B251))</f>
      </c>
      <c r="Q251" s="0">
        <f>IF(B251="","",SUMIFS('PEGAR'!$Z$13:$Z$512,'PEGAR'!$O$13:$O$512,B251))</f>
      </c>
      <c r="R251" s="0" t="n">
        <f>IF(OR(B251="",D251=""),0,SUMPRODUCT(--($B$13:$B$512&lt;&gt;""),--($D$13:$D$512=D251),--($C$13:$C$512=C251))-1)</f>
        <v>0</v>
      </c>
      <c r="S251" s="0" t="n">
        <f>IF(OR(B251="",D251=""),0,SUMPRODUCT(--($B$13:$B$512&lt;&gt;""),--($D$13:$D$512=D251),--($C$13:$C$512&lt;&gt;C251)))</f>
        <v>0</v>
      </c>
      <c r="T251" s="0" t="n">
        <f>IF(OR(B251="",D251=""),0,SUMPRODUCT(--($B$13:$B$512&lt;&gt;""),--($D$13:$D$512=D251),--($E$13:$E$512&lt;&gt;E251)))</f>
        <v>0</v>
      </c>
      <c r="U251" s="0" t="n">
        <f>IF(B251="",0,IF(SUMPRODUCT(--('LÉEME'!$C$65:$C$86=E251))=0,1,0))</f>
        <v>0</v>
      </c>
      <c r="V251" s="0">
        <f>IF(B251="","",SUMIFS('PEGAR'!$AA$13:$AA$512,'PEGAR'!$O$13:$O$512,B251))</f>
      </c>
      <c r="W251" s="0">
        <f>IF(B251="","",IF(OR(L251=0,N251&gt;0,T251&gt;0,IF(ISNUMBER(H251),ROUND(ABS(H251),8)&gt;$F$6,FALSE)),2,IF(OR(M251=0,O251&gt;0,P251&gt;0,Q251&gt;0,R251&gt;0,S251&gt;0,U251&gt;0,V251&gt;0),1,0)))</f>
      </c>
      <c r="X251" s="0">
        <f>IF(B251="","",IF(ISNUMBER(G251),1,0))</f>
      </c>
      <c r="AB251" s="0">
        <f>IF(AND(ISNUMBER(W251),W251&gt;0),"ID "&amp;B251,"")</f>
      </c>
      <c r="AC251" s="0">
        <f>IF(AND(ISNUMBER(W251),W251&gt;0),C251,"")</f>
      </c>
      <c r="AD251" s="0">
        <f>IF(AND(ISNUMBER(W251),W251&gt;0),D251,"")</f>
      </c>
      <c r="AE251" s="0">
        <f>IF(AND(ISNUMBER(W251),W251&gt;0),IF(INDEX('PEGAR'!$D$13:$D$512,IF(L251&gt;0,L251,K251))="","Sin descripción",INDEX('PEGAR'!$D$13:$D$512,IF(L251&gt;0,L251,K251))),"")</f>
      </c>
      <c r="AF251" s="0">
        <f>IF(AND(ISNUMBER(W251),W251&gt;0),J251,"")</f>
      </c>
      <c r="AG251" s="0" t="n">
        <f>IF(AND(ISNUMBER(W251),W251&gt;0),W251,0)</f>
        <v>0</v>
      </c>
      <c r="AH251" s="0">
        <f>IF(AG251&gt;0,COUNTIFS($AG$13:AG251,"&gt;0"),"")</f>
      </c>
    </row>
    <row r="252" ht="22" customHeight="1">
      <c r="B252" s="27">
        <f>IF(K252="","",INDEX('PEGAR'!$O$13:$O$512,K252))</f>
      </c>
      <c r="C252" s="30">
        <f>IF(B252="","",IF(LEN(TRIM(INDEX('PEGAR'!$B$13:$B$512,IF(L252&gt;0,L252,K252))&amp;""))=0,"Sin capítulo",TRIM(INDEX('PEGAR'!$B$13:$B$512,IF(L252&gt;0,L252,K252))&amp;"")))</f>
      </c>
      <c r="D252" s="27">
        <f>IF(B252="","",IF(LEN(TRIM(INDEX('PEGAR'!$C$13:$C$512,IF(L252&gt;0,L252,K252))&amp;""))=0,"",TRIM(INDEX('PEGAR'!$C$13:$C$512,IF(L252&gt;0,L252,K252))&amp;"")))</f>
      </c>
      <c r="E252" s="27">
        <f>IF(B252="","",INDEX('PEGAR'!$S$13:$S$512,IF(L252&gt;0,L252,K252)))</f>
      </c>
      <c r="F252" s="39">
        <f>IF(B252="","",IF(L252&gt;0,INDEX('PEGAR'!$F$13:$F$512,L252),""))</f>
      </c>
      <c r="G252" s="39">
        <f>IF(B252="","",IF(OR(M252=0,N252&gt;0,O252&gt;0),"",SUMIFS('PEGAR'!$M$13:$M$512,'PEGAR'!$O$13:$O$512,B252)))</f>
      </c>
      <c r="H252" s="39">
        <f>IF(AND(ISNUMBER(F252),ISNUMBER(G252)),G252-F252,"")</f>
      </c>
      <c r="I252" s="27">
        <f>IF(B252="","",IF(W252=2,"ROJO",IF(W252=1,"ÁMBAR","VERDE")))</f>
      </c>
      <c r="J252" s="30">
        <f>IF(B252="","",IF(W252=0,"Sin avisos numéricos. Revisamos el alcance aparte.",IF(L252=0,"Faltan datos completos de partida; no elegimos un total por suposición."&amp;CHAR(10),"")&amp;IF(N252&gt;0,"Hay filas incompletas o contradictorias; las revisamos en PEGAR."&amp;CHAR(10),"")&amp;IF(O252&gt;0,"Faltan las medidas de alguna fila; no cerramos la suma."&amp;CHAR(10),"")&amp;IF(M252=0,"No constan líneas de medición."&amp;CHAR(10),"")&amp;IF(IF(ISNUMBER(H252),ROUND(ABS(H252),8)&gt;$F$6,FALSE),"Las líneas difieren del total en más de 0,01; confirmamos cantidad o exclusión."&amp;CHAR(10),"")&amp;IF(P252&gt;0,"Parece m³: encontramos tres dimensiones bajo m²."&amp;CHAR(10),"")&amp;IF(R252&gt;0,"Código repetido dentro del capítulo; mantenemos sus ID separados."&amp;CHAR(10),"")&amp;IF(S252&gt;0,"Código repetido en otro capítulo; no unimos las partidas."&amp;CHAR(10),"")&amp;IF(T252&gt;0,"Mismo código con unidades distintas; pedimos aclaración."&amp;CHAR(10),"")&amp;IF(Q252&gt;0,"Hay más precisión que los decimales indicados; cotejamos el formato original."&amp;CHAR(10),"")&amp;IF(U252&gt;0,"Unidad sin normalizar; cotejamos su significado antes de sumar unidades."&amp;CHAR(10),"")&amp;IF(V252&gt;0,"Revisamos dimensiones, cantidades directas, ceros o deducciones en PEGAR."&amp;CHAR(10),"")))</f>
      </c>
      <c r="K252" s="0">
        <f>IF(240&gt;'RESUMEN'!$E$6,"",MATCH(240,'PEGAR'!$W$13:$W$512,0))</f>
      </c>
      <c r="L252" s="0">
        <f>IF(K252="","",INDEX('PEGAR'!$R$13:$R$512,K252))</f>
      </c>
      <c r="M252" s="0">
        <f>IF(B252="","",COUNTIFS('PEGAR'!$O$13:$O$512,B252,'PEGAR'!$P$13:$P$512,"DIMENSIONES")+COUNTIFS('PEGAR'!$O$13:$O$512,B252,'PEGAR'!$P$13:$P$512,"DIRECTA"))</f>
      </c>
      <c r="N252" s="0">
        <f>IF(B252="","",COUNTIFS('PEGAR'!$O$13:$O$512,B252,'PEGAR'!$X$13:$X$512,2))</f>
      </c>
      <c r="O252" s="0">
        <f>IF(B252="","",COUNTIFS('PEGAR'!$O$13:$O$512,B252,'PEGAR'!$P$13:$P$512,"SIN LÍNEAS"))</f>
      </c>
      <c r="P252" s="0">
        <f>IF(B252="","",SUMIFS('PEGAR'!$Y$13:$Y$512,'PEGAR'!$O$13:$O$512,B252))</f>
      </c>
      <c r="Q252" s="0">
        <f>IF(B252="","",SUMIFS('PEGAR'!$Z$13:$Z$512,'PEGAR'!$O$13:$O$512,B252))</f>
      </c>
      <c r="R252" s="0" t="n">
        <f>IF(OR(B252="",D252=""),0,SUMPRODUCT(--($B$13:$B$512&lt;&gt;""),--($D$13:$D$512=D252),--($C$13:$C$512=C252))-1)</f>
        <v>0</v>
      </c>
      <c r="S252" s="0" t="n">
        <f>IF(OR(B252="",D252=""),0,SUMPRODUCT(--($B$13:$B$512&lt;&gt;""),--($D$13:$D$512=D252),--($C$13:$C$512&lt;&gt;C252)))</f>
        <v>0</v>
      </c>
      <c r="T252" s="0" t="n">
        <f>IF(OR(B252="",D252=""),0,SUMPRODUCT(--($B$13:$B$512&lt;&gt;""),--($D$13:$D$512=D252),--($E$13:$E$512&lt;&gt;E252)))</f>
        <v>0</v>
      </c>
      <c r="U252" s="0" t="n">
        <f>IF(B252="",0,IF(SUMPRODUCT(--('LÉEME'!$C$65:$C$86=E252))=0,1,0))</f>
        <v>0</v>
      </c>
      <c r="V252" s="0">
        <f>IF(B252="","",SUMIFS('PEGAR'!$AA$13:$AA$512,'PEGAR'!$O$13:$O$512,B252))</f>
      </c>
      <c r="W252" s="0">
        <f>IF(B252="","",IF(OR(L252=0,N252&gt;0,T252&gt;0,IF(ISNUMBER(H252),ROUND(ABS(H252),8)&gt;$F$6,FALSE)),2,IF(OR(M252=0,O252&gt;0,P252&gt;0,Q252&gt;0,R252&gt;0,S252&gt;0,U252&gt;0,V252&gt;0),1,0)))</f>
      </c>
      <c r="X252" s="0">
        <f>IF(B252="","",IF(ISNUMBER(G252),1,0))</f>
      </c>
      <c r="AB252" s="0">
        <f>IF(AND(ISNUMBER(W252),W252&gt;0),"ID "&amp;B252,"")</f>
      </c>
      <c r="AC252" s="0">
        <f>IF(AND(ISNUMBER(W252),W252&gt;0),C252,"")</f>
      </c>
      <c r="AD252" s="0">
        <f>IF(AND(ISNUMBER(W252),W252&gt;0),D252,"")</f>
      </c>
      <c r="AE252" s="0">
        <f>IF(AND(ISNUMBER(W252),W252&gt;0),IF(INDEX('PEGAR'!$D$13:$D$512,IF(L252&gt;0,L252,K252))="","Sin descripción",INDEX('PEGAR'!$D$13:$D$512,IF(L252&gt;0,L252,K252))),"")</f>
      </c>
      <c r="AF252" s="0">
        <f>IF(AND(ISNUMBER(W252),W252&gt;0),J252,"")</f>
      </c>
      <c r="AG252" s="0" t="n">
        <f>IF(AND(ISNUMBER(W252),W252&gt;0),W252,0)</f>
        <v>0</v>
      </c>
      <c r="AH252" s="0">
        <f>IF(AG252&gt;0,COUNTIFS($AG$13:AG252,"&gt;0"),"")</f>
      </c>
    </row>
    <row r="253" ht="22" customHeight="1">
      <c r="B253" s="27">
        <f>IF(K253="","",INDEX('PEGAR'!$O$13:$O$512,K253))</f>
      </c>
      <c r="C253" s="30">
        <f>IF(B253="","",IF(LEN(TRIM(INDEX('PEGAR'!$B$13:$B$512,IF(L253&gt;0,L253,K253))&amp;""))=0,"Sin capítulo",TRIM(INDEX('PEGAR'!$B$13:$B$512,IF(L253&gt;0,L253,K253))&amp;"")))</f>
      </c>
      <c r="D253" s="27">
        <f>IF(B253="","",IF(LEN(TRIM(INDEX('PEGAR'!$C$13:$C$512,IF(L253&gt;0,L253,K253))&amp;""))=0,"",TRIM(INDEX('PEGAR'!$C$13:$C$512,IF(L253&gt;0,L253,K253))&amp;"")))</f>
      </c>
      <c r="E253" s="27">
        <f>IF(B253="","",INDEX('PEGAR'!$S$13:$S$512,IF(L253&gt;0,L253,K253)))</f>
      </c>
      <c r="F253" s="39">
        <f>IF(B253="","",IF(L253&gt;0,INDEX('PEGAR'!$F$13:$F$512,L253),""))</f>
      </c>
      <c r="G253" s="39">
        <f>IF(B253="","",IF(OR(M253=0,N253&gt;0,O253&gt;0),"",SUMIFS('PEGAR'!$M$13:$M$512,'PEGAR'!$O$13:$O$512,B253)))</f>
      </c>
      <c r="H253" s="39">
        <f>IF(AND(ISNUMBER(F253),ISNUMBER(G253)),G253-F253,"")</f>
      </c>
      <c r="I253" s="27">
        <f>IF(B253="","",IF(W253=2,"ROJO",IF(W253=1,"ÁMBAR","VERDE")))</f>
      </c>
      <c r="J253" s="30">
        <f>IF(B253="","",IF(W253=0,"Sin avisos numéricos. Revisamos el alcance aparte.",IF(L253=0,"Faltan datos completos de partida; no elegimos un total por suposición."&amp;CHAR(10),"")&amp;IF(N253&gt;0,"Hay filas incompletas o contradictorias; las revisamos en PEGAR."&amp;CHAR(10),"")&amp;IF(O253&gt;0,"Faltan las medidas de alguna fila; no cerramos la suma."&amp;CHAR(10),"")&amp;IF(M253=0,"No constan líneas de medición."&amp;CHAR(10),"")&amp;IF(IF(ISNUMBER(H253),ROUND(ABS(H253),8)&gt;$F$6,FALSE),"Las líneas difieren del total en más de 0,01; confirmamos cantidad o exclusión."&amp;CHAR(10),"")&amp;IF(P253&gt;0,"Parece m³: encontramos tres dimensiones bajo m²."&amp;CHAR(10),"")&amp;IF(R253&gt;0,"Código repetido dentro del capítulo; mantenemos sus ID separados."&amp;CHAR(10),"")&amp;IF(S253&gt;0,"Código repetido en otro capítulo; no unimos las partidas."&amp;CHAR(10),"")&amp;IF(T253&gt;0,"Mismo código con unidades distintas; pedimos aclaración."&amp;CHAR(10),"")&amp;IF(Q253&gt;0,"Hay más precisión que los decimales indicados; cotejamos el formato original."&amp;CHAR(10),"")&amp;IF(U253&gt;0,"Unidad sin normalizar; cotejamos su significado antes de sumar unidades."&amp;CHAR(10),"")&amp;IF(V253&gt;0,"Revisamos dimensiones, cantidades directas, ceros o deducciones en PEGAR."&amp;CHAR(10),"")))</f>
      </c>
      <c r="K253" s="0">
        <f>IF(241&gt;'RESUMEN'!$E$6,"",MATCH(241,'PEGAR'!$W$13:$W$512,0))</f>
      </c>
      <c r="L253" s="0">
        <f>IF(K253="","",INDEX('PEGAR'!$R$13:$R$512,K253))</f>
      </c>
      <c r="M253" s="0">
        <f>IF(B253="","",COUNTIFS('PEGAR'!$O$13:$O$512,B253,'PEGAR'!$P$13:$P$512,"DIMENSIONES")+COUNTIFS('PEGAR'!$O$13:$O$512,B253,'PEGAR'!$P$13:$P$512,"DIRECTA"))</f>
      </c>
      <c r="N253" s="0">
        <f>IF(B253="","",COUNTIFS('PEGAR'!$O$13:$O$512,B253,'PEGAR'!$X$13:$X$512,2))</f>
      </c>
      <c r="O253" s="0">
        <f>IF(B253="","",COUNTIFS('PEGAR'!$O$13:$O$512,B253,'PEGAR'!$P$13:$P$512,"SIN LÍNEAS"))</f>
      </c>
      <c r="P253" s="0">
        <f>IF(B253="","",SUMIFS('PEGAR'!$Y$13:$Y$512,'PEGAR'!$O$13:$O$512,B253))</f>
      </c>
      <c r="Q253" s="0">
        <f>IF(B253="","",SUMIFS('PEGAR'!$Z$13:$Z$512,'PEGAR'!$O$13:$O$512,B253))</f>
      </c>
      <c r="R253" s="0" t="n">
        <f>IF(OR(B253="",D253=""),0,SUMPRODUCT(--($B$13:$B$512&lt;&gt;""),--($D$13:$D$512=D253),--($C$13:$C$512=C253))-1)</f>
        <v>0</v>
      </c>
      <c r="S253" s="0" t="n">
        <f>IF(OR(B253="",D253=""),0,SUMPRODUCT(--($B$13:$B$512&lt;&gt;""),--($D$13:$D$512=D253),--($C$13:$C$512&lt;&gt;C253)))</f>
        <v>0</v>
      </c>
      <c r="T253" s="0" t="n">
        <f>IF(OR(B253="",D253=""),0,SUMPRODUCT(--($B$13:$B$512&lt;&gt;""),--($D$13:$D$512=D253),--($E$13:$E$512&lt;&gt;E253)))</f>
        <v>0</v>
      </c>
      <c r="U253" s="0" t="n">
        <f>IF(B253="",0,IF(SUMPRODUCT(--('LÉEME'!$C$65:$C$86=E253))=0,1,0))</f>
        <v>0</v>
      </c>
      <c r="V253" s="0">
        <f>IF(B253="","",SUMIFS('PEGAR'!$AA$13:$AA$512,'PEGAR'!$O$13:$O$512,B253))</f>
      </c>
      <c r="W253" s="0">
        <f>IF(B253="","",IF(OR(L253=0,N253&gt;0,T253&gt;0,IF(ISNUMBER(H253),ROUND(ABS(H253),8)&gt;$F$6,FALSE)),2,IF(OR(M253=0,O253&gt;0,P253&gt;0,Q253&gt;0,R253&gt;0,S253&gt;0,U253&gt;0,V253&gt;0),1,0)))</f>
      </c>
      <c r="X253" s="0">
        <f>IF(B253="","",IF(ISNUMBER(G253),1,0))</f>
      </c>
      <c r="AB253" s="0">
        <f>IF(AND(ISNUMBER(W253),W253&gt;0),"ID "&amp;B253,"")</f>
      </c>
      <c r="AC253" s="0">
        <f>IF(AND(ISNUMBER(W253),W253&gt;0),C253,"")</f>
      </c>
      <c r="AD253" s="0">
        <f>IF(AND(ISNUMBER(W253),W253&gt;0),D253,"")</f>
      </c>
      <c r="AE253" s="0">
        <f>IF(AND(ISNUMBER(W253),W253&gt;0),IF(INDEX('PEGAR'!$D$13:$D$512,IF(L253&gt;0,L253,K253))="","Sin descripción",INDEX('PEGAR'!$D$13:$D$512,IF(L253&gt;0,L253,K253))),"")</f>
      </c>
      <c r="AF253" s="0">
        <f>IF(AND(ISNUMBER(W253),W253&gt;0),J253,"")</f>
      </c>
      <c r="AG253" s="0" t="n">
        <f>IF(AND(ISNUMBER(W253),W253&gt;0),W253,0)</f>
        <v>0</v>
      </c>
      <c r="AH253" s="0">
        <f>IF(AG253&gt;0,COUNTIFS($AG$13:AG253,"&gt;0"),"")</f>
      </c>
    </row>
    <row r="254" ht="22" customHeight="1">
      <c r="B254" s="27">
        <f>IF(K254="","",INDEX('PEGAR'!$O$13:$O$512,K254))</f>
      </c>
      <c r="C254" s="30">
        <f>IF(B254="","",IF(LEN(TRIM(INDEX('PEGAR'!$B$13:$B$512,IF(L254&gt;0,L254,K254))&amp;""))=0,"Sin capítulo",TRIM(INDEX('PEGAR'!$B$13:$B$512,IF(L254&gt;0,L254,K254))&amp;"")))</f>
      </c>
      <c r="D254" s="27">
        <f>IF(B254="","",IF(LEN(TRIM(INDEX('PEGAR'!$C$13:$C$512,IF(L254&gt;0,L254,K254))&amp;""))=0,"",TRIM(INDEX('PEGAR'!$C$13:$C$512,IF(L254&gt;0,L254,K254))&amp;"")))</f>
      </c>
      <c r="E254" s="27">
        <f>IF(B254="","",INDEX('PEGAR'!$S$13:$S$512,IF(L254&gt;0,L254,K254)))</f>
      </c>
      <c r="F254" s="39">
        <f>IF(B254="","",IF(L254&gt;0,INDEX('PEGAR'!$F$13:$F$512,L254),""))</f>
      </c>
      <c r="G254" s="39">
        <f>IF(B254="","",IF(OR(M254=0,N254&gt;0,O254&gt;0),"",SUMIFS('PEGAR'!$M$13:$M$512,'PEGAR'!$O$13:$O$512,B254)))</f>
      </c>
      <c r="H254" s="39">
        <f>IF(AND(ISNUMBER(F254),ISNUMBER(G254)),G254-F254,"")</f>
      </c>
      <c r="I254" s="27">
        <f>IF(B254="","",IF(W254=2,"ROJO",IF(W254=1,"ÁMBAR","VERDE")))</f>
      </c>
      <c r="J254" s="30">
        <f>IF(B254="","",IF(W254=0,"Sin avisos numéricos. Revisamos el alcance aparte.",IF(L254=0,"Faltan datos completos de partida; no elegimos un total por suposición."&amp;CHAR(10),"")&amp;IF(N254&gt;0,"Hay filas incompletas o contradictorias; las revisamos en PEGAR."&amp;CHAR(10),"")&amp;IF(O254&gt;0,"Faltan las medidas de alguna fila; no cerramos la suma."&amp;CHAR(10),"")&amp;IF(M254=0,"No constan líneas de medición."&amp;CHAR(10),"")&amp;IF(IF(ISNUMBER(H254),ROUND(ABS(H254),8)&gt;$F$6,FALSE),"Las líneas difieren del total en más de 0,01; confirmamos cantidad o exclusión."&amp;CHAR(10),"")&amp;IF(P254&gt;0,"Parece m³: encontramos tres dimensiones bajo m²."&amp;CHAR(10),"")&amp;IF(R254&gt;0,"Código repetido dentro del capítulo; mantenemos sus ID separados."&amp;CHAR(10),"")&amp;IF(S254&gt;0,"Código repetido en otro capítulo; no unimos las partidas."&amp;CHAR(10),"")&amp;IF(T254&gt;0,"Mismo código con unidades distintas; pedimos aclaración."&amp;CHAR(10),"")&amp;IF(Q254&gt;0,"Hay más precisión que los decimales indicados; cotejamos el formato original."&amp;CHAR(10),"")&amp;IF(U254&gt;0,"Unidad sin normalizar; cotejamos su significado antes de sumar unidades."&amp;CHAR(10),"")&amp;IF(V254&gt;0,"Revisamos dimensiones, cantidades directas, ceros o deducciones en PEGAR."&amp;CHAR(10),"")))</f>
      </c>
      <c r="K254" s="0">
        <f>IF(242&gt;'RESUMEN'!$E$6,"",MATCH(242,'PEGAR'!$W$13:$W$512,0))</f>
      </c>
      <c r="L254" s="0">
        <f>IF(K254="","",INDEX('PEGAR'!$R$13:$R$512,K254))</f>
      </c>
      <c r="M254" s="0">
        <f>IF(B254="","",COUNTIFS('PEGAR'!$O$13:$O$512,B254,'PEGAR'!$P$13:$P$512,"DIMENSIONES")+COUNTIFS('PEGAR'!$O$13:$O$512,B254,'PEGAR'!$P$13:$P$512,"DIRECTA"))</f>
      </c>
      <c r="N254" s="0">
        <f>IF(B254="","",COUNTIFS('PEGAR'!$O$13:$O$512,B254,'PEGAR'!$X$13:$X$512,2))</f>
      </c>
      <c r="O254" s="0">
        <f>IF(B254="","",COUNTIFS('PEGAR'!$O$13:$O$512,B254,'PEGAR'!$P$13:$P$512,"SIN LÍNEAS"))</f>
      </c>
      <c r="P254" s="0">
        <f>IF(B254="","",SUMIFS('PEGAR'!$Y$13:$Y$512,'PEGAR'!$O$13:$O$512,B254))</f>
      </c>
      <c r="Q254" s="0">
        <f>IF(B254="","",SUMIFS('PEGAR'!$Z$13:$Z$512,'PEGAR'!$O$13:$O$512,B254))</f>
      </c>
      <c r="R254" s="0" t="n">
        <f>IF(OR(B254="",D254=""),0,SUMPRODUCT(--($B$13:$B$512&lt;&gt;""),--($D$13:$D$512=D254),--($C$13:$C$512=C254))-1)</f>
        <v>0</v>
      </c>
      <c r="S254" s="0" t="n">
        <f>IF(OR(B254="",D254=""),0,SUMPRODUCT(--($B$13:$B$512&lt;&gt;""),--($D$13:$D$512=D254),--($C$13:$C$512&lt;&gt;C254)))</f>
        <v>0</v>
      </c>
      <c r="T254" s="0" t="n">
        <f>IF(OR(B254="",D254=""),0,SUMPRODUCT(--($B$13:$B$512&lt;&gt;""),--($D$13:$D$512=D254),--($E$13:$E$512&lt;&gt;E254)))</f>
        <v>0</v>
      </c>
      <c r="U254" s="0" t="n">
        <f>IF(B254="",0,IF(SUMPRODUCT(--('LÉEME'!$C$65:$C$86=E254))=0,1,0))</f>
        <v>0</v>
      </c>
      <c r="V254" s="0">
        <f>IF(B254="","",SUMIFS('PEGAR'!$AA$13:$AA$512,'PEGAR'!$O$13:$O$512,B254))</f>
      </c>
      <c r="W254" s="0">
        <f>IF(B254="","",IF(OR(L254=0,N254&gt;0,T254&gt;0,IF(ISNUMBER(H254),ROUND(ABS(H254),8)&gt;$F$6,FALSE)),2,IF(OR(M254=0,O254&gt;0,P254&gt;0,Q254&gt;0,R254&gt;0,S254&gt;0,U254&gt;0,V254&gt;0),1,0)))</f>
      </c>
      <c r="X254" s="0">
        <f>IF(B254="","",IF(ISNUMBER(G254),1,0))</f>
      </c>
      <c r="AB254" s="0">
        <f>IF(AND(ISNUMBER(W254),W254&gt;0),"ID "&amp;B254,"")</f>
      </c>
      <c r="AC254" s="0">
        <f>IF(AND(ISNUMBER(W254),W254&gt;0),C254,"")</f>
      </c>
      <c r="AD254" s="0">
        <f>IF(AND(ISNUMBER(W254),W254&gt;0),D254,"")</f>
      </c>
      <c r="AE254" s="0">
        <f>IF(AND(ISNUMBER(W254),W254&gt;0),IF(INDEX('PEGAR'!$D$13:$D$512,IF(L254&gt;0,L254,K254))="","Sin descripción",INDEX('PEGAR'!$D$13:$D$512,IF(L254&gt;0,L254,K254))),"")</f>
      </c>
      <c r="AF254" s="0">
        <f>IF(AND(ISNUMBER(W254),W254&gt;0),J254,"")</f>
      </c>
      <c r="AG254" s="0" t="n">
        <f>IF(AND(ISNUMBER(W254),W254&gt;0),W254,0)</f>
        <v>0</v>
      </c>
      <c r="AH254" s="0">
        <f>IF(AG254&gt;0,COUNTIFS($AG$13:AG254,"&gt;0"),"")</f>
      </c>
    </row>
    <row r="255" ht="22" customHeight="1">
      <c r="B255" s="27">
        <f>IF(K255="","",INDEX('PEGAR'!$O$13:$O$512,K255))</f>
      </c>
      <c r="C255" s="30">
        <f>IF(B255="","",IF(LEN(TRIM(INDEX('PEGAR'!$B$13:$B$512,IF(L255&gt;0,L255,K255))&amp;""))=0,"Sin capítulo",TRIM(INDEX('PEGAR'!$B$13:$B$512,IF(L255&gt;0,L255,K255))&amp;"")))</f>
      </c>
      <c r="D255" s="27">
        <f>IF(B255="","",IF(LEN(TRIM(INDEX('PEGAR'!$C$13:$C$512,IF(L255&gt;0,L255,K255))&amp;""))=0,"",TRIM(INDEX('PEGAR'!$C$13:$C$512,IF(L255&gt;0,L255,K255))&amp;"")))</f>
      </c>
      <c r="E255" s="27">
        <f>IF(B255="","",INDEX('PEGAR'!$S$13:$S$512,IF(L255&gt;0,L255,K255)))</f>
      </c>
      <c r="F255" s="39">
        <f>IF(B255="","",IF(L255&gt;0,INDEX('PEGAR'!$F$13:$F$512,L255),""))</f>
      </c>
      <c r="G255" s="39">
        <f>IF(B255="","",IF(OR(M255=0,N255&gt;0,O255&gt;0),"",SUMIFS('PEGAR'!$M$13:$M$512,'PEGAR'!$O$13:$O$512,B255)))</f>
      </c>
      <c r="H255" s="39">
        <f>IF(AND(ISNUMBER(F255),ISNUMBER(G255)),G255-F255,"")</f>
      </c>
      <c r="I255" s="27">
        <f>IF(B255="","",IF(W255=2,"ROJO",IF(W255=1,"ÁMBAR","VERDE")))</f>
      </c>
      <c r="J255" s="30">
        <f>IF(B255="","",IF(W255=0,"Sin avisos numéricos. Revisamos el alcance aparte.",IF(L255=0,"Faltan datos completos de partida; no elegimos un total por suposición."&amp;CHAR(10),"")&amp;IF(N255&gt;0,"Hay filas incompletas o contradictorias; las revisamos en PEGAR."&amp;CHAR(10),"")&amp;IF(O255&gt;0,"Faltan las medidas de alguna fila; no cerramos la suma."&amp;CHAR(10),"")&amp;IF(M255=0,"No constan líneas de medición."&amp;CHAR(10),"")&amp;IF(IF(ISNUMBER(H255),ROUND(ABS(H255),8)&gt;$F$6,FALSE),"Las líneas difieren del total en más de 0,01; confirmamos cantidad o exclusión."&amp;CHAR(10),"")&amp;IF(P255&gt;0,"Parece m³: encontramos tres dimensiones bajo m²."&amp;CHAR(10),"")&amp;IF(R255&gt;0,"Código repetido dentro del capítulo; mantenemos sus ID separados."&amp;CHAR(10),"")&amp;IF(S255&gt;0,"Código repetido en otro capítulo; no unimos las partidas."&amp;CHAR(10),"")&amp;IF(T255&gt;0,"Mismo código con unidades distintas; pedimos aclaración."&amp;CHAR(10),"")&amp;IF(Q255&gt;0,"Hay más precisión que los decimales indicados; cotejamos el formato original."&amp;CHAR(10),"")&amp;IF(U255&gt;0,"Unidad sin normalizar; cotejamos su significado antes de sumar unidades."&amp;CHAR(10),"")&amp;IF(V255&gt;0,"Revisamos dimensiones, cantidades directas, ceros o deducciones en PEGAR."&amp;CHAR(10),"")))</f>
      </c>
      <c r="K255" s="0">
        <f>IF(243&gt;'RESUMEN'!$E$6,"",MATCH(243,'PEGAR'!$W$13:$W$512,0))</f>
      </c>
      <c r="L255" s="0">
        <f>IF(K255="","",INDEX('PEGAR'!$R$13:$R$512,K255))</f>
      </c>
      <c r="M255" s="0">
        <f>IF(B255="","",COUNTIFS('PEGAR'!$O$13:$O$512,B255,'PEGAR'!$P$13:$P$512,"DIMENSIONES")+COUNTIFS('PEGAR'!$O$13:$O$512,B255,'PEGAR'!$P$13:$P$512,"DIRECTA"))</f>
      </c>
      <c r="N255" s="0">
        <f>IF(B255="","",COUNTIFS('PEGAR'!$O$13:$O$512,B255,'PEGAR'!$X$13:$X$512,2))</f>
      </c>
      <c r="O255" s="0">
        <f>IF(B255="","",COUNTIFS('PEGAR'!$O$13:$O$512,B255,'PEGAR'!$P$13:$P$512,"SIN LÍNEAS"))</f>
      </c>
      <c r="P255" s="0">
        <f>IF(B255="","",SUMIFS('PEGAR'!$Y$13:$Y$512,'PEGAR'!$O$13:$O$512,B255))</f>
      </c>
      <c r="Q255" s="0">
        <f>IF(B255="","",SUMIFS('PEGAR'!$Z$13:$Z$512,'PEGAR'!$O$13:$O$512,B255))</f>
      </c>
      <c r="R255" s="0" t="n">
        <f>IF(OR(B255="",D255=""),0,SUMPRODUCT(--($B$13:$B$512&lt;&gt;""),--($D$13:$D$512=D255),--($C$13:$C$512=C255))-1)</f>
        <v>0</v>
      </c>
      <c r="S255" s="0" t="n">
        <f>IF(OR(B255="",D255=""),0,SUMPRODUCT(--($B$13:$B$512&lt;&gt;""),--($D$13:$D$512=D255),--($C$13:$C$512&lt;&gt;C255)))</f>
        <v>0</v>
      </c>
      <c r="T255" s="0" t="n">
        <f>IF(OR(B255="",D255=""),0,SUMPRODUCT(--($B$13:$B$512&lt;&gt;""),--($D$13:$D$512=D255),--($E$13:$E$512&lt;&gt;E255)))</f>
        <v>0</v>
      </c>
      <c r="U255" s="0" t="n">
        <f>IF(B255="",0,IF(SUMPRODUCT(--('LÉEME'!$C$65:$C$86=E255))=0,1,0))</f>
        <v>0</v>
      </c>
      <c r="V255" s="0">
        <f>IF(B255="","",SUMIFS('PEGAR'!$AA$13:$AA$512,'PEGAR'!$O$13:$O$512,B255))</f>
      </c>
      <c r="W255" s="0">
        <f>IF(B255="","",IF(OR(L255=0,N255&gt;0,T255&gt;0,IF(ISNUMBER(H255),ROUND(ABS(H255),8)&gt;$F$6,FALSE)),2,IF(OR(M255=0,O255&gt;0,P255&gt;0,Q255&gt;0,R255&gt;0,S255&gt;0,U255&gt;0,V255&gt;0),1,0)))</f>
      </c>
      <c r="X255" s="0">
        <f>IF(B255="","",IF(ISNUMBER(G255),1,0))</f>
      </c>
      <c r="AB255" s="0">
        <f>IF(AND(ISNUMBER(W255),W255&gt;0),"ID "&amp;B255,"")</f>
      </c>
      <c r="AC255" s="0">
        <f>IF(AND(ISNUMBER(W255),W255&gt;0),C255,"")</f>
      </c>
      <c r="AD255" s="0">
        <f>IF(AND(ISNUMBER(W255),W255&gt;0),D255,"")</f>
      </c>
      <c r="AE255" s="0">
        <f>IF(AND(ISNUMBER(W255),W255&gt;0),IF(INDEX('PEGAR'!$D$13:$D$512,IF(L255&gt;0,L255,K255))="","Sin descripción",INDEX('PEGAR'!$D$13:$D$512,IF(L255&gt;0,L255,K255))),"")</f>
      </c>
      <c r="AF255" s="0">
        <f>IF(AND(ISNUMBER(W255),W255&gt;0),J255,"")</f>
      </c>
      <c r="AG255" s="0" t="n">
        <f>IF(AND(ISNUMBER(W255),W255&gt;0),W255,0)</f>
        <v>0</v>
      </c>
      <c r="AH255" s="0">
        <f>IF(AG255&gt;0,COUNTIFS($AG$13:AG255,"&gt;0"),"")</f>
      </c>
    </row>
    <row r="256" ht="22" customHeight="1">
      <c r="B256" s="27">
        <f>IF(K256="","",INDEX('PEGAR'!$O$13:$O$512,K256))</f>
      </c>
      <c r="C256" s="30">
        <f>IF(B256="","",IF(LEN(TRIM(INDEX('PEGAR'!$B$13:$B$512,IF(L256&gt;0,L256,K256))&amp;""))=0,"Sin capítulo",TRIM(INDEX('PEGAR'!$B$13:$B$512,IF(L256&gt;0,L256,K256))&amp;"")))</f>
      </c>
      <c r="D256" s="27">
        <f>IF(B256="","",IF(LEN(TRIM(INDEX('PEGAR'!$C$13:$C$512,IF(L256&gt;0,L256,K256))&amp;""))=0,"",TRIM(INDEX('PEGAR'!$C$13:$C$512,IF(L256&gt;0,L256,K256))&amp;"")))</f>
      </c>
      <c r="E256" s="27">
        <f>IF(B256="","",INDEX('PEGAR'!$S$13:$S$512,IF(L256&gt;0,L256,K256)))</f>
      </c>
      <c r="F256" s="39">
        <f>IF(B256="","",IF(L256&gt;0,INDEX('PEGAR'!$F$13:$F$512,L256),""))</f>
      </c>
      <c r="G256" s="39">
        <f>IF(B256="","",IF(OR(M256=0,N256&gt;0,O256&gt;0),"",SUMIFS('PEGAR'!$M$13:$M$512,'PEGAR'!$O$13:$O$512,B256)))</f>
      </c>
      <c r="H256" s="39">
        <f>IF(AND(ISNUMBER(F256),ISNUMBER(G256)),G256-F256,"")</f>
      </c>
      <c r="I256" s="27">
        <f>IF(B256="","",IF(W256=2,"ROJO",IF(W256=1,"ÁMBAR","VERDE")))</f>
      </c>
      <c r="J256" s="30">
        <f>IF(B256="","",IF(W256=0,"Sin avisos numéricos. Revisamos el alcance aparte.",IF(L256=0,"Faltan datos completos de partida; no elegimos un total por suposición."&amp;CHAR(10),"")&amp;IF(N256&gt;0,"Hay filas incompletas o contradictorias; las revisamos en PEGAR."&amp;CHAR(10),"")&amp;IF(O256&gt;0,"Faltan las medidas de alguna fila; no cerramos la suma."&amp;CHAR(10),"")&amp;IF(M256=0,"No constan líneas de medición."&amp;CHAR(10),"")&amp;IF(IF(ISNUMBER(H256),ROUND(ABS(H256),8)&gt;$F$6,FALSE),"Las líneas difieren del total en más de 0,01; confirmamos cantidad o exclusión."&amp;CHAR(10),"")&amp;IF(P256&gt;0,"Parece m³: encontramos tres dimensiones bajo m²."&amp;CHAR(10),"")&amp;IF(R256&gt;0,"Código repetido dentro del capítulo; mantenemos sus ID separados."&amp;CHAR(10),"")&amp;IF(S256&gt;0,"Código repetido en otro capítulo; no unimos las partidas."&amp;CHAR(10),"")&amp;IF(T256&gt;0,"Mismo código con unidades distintas; pedimos aclaración."&amp;CHAR(10),"")&amp;IF(Q256&gt;0,"Hay más precisión que los decimales indicados; cotejamos el formato original."&amp;CHAR(10),"")&amp;IF(U256&gt;0,"Unidad sin normalizar; cotejamos su significado antes de sumar unidades."&amp;CHAR(10),"")&amp;IF(V256&gt;0,"Revisamos dimensiones, cantidades directas, ceros o deducciones en PEGAR."&amp;CHAR(10),"")))</f>
      </c>
      <c r="K256" s="0">
        <f>IF(244&gt;'RESUMEN'!$E$6,"",MATCH(244,'PEGAR'!$W$13:$W$512,0))</f>
      </c>
      <c r="L256" s="0">
        <f>IF(K256="","",INDEX('PEGAR'!$R$13:$R$512,K256))</f>
      </c>
      <c r="M256" s="0">
        <f>IF(B256="","",COUNTIFS('PEGAR'!$O$13:$O$512,B256,'PEGAR'!$P$13:$P$512,"DIMENSIONES")+COUNTIFS('PEGAR'!$O$13:$O$512,B256,'PEGAR'!$P$13:$P$512,"DIRECTA"))</f>
      </c>
      <c r="N256" s="0">
        <f>IF(B256="","",COUNTIFS('PEGAR'!$O$13:$O$512,B256,'PEGAR'!$X$13:$X$512,2))</f>
      </c>
      <c r="O256" s="0">
        <f>IF(B256="","",COUNTIFS('PEGAR'!$O$13:$O$512,B256,'PEGAR'!$P$13:$P$512,"SIN LÍNEAS"))</f>
      </c>
      <c r="P256" s="0">
        <f>IF(B256="","",SUMIFS('PEGAR'!$Y$13:$Y$512,'PEGAR'!$O$13:$O$512,B256))</f>
      </c>
      <c r="Q256" s="0">
        <f>IF(B256="","",SUMIFS('PEGAR'!$Z$13:$Z$512,'PEGAR'!$O$13:$O$512,B256))</f>
      </c>
      <c r="R256" s="0" t="n">
        <f>IF(OR(B256="",D256=""),0,SUMPRODUCT(--($B$13:$B$512&lt;&gt;""),--($D$13:$D$512=D256),--($C$13:$C$512=C256))-1)</f>
        <v>0</v>
      </c>
      <c r="S256" s="0" t="n">
        <f>IF(OR(B256="",D256=""),0,SUMPRODUCT(--($B$13:$B$512&lt;&gt;""),--($D$13:$D$512=D256),--($C$13:$C$512&lt;&gt;C256)))</f>
        <v>0</v>
      </c>
      <c r="T256" s="0" t="n">
        <f>IF(OR(B256="",D256=""),0,SUMPRODUCT(--($B$13:$B$512&lt;&gt;""),--($D$13:$D$512=D256),--($E$13:$E$512&lt;&gt;E256)))</f>
        <v>0</v>
      </c>
      <c r="U256" s="0" t="n">
        <f>IF(B256="",0,IF(SUMPRODUCT(--('LÉEME'!$C$65:$C$86=E256))=0,1,0))</f>
        <v>0</v>
      </c>
      <c r="V256" s="0">
        <f>IF(B256="","",SUMIFS('PEGAR'!$AA$13:$AA$512,'PEGAR'!$O$13:$O$512,B256))</f>
      </c>
      <c r="W256" s="0">
        <f>IF(B256="","",IF(OR(L256=0,N256&gt;0,T256&gt;0,IF(ISNUMBER(H256),ROUND(ABS(H256),8)&gt;$F$6,FALSE)),2,IF(OR(M256=0,O256&gt;0,P256&gt;0,Q256&gt;0,R256&gt;0,S256&gt;0,U256&gt;0,V256&gt;0),1,0)))</f>
      </c>
      <c r="X256" s="0">
        <f>IF(B256="","",IF(ISNUMBER(G256),1,0))</f>
      </c>
      <c r="AB256" s="0">
        <f>IF(AND(ISNUMBER(W256),W256&gt;0),"ID "&amp;B256,"")</f>
      </c>
      <c r="AC256" s="0">
        <f>IF(AND(ISNUMBER(W256),W256&gt;0),C256,"")</f>
      </c>
      <c r="AD256" s="0">
        <f>IF(AND(ISNUMBER(W256),W256&gt;0),D256,"")</f>
      </c>
      <c r="AE256" s="0">
        <f>IF(AND(ISNUMBER(W256),W256&gt;0),IF(INDEX('PEGAR'!$D$13:$D$512,IF(L256&gt;0,L256,K256))="","Sin descripción",INDEX('PEGAR'!$D$13:$D$512,IF(L256&gt;0,L256,K256))),"")</f>
      </c>
      <c r="AF256" s="0">
        <f>IF(AND(ISNUMBER(W256),W256&gt;0),J256,"")</f>
      </c>
      <c r="AG256" s="0" t="n">
        <f>IF(AND(ISNUMBER(W256),W256&gt;0),W256,0)</f>
        <v>0</v>
      </c>
      <c r="AH256" s="0">
        <f>IF(AG256&gt;0,COUNTIFS($AG$13:AG256,"&gt;0"),"")</f>
      </c>
    </row>
    <row r="257" ht="22" customHeight="1">
      <c r="B257" s="27">
        <f>IF(K257="","",INDEX('PEGAR'!$O$13:$O$512,K257))</f>
      </c>
      <c r="C257" s="30">
        <f>IF(B257="","",IF(LEN(TRIM(INDEX('PEGAR'!$B$13:$B$512,IF(L257&gt;0,L257,K257))&amp;""))=0,"Sin capítulo",TRIM(INDEX('PEGAR'!$B$13:$B$512,IF(L257&gt;0,L257,K257))&amp;"")))</f>
      </c>
      <c r="D257" s="27">
        <f>IF(B257="","",IF(LEN(TRIM(INDEX('PEGAR'!$C$13:$C$512,IF(L257&gt;0,L257,K257))&amp;""))=0,"",TRIM(INDEX('PEGAR'!$C$13:$C$512,IF(L257&gt;0,L257,K257))&amp;"")))</f>
      </c>
      <c r="E257" s="27">
        <f>IF(B257="","",INDEX('PEGAR'!$S$13:$S$512,IF(L257&gt;0,L257,K257)))</f>
      </c>
      <c r="F257" s="39">
        <f>IF(B257="","",IF(L257&gt;0,INDEX('PEGAR'!$F$13:$F$512,L257),""))</f>
      </c>
      <c r="G257" s="39">
        <f>IF(B257="","",IF(OR(M257=0,N257&gt;0,O257&gt;0),"",SUMIFS('PEGAR'!$M$13:$M$512,'PEGAR'!$O$13:$O$512,B257)))</f>
      </c>
      <c r="H257" s="39">
        <f>IF(AND(ISNUMBER(F257),ISNUMBER(G257)),G257-F257,"")</f>
      </c>
      <c r="I257" s="27">
        <f>IF(B257="","",IF(W257=2,"ROJO",IF(W257=1,"ÁMBAR","VERDE")))</f>
      </c>
      <c r="J257" s="30">
        <f>IF(B257="","",IF(W257=0,"Sin avisos numéricos. Revisamos el alcance aparte.",IF(L257=0,"Faltan datos completos de partida; no elegimos un total por suposición."&amp;CHAR(10),"")&amp;IF(N257&gt;0,"Hay filas incompletas o contradictorias; las revisamos en PEGAR."&amp;CHAR(10),"")&amp;IF(O257&gt;0,"Faltan las medidas de alguna fila; no cerramos la suma."&amp;CHAR(10),"")&amp;IF(M257=0,"No constan líneas de medición."&amp;CHAR(10),"")&amp;IF(IF(ISNUMBER(H257),ROUND(ABS(H257),8)&gt;$F$6,FALSE),"Las líneas difieren del total en más de 0,01; confirmamos cantidad o exclusión."&amp;CHAR(10),"")&amp;IF(P257&gt;0,"Parece m³: encontramos tres dimensiones bajo m²."&amp;CHAR(10),"")&amp;IF(R257&gt;0,"Código repetido dentro del capítulo; mantenemos sus ID separados."&amp;CHAR(10),"")&amp;IF(S257&gt;0,"Código repetido en otro capítulo; no unimos las partidas."&amp;CHAR(10),"")&amp;IF(T257&gt;0,"Mismo código con unidades distintas; pedimos aclaración."&amp;CHAR(10),"")&amp;IF(Q257&gt;0,"Hay más precisión que los decimales indicados; cotejamos el formato original."&amp;CHAR(10),"")&amp;IF(U257&gt;0,"Unidad sin normalizar; cotejamos su significado antes de sumar unidades."&amp;CHAR(10),"")&amp;IF(V257&gt;0,"Revisamos dimensiones, cantidades directas, ceros o deducciones en PEGAR."&amp;CHAR(10),"")))</f>
      </c>
      <c r="K257" s="0">
        <f>IF(245&gt;'RESUMEN'!$E$6,"",MATCH(245,'PEGAR'!$W$13:$W$512,0))</f>
      </c>
      <c r="L257" s="0">
        <f>IF(K257="","",INDEX('PEGAR'!$R$13:$R$512,K257))</f>
      </c>
      <c r="M257" s="0">
        <f>IF(B257="","",COUNTIFS('PEGAR'!$O$13:$O$512,B257,'PEGAR'!$P$13:$P$512,"DIMENSIONES")+COUNTIFS('PEGAR'!$O$13:$O$512,B257,'PEGAR'!$P$13:$P$512,"DIRECTA"))</f>
      </c>
      <c r="N257" s="0">
        <f>IF(B257="","",COUNTIFS('PEGAR'!$O$13:$O$512,B257,'PEGAR'!$X$13:$X$512,2))</f>
      </c>
      <c r="O257" s="0">
        <f>IF(B257="","",COUNTIFS('PEGAR'!$O$13:$O$512,B257,'PEGAR'!$P$13:$P$512,"SIN LÍNEAS"))</f>
      </c>
      <c r="P257" s="0">
        <f>IF(B257="","",SUMIFS('PEGAR'!$Y$13:$Y$512,'PEGAR'!$O$13:$O$512,B257))</f>
      </c>
      <c r="Q257" s="0">
        <f>IF(B257="","",SUMIFS('PEGAR'!$Z$13:$Z$512,'PEGAR'!$O$13:$O$512,B257))</f>
      </c>
      <c r="R257" s="0" t="n">
        <f>IF(OR(B257="",D257=""),0,SUMPRODUCT(--($B$13:$B$512&lt;&gt;""),--($D$13:$D$512=D257),--($C$13:$C$512=C257))-1)</f>
        <v>0</v>
      </c>
      <c r="S257" s="0" t="n">
        <f>IF(OR(B257="",D257=""),0,SUMPRODUCT(--($B$13:$B$512&lt;&gt;""),--($D$13:$D$512=D257),--($C$13:$C$512&lt;&gt;C257)))</f>
        <v>0</v>
      </c>
      <c r="T257" s="0" t="n">
        <f>IF(OR(B257="",D257=""),0,SUMPRODUCT(--($B$13:$B$512&lt;&gt;""),--($D$13:$D$512=D257),--($E$13:$E$512&lt;&gt;E257)))</f>
        <v>0</v>
      </c>
      <c r="U257" s="0" t="n">
        <f>IF(B257="",0,IF(SUMPRODUCT(--('LÉEME'!$C$65:$C$86=E257))=0,1,0))</f>
        <v>0</v>
      </c>
      <c r="V257" s="0">
        <f>IF(B257="","",SUMIFS('PEGAR'!$AA$13:$AA$512,'PEGAR'!$O$13:$O$512,B257))</f>
      </c>
      <c r="W257" s="0">
        <f>IF(B257="","",IF(OR(L257=0,N257&gt;0,T257&gt;0,IF(ISNUMBER(H257),ROUND(ABS(H257),8)&gt;$F$6,FALSE)),2,IF(OR(M257=0,O257&gt;0,P257&gt;0,Q257&gt;0,R257&gt;0,S257&gt;0,U257&gt;0,V257&gt;0),1,0)))</f>
      </c>
      <c r="X257" s="0">
        <f>IF(B257="","",IF(ISNUMBER(G257),1,0))</f>
      </c>
      <c r="AB257" s="0">
        <f>IF(AND(ISNUMBER(W257),W257&gt;0),"ID "&amp;B257,"")</f>
      </c>
      <c r="AC257" s="0">
        <f>IF(AND(ISNUMBER(W257),W257&gt;0),C257,"")</f>
      </c>
      <c r="AD257" s="0">
        <f>IF(AND(ISNUMBER(W257),W257&gt;0),D257,"")</f>
      </c>
      <c r="AE257" s="0">
        <f>IF(AND(ISNUMBER(W257),W257&gt;0),IF(INDEX('PEGAR'!$D$13:$D$512,IF(L257&gt;0,L257,K257))="","Sin descripción",INDEX('PEGAR'!$D$13:$D$512,IF(L257&gt;0,L257,K257))),"")</f>
      </c>
      <c r="AF257" s="0">
        <f>IF(AND(ISNUMBER(W257),W257&gt;0),J257,"")</f>
      </c>
      <c r="AG257" s="0" t="n">
        <f>IF(AND(ISNUMBER(W257),W257&gt;0),W257,0)</f>
        <v>0</v>
      </c>
      <c r="AH257" s="0">
        <f>IF(AG257&gt;0,COUNTIFS($AG$13:AG257,"&gt;0"),"")</f>
      </c>
    </row>
    <row r="258" ht="22" customHeight="1">
      <c r="B258" s="27">
        <f>IF(K258="","",INDEX('PEGAR'!$O$13:$O$512,K258))</f>
      </c>
      <c r="C258" s="30">
        <f>IF(B258="","",IF(LEN(TRIM(INDEX('PEGAR'!$B$13:$B$512,IF(L258&gt;0,L258,K258))&amp;""))=0,"Sin capítulo",TRIM(INDEX('PEGAR'!$B$13:$B$512,IF(L258&gt;0,L258,K258))&amp;"")))</f>
      </c>
      <c r="D258" s="27">
        <f>IF(B258="","",IF(LEN(TRIM(INDEX('PEGAR'!$C$13:$C$512,IF(L258&gt;0,L258,K258))&amp;""))=0,"",TRIM(INDEX('PEGAR'!$C$13:$C$512,IF(L258&gt;0,L258,K258))&amp;"")))</f>
      </c>
      <c r="E258" s="27">
        <f>IF(B258="","",INDEX('PEGAR'!$S$13:$S$512,IF(L258&gt;0,L258,K258)))</f>
      </c>
      <c r="F258" s="39">
        <f>IF(B258="","",IF(L258&gt;0,INDEX('PEGAR'!$F$13:$F$512,L258),""))</f>
      </c>
      <c r="G258" s="39">
        <f>IF(B258="","",IF(OR(M258=0,N258&gt;0,O258&gt;0),"",SUMIFS('PEGAR'!$M$13:$M$512,'PEGAR'!$O$13:$O$512,B258)))</f>
      </c>
      <c r="H258" s="39">
        <f>IF(AND(ISNUMBER(F258),ISNUMBER(G258)),G258-F258,"")</f>
      </c>
      <c r="I258" s="27">
        <f>IF(B258="","",IF(W258=2,"ROJO",IF(W258=1,"ÁMBAR","VERDE")))</f>
      </c>
      <c r="J258" s="30">
        <f>IF(B258="","",IF(W258=0,"Sin avisos numéricos. Revisamos el alcance aparte.",IF(L258=0,"Faltan datos completos de partida; no elegimos un total por suposición."&amp;CHAR(10),"")&amp;IF(N258&gt;0,"Hay filas incompletas o contradictorias; las revisamos en PEGAR."&amp;CHAR(10),"")&amp;IF(O258&gt;0,"Faltan las medidas de alguna fila; no cerramos la suma."&amp;CHAR(10),"")&amp;IF(M258=0,"No constan líneas de medición."&amp;CHAR(10),"")&amp;IF(IF(ISNUMBER(H258),ROUND(ABS(H258),8)&gt;$F$6,FALSE),"Las líneas difieren del total en más de 0,01; confirmamos cantidad o exclusión."&amp;CHAR(10),"")&amp;IF(P258&gt;0,"Parece m³: encontramos tres dimensiones bajo m²."&amp;CHAR(10),"")&amp;IF(R258&gt;0,"Código repetido dentro del capítulo; mantenemos sus ID separados."&amp;CHAR(10),"")&amp;IF(S258&gt;0,"Código repetido en otro capítulo; no unimos las partidas."&amp;CHAR(10),"")&amp;IF(T258&gt;0,"Mismo código con unidades distintas; pedimos aclaración."&amp;CHAR(10),"")&amp;IF(Q258&gt;0,"Hay más precisión que los decimales indicados; cotejamos el formato original."&amp;CHAR(10),"")&amp;IF(U258&gt;0,"Unidad sin normalizar; cotejamos su significado antes de sumar unidades."&amp;CHAR(10),"")&amp;IF(V258&gt;0,"Revisamos dimensiones, cantidades directas, ceros o deducciones en PEGAR."&amp;CHAR(10),"")))</f>
      </c>
      <c r="K258" s="0">
        <f>IF(246&gt;'RESUMEN'!$E$6,"",MATCH(246,'PEGAR'!$W$13:$W$512,0))</f>
      </c>
      <c r="L258" s="0">
        <f>IF(K258="","",INDEX('PEGAR'!$R$13:$R$512,K258))</f>
      </c>
      <c r="M258" s="0">
        <f>IF(B258="","",COUNTIFS('PEGAR'!$O$13:$O$512,B258,'PEGAR'!$P$13:$P$512,"DIMENSIONES")+COUNTIFS('PEGAR'!$O$13:$O$512,B258,'PEGAR'!$P$13:$P$512,"DIRECTA"))</f>
      </c>
      <c r="N258" s="0">
        <f>IF(B258="","",COUNTIFS('PEGAR'!$O$13:$O$512,B258,'PEGAR'!$X$13:$X$512,2))</f>
      </c>
      <c r="O258" s="0">
        <f>IF(B258="","",COUNTIFS('PEGAR'!$O$13:$O$512,B258,'PEGAR'!$P$13:$P$512,"SIN LÍNEAS"))</f>
      </c>
      <c r="P258" s="0">
        <f>IF(B258="","",SUMIFS('PEGAR'!$Y$13:$Y$512,'PEGAR'!$O$13:$O$512,B258))</f>
      </c>
      <c r="Q258" s="0">
        <f>IF(B258="","",SUMIFS('PEGAR'!$Z$13:$Z$512,'PEGAR'!$O$13:$O$512,B258))</f>
      </c>
      <c r="R258" s="0" t="n">
        <f>IF(OR(B258="",D258=""),0,SUMPRODUCT(--($B$13:$B$512&lt;&gt;""),--($D$13:$D$512=D258),--($C$13:$C$512=C258))-1)</f>
        <v>0</v>
      </c>
      <c r="S258" s="0" t="n">
        <f>IF(OR(B258="",D258=""),0,SUMPRODUCT(--($B$13:$B$512&lt;&gt;""),--($D$13:$D$512=D258),--($C$13:$C$512&lt;&gt;C258)))</f>
        <v>0</v>
      </c>
      <c r="T258" s="0" t="n">
        <f>IF(OR(B258="",D258=""),0,SUMPRODUCT(--($B$13:$B$512&lt;&gt;""),--($D$13:$D$512=D258),--($E$13:$E$512&lt;&gt;E258)))</f>
        <v>0</v>
      </c>
      <c r="U258" s="0" t="n">
        <f>IF(B258="",0,IF(SUMPRODUCT(--('LÉEME'!$C$65:$C$86=E258))=0,1,0))</f>
        <v>0</v>
      </c>
      <c r="V258" s="0">
        <f>IF(B258="","",SUMIFS('PEGAR'!$AA$13:$AA$512,'PEGAR'!$O$13:$O$512,B258))</f>
      </c>
      <c r="W258" s="0">
        <f>IF(B258="","",IF(OR(L258=0,N258&gt;0,T258&gt;0,IF(ISNUMBER(H258),ROUND(ABS(H258),8)&gt;$F$6,FALSE)),2,IF(OR(M258=0,O258&gt;0,P258&gt;0,Q258&gt;0,R258&gt;0,S258&gt;0,U258&gt;0,V258&gt;0),1,0)))</f>
      </c>
      <c r="X258" s="0">
        <f>IF(B258="","",IF(ISNUMBER(G258),1,0))</f>
      </c>
      <c r="AB258" s="0">
        <f>IF(AND(ISNUMBER(W258),W258&gt;0),"ID "&amp;B258,"")</f>
      </c>
      <c r="AC258" s="0">
        <f>IF(AND(ISNUMBER(W258),W258&gt;0),C258,"")</f>
      </c>
      <c r="AD258" s="0">
        <f>IF(AND(ISNUMBER(W258),W258&gt;0),D258,"")</f>
      </c>
      <c r="AE258" s="0">
        <f>IF(AND(ISNUMBER(W258),W258&gt;0),IF(INDEX('PEGAR'!$D$13:$D$512,IF(L258&gt;0,L258,K258))="","Sin descripción",INDEX('PEGAR'!$D$13:$D$512,IF(L258&gt;0,L258,K258))),"")</f>
      </c>
      <c r="AF258" s="0">
        <f>IF(AND(ISNUMBER(W258),W258&gt;0),J258,"")</f>
      </c>
      <c r="AG258" s="0" t="n">
        <f>IF(AND(ISNUMBER(W258),W258&gt;0),W258,0)</f>
        <v>0</v>
      </c>
      <c r="AH258" s="0">
        <f>IF(AG258&gt;0,COUNTIFS($AG$13:AG258,"&gt;0"),"")</f>
      </c>
    </row>
    <row r="259" ht="22" customHeight="1">
      <c r="B259" s="27">
        <f>IF(K259="","",INDEX('PEGAR'!$O$13:$O$512,K259))</f>
      </c>
      <c r="C259" s="30">
        <f>IF(B259="","",IF(LEN(TRIM(INDEX('PEGAR'!$B$13:$B$512,IF(L259&gt;0,L259,K259))&amp;""))=0,"Sin capítulo",TRIM(INDEX('PEGAR'!$B$13:$B$512,IF(L259&gt;0,L259,K259))&amp;"")))</f>
      </c>
      <c r="D259" s="27">
        <f>IF(B259="","",IF(LEN(TRIM(INDEX('PEGAR'!$C$13:$C$512,IF(L259&gt;0,L259,K259))&amp;""))=0,"",TRIM(INDEX('PEGAR'!$C$13:$C$512,IF(L259&gt;0,L259,K259))&amp;"")))</f>
      </c>
      <c r="E259" s="27">
        <f>IF(B259="","",INDEX('PEGAR'!$S$13:$S$512,IF(L259&gt;0,L259,K259)))</f>
      </c>
      <c r="F259" s="39">
        <f>IF(B259="","",IF(L259&gt;0,INDEX('PEGAR'!$F$13:$F$512,L259),""))</f>
      </c>
      <c r="G259" s="39">
        <f>IF(B259="","",IF(OR(M259=0,N259&gt;0,O259&gt;0),"",SUMIFS('PEGAR'!$M$13:$M$512,'PEGAR'!$O$13:$O$512,B259)))</f>
      </c>
      <c r="H259" s="39">
        <f>IF(AND(ISNUMBER(F259),ISNUMBER(G259)),G259-F259,"")</f>
      </c>
      <c r="I259" s="27">
        <f>IF(B259="","",IF(W259=2,"ROJO",IF(W259=1,"ÁMBAR","VERDE")))</f>
      </c>
      <c r="J259" s="30">
        <f>IF(B259="","",IF(W259=0,"Sin avisos numéricos. Revisamos el alcance aparte.",IF(L259=0,"Faltan datos completos de partida; no elegimos un total por suposición."&amp;CHAR(10),"")&amp;IF(N259&gt;0,"Hay filas incompletas o contradictorias; las revisamos en PEGAR."&amp;CHAR(10),"")&amp;IF(O259&gt;0,"Faltan las medidas de alguna fila; no cerramos la suma."&amp;CHAR(10),"")&amp;IF(M259=0,"No constan líneas de medición."&amp;CHAR(10),"")&amp;IF(IF(ISNUMBER(H259),ROUND(ABS(H259),8)&gt;$F$6,FALSE),"Las líneas difieren del total en más de 0,01; confirmamos cantidad o exclusión."&amp;CHAR(10),"")&amp;IF(P259&gt;0,"Parece m³: encontramos tres dimensiones bajo m²."&amp;CHAR(10),"")&amp;IF(R259&gt;0,"Código repetido dentro del capítulo; mantenemos sus ID separados."&amp;CHAR(10),"")&amp;IF(S259&gt;0,"Código repetido en otro capítulo; no unimos las partidas."&amp;CHAR(10),"")&amp;IF(T259&gt;0,"Mismo código con unidades distintas; pedimos aclaración."&amp;CHAR(10),"")&amp;IF(Q259&gt;0,"Hay más precisión que los decimales indicados; cotejamos el formato original."&amp;CHAR(10),"")&amp;IF(U259&gt;0,"Unidad sin normalizar; cotejamos su significado antes de sumar unidades."&amp;CHAR(10),"")&amp;IF(V259&gt;0,"Revisamos dimensiones, cantidades directas, ceros o deducciones en PEGAR."&amp;CHAR(10),"")))</f>
      </c>
      <c r="K259" s="0">
        <f>IF(247&gt;'RESUMEN'!$E$6,"",MATCH(247,'PEGAR'!$W$13:$W$512,0))</f>
      </c>
      <c r="L259" s="0">
        <f>IF(K259="","",INDEX('PEGAR'!$R$13:$R$512,K259))</f>
      </c>
      <c r="M259" s="0">
        <f>IF(B259="","",COUNTIFS('PEGAR'!$O$13:$O$512,B259,'PEGAR'!$P$13:$P$512,"DIMENSIONES")+COUNTIFS('PEGAR'!$O$13:$O$512,B259,'PEGAR'!$P$13:$P$512,"DIRECTA"))</f>
      </c>
      <c r="N259" s="0">
        <f>IF(B259="","",COUNTIFS('PEGAR'!$O$13:$O$512,B259,'PEGAR'!$X$13:$X$512,2))</f>
      </c>
      <c r="O259" s="0">
        <f>IF(B259="","",COUNTIFS('PEGAR'!$O$13:$O$512,B259,'PEGAR'!$P$13:$P$512,"SIN LÍNEAS"))</f>
      </c>
      <c r="P259" s="0">
        <f>IF(B259="","",SUMIFS('PEGAR'!$Y$13:$Y$512,'PEGAR'!$O$13:$O$512,B259))</f>
      </c>
      <c r="Q259" s="0">
        <f>IF(B259="","",SUMIFS('PEGAR'!$Z$13:$Z$512,'PEGAR'!$O$13:$O$512,B259))</f>
      </c>
      <c r="R259" s="0" t="n">
        <f>IF(OR(B259="",D259=""),0,SUMPRODUCT(--($B$13:$B$512&lt;&gt;""),--($D$13:$D$512=D259),--($C$13:$C$512=C259))-1)</f>
        <v>0</v>
      </c>
      <c r="S259" s="0" t="n">
        <f>IF(OR(B259="",D259=""),0,SUMPRODUCT(--($B$13:$B$512&lt;&gt;""),--($D$13:$D$512=D259),--($C$13:$C$512&lt;&gt;C259)))</f>
        <v>0</v>
      </c>
      <c r="T259" s="0" t="n">
        <f>IF(OR(B259="",D259=""),0,SUMPRODUCT(--($B$13:$B$512&lt;&gt;""),--($D$13:$D$512=D259),--($E$13:$E$512&lt;&gt;E259)))</f>
        <v>0</v>
      </c>
      <c r="U259" s="0" t="n">
        <f>IF(B259="",0,IF(SUMPRODUCT(--('LÉEME'!$C$65:$C$86=E259))=0,1,0))</f>
        <v>0</v>
      </c>
      <c r="V259" s="0">
        <f>IF(B259="","",SUMIFS('PEGAR'!$AA$13:$AA$512,'PEGAR'!$O$13:$O$512,B259))</f>
      </c>
      <c r="W259" s="0">
        <f>IF(B259="","",IF(OR(L259=0,N259&gt;0,T259&gt;0,IF(ISNUMBER(H259),ROUND(ABS(H259),8)&gt;$F$6,FALSE)),2,IF(OR(M259=0,O259&gt;0,P259&gt;0,Q259&gt;0,R259&gt;0,S259&gt;0,U259&gt;0,V259&gt;0),1,0)))</f>
      </c>
      <c r="X259" s="0">
        <f>IF(B259="","",IF(ISNUMBER(G259),1,0))</f>
      </c>
      <c r="AB259" s="0">
        <f>IF(AND(ISNUMBER(W259),W259&gt;0),"ID "&amp;B259,"")</f>
      </c>
      <c r="AC259" s="0">
        <f>IF(AND(ISNUMBER(W259),W259&gt;0),C259,"")</f>
      </c>
      <c r="AD259" s="0">
        <f>IF(AND(ISNUMBER(W259),W259&gt;0),D259,"")</f>
      </c>
      <c r="AE259" s="0">
        <f>IF(AND(ISNUMBER(W259),W259&gt;0),IF(INDEX('PEGAR'!$D$13:$D$512,IF(L259&gt;0,L259,K259))="","Sin descripción",INDEX('PEGAR'!$D$13:$D$512,IF(L259&gt;0,L259,K259))),"")</f>
      </c>
      <c r="AF259" s="0">
        <f>IF(AND(ISNUMBER(W259),W259&gt;0),J259,"")</f>
      </c>
      <c r="AG259" s="0" t="n">
        <f>IF(AND(ISNUMBER(W259),W259&gt;0),W259,0)</f>
        <v>0</v>
      </c>
      <c r="AH259" s="0">
        <f>IF(AG259&gt;0,COUNTIFS($AG$13:AG259,"&gt;0"),"")</f>
      </c>
    </row>
    <row r="260" ht="22" customHeight="1">
      <c r="B260" s="27">
        <f>IF(K260="","",INDEX('PEGAR'!$O$13:$O$512,K260))</f>
      </c>
      <c r="C260" s="30">
        <f>IF(B260="","",IF(LEN(TRIM(INDEX('PEGAR'!$B$13:$B$512,IF(L260&gt;0,L260,K260))&amp;""))=0,"Sin capítulo",TRIM(INDEX('PEGAR'!$B$13:$B$512,IF(L260&gt;0,L260,K260))&amp;"")))</f>
      </c>
      <c r="D260" s="27">
        <f>IF(B260="","",IF(LEN(TRIM(INDEX('PEGAR'!$C$13:$C$512,IF(L260&gt;0,L260,K260))&amp;""))=0,"",TRIM(INDEX('PEGAR'!$C$13:$C$512,IF(L260&gt;0,L260,K260))&amp;"")))</f>
      </c>
      <c r="E260" s="27">
        <f>IF(B260="","",INDEX('PEGAR'!$S$13:$S$512,IF(L260&gt;0,L260,K260)))</f>
      </c>
      <c r="F260" s="39">
        <f>IF(B260="","",IF(L260&gt;0,INDEX('PEGAR'!$F$13:$F$512,L260),""))</f>
      </c>
      <c r="G260" s="39">
        <f>IF(B260="","",IF(OR(M260=0,N260&gt;0,O260&gt;0),"",SUMIFS('PEGAR'!$M$13:$M$512,'PEGAR'!$O$13:$O$512,B260)))</f>
      </c>
      <c r="H260" s="39">
        <f>IF(AND(ISNUMBER(F260),ISNUMBER(G260)),G260-F260,"")</f>
      </c>
      <c r="I260" s="27">
        <f>IF(B260="","",IF(W260=2,"ROJO",IF(W260=1,"ÁMBAR","VERDE")))</f>
      </c>
      <c r="J260" s="30">
        <f>IF(B260="","",IF(W260=0,"Sin avisos numéricos. Revisamos el alcance aparte.",IF(L260=0,"Faltan datos completos de partida; no elegimos un total por suposición."&amp;CHAR(10),"")&amp;IF(N260&gt;0,"Hay filas incompletas o contradictorias; las revisamos en PEGAR."&amp;CHAR(10),"")&amp;IF(O260&gt;0,"Faltan las medidas de alguna fila; no cerramos la suma."&amp;CHAR(10),"")&amp;IF(M260=0,"No constan líneas de medición."&amp;CHAR(10),"")&amp;IF(IF(ISNUMBER(H260),ROUND(ABS(H260),8)&gt;$F$6,FALSE),"Las líneas difieren del total en más de 0,01; confirmamos cantidad o exclusión."&amp;CHAR(10),"")&amp;IF(P260&gt;0,"Parece m³: encontramos tres dimensiones bajo m²."&amp;CHAR(10),"")&amp;IF(R260&gt;0,"Código repetido dentro del capítulo; mantenemos sus ID separados."&amp;CHAR(10),"")&amp;IF(S260&gt;0,"Código repetido en otro capítulo; no unimos las partidas."&amp;CHAR(10),"")&amp;IF(T260&gt;0,"Mismo código con unidades distintas; pedimos aclaración."&amp;CHAR(10),"")&amp;IF(Q260&gt;0,"Hay más precisión que los decimales indicados; cotejamos el formato original."&amp;CHAR(10),"")&amp;IF(U260&gt;0,"Unidad sin normalizar; cotejamos su significado antes de sumar unidades."&amp;CHAR(10),"")&amp;IF(V260&gt;0,"Revisamos dimensiones, cantidades directas, ceros o deducciones en PEGAR."&amp;CHAR(10),"")))</f>
      </c>
      <c r="K260" s="0">
        <f>IF(248&gt;'RESUMEN'!$E$6,"",MATCH(248,'PEGAR'!$W$13:$W$512,0))</f>
      </c>
      <c r="L260" s="0">
        <f>IF(K260="","",INDEX('PEGAR'!$R$13:$R$512,K260))</f>
      </c>
      <c r="M260" s="0">
        <f>IF(B260="","",COUNTIFS('PEGAR'!$O$13:$O$512,B260,'PEGAR'!$P$13:$P$512,"DIMENSIONES")+COUNTIFS('PEGAR'!$O$13:$O$512,B260,'PEGAR'!$P$13:$P$512,"DIRECTA"))</f>
      </c>
      <c r="N260" s="0">
        <f>IF(B260="","",COUNTIFS('PEGAR'!$O$13:$O$512,B260,'PEGAR'!$X$13:$X$512,2))</f>
      </c>
      <c r="O260" s="0">
        <f>IF(B260="","",COUNTIFS('PEGAR'!$O$13:$O$512,B260,'PEGAR'!$P$13:$P$512,"SIN LÍNEAS"))</f>
      </c>
      <c r="P260" s="0">
        <f>IF(B260="","",SUMIFS('PEGAR'!$Y$13:$Y$512,'PEGAR'!$O$13:$O$512,B260))</f>
      </c>
      <c r="Q260" s="0">
        <f>IF(B260="","",SUMIFS('PEGAR'!$Z$13:$Z$512,'PEGAR'!$O$13:$O$512,B260))</f>
      </c>
      <c r="R260" s="0" t="n">
        <f>IF(OR(B260="",D260=""),0,SUMPRODUCT(--($B$13:$B$512&lt;&gt;""),--($D$13:$D$512=D260),--($C$13:$C$512=C260))-1)</f>
        <v>0</v>
      </c>
      <c r="S260" s="0" t="n">
        <f>IF(OR(B260="",D260=""),0,SUMPRODUCT(--($B$13:$B$512&lt;&gt;""),--($D$13:$D$512=D260),--($C$13:$C$512&lt;&gt;C260)))</f>
        <v>0</v>
      </c>
      <c r="T260" s="0" t="n">
        <f>IF(OR(B260="",D260=""),0,SUMPRODUCT(--($B$13:$B$512&lt;&gt;""),--($D$13:$D$512=D260),--($E$13:$E$512&lt;&gt;E260)))</f>
        <v>0</v>
      </c>
      <c r="U260" s="0" t="n">
        <f>IF(B260="",0,IF(SUMPRODUCT(--('LÉEME'!$C$65:$C$86=E260))=0,1,0))</f>
        <v>0</v>
      </c>
      <c r="V260" s="0">
        <f>IF(B260="","",SUMIFS('PEGAR'!$AA$13:$AA$512,'PEGAR'!$O$13:$O$512,B260))</f>
      </c>
      <c r="W260" s="0">
        <f>IF(B260="","",IF(OR(L260=0,N260&gt;0,T260&gt;0,IF(ISNUMBER(H260),ROUND(ABS(H260),8)&gt;$F$6,FALSE)),2,IF(OR(M260=0,O260&gt;0,P260&gt;0,Q260&gt;0,R260&gt;0,S260&gt;0,U260&gt;0,V260&gt;0),1,0)))</f>
      </c>
      <c r="X260" s="0">
        <f>IF(B260="","",IF(ISNUMBER(G260),1,0))</f>
      </c>
      <c r="AB260" s="0">
        <f>IF(AND(ISNUMBER(W260),W260&gt;0),"ID "&amp;B260,"")</f>
      </c>
      <c r="AC260" s="0">
        <f>IF(AND(ISNUMBER(W260),W260&gt;0),C260,"")</f>
      </c>
      <c r="AD260" s="0">
        <f>IF(AND(ISNUMBER(W260),W260&gt;0),D260,"")</f>
      </c>
      <c r="AE260" s="0">
        <f>IF(AND(ISNUMBER(W260),W260&gt;0),IF(INDEX('PEGAR'!$D$13:$D$512,IF(L260&gt;0,L260,K260))="","Sin descripción",INDEX('PEGAR'!$D$13:$D$512,IF(L260&gt;0,L260,K260))),"")</f>
      </c>
      <c r="AF260" s="0">
        <f>IF(AND(ISNUMBER(W260),W260&gt;0),J260,"")</f>
      </c>
      <c r="AG260" s="0" t="n">
        <f>IF(AND(ISNUMBER(W260),W260&gt;0),W260,0)</f>
        <v>0</v>
      </c>
      <c r="AH260" s="0">
        <f>IF(AG260&gt;0,COUNTIFS($AG$13:AG260,"&gt;0"),"")</f>
      </c>
    </row>
    <row r="261" ht="22" customHeight="1">
      <c r="B261" s="27">
        <f>IF(K261="","",INDEX('PEGAR'!$O$13:$O$512,K261))</f>
      </c>
      <c r="C261" s="30">
        <f>IF(B261="","",IF(LEN(TRIM(INDEX('PEGAR'!$B$13:$B$512,IF(L261&gt;0,L261,K261))&amp;""))=0,"Sin capítulo",TRIM(INDEX('PEGAR'!$B$13:$B$512,IF(L261&gt;0,L261,K261))&amp;"")))</f>
      </c>
      <c r="D261" s="27">
        <f>IF(B261="","",IF(LEN(TRIM(INDEX('PEGAR'!$C$13:$C$512,IF(L261&gt;0,L261,K261))&amp;""))=0,"",TRIM(INDEX('PEGAR'!$C$13:$C$512,IF(L261&gt;0,L261,K261))&amp;"")))</f>
      </c>
      <c r="E261" s="27">
        <f>IF(B261="","",INDEX('PEGAR'!$S$13:$S$512,IF(L261&gt;0,L261,K261)))</f>
      </c>
      <c r="F261" s="39">
        <f>IF(B261="","",IF(L261&gt;0,INDEX('PEGAR'!$F$13:$F$512,L261),""))</f>
      </c>
      <c r="G261" s="39">
        <f>IF(B261="","",IF(OR(M261=0,N261&gt;0,O261&gt;0),"",SUMIFS('PEGAR'!$M$13:$M$512,'PEGAR'!$O$13:$O$512,B261)))</f>
      </c>
      <c r="H261" s="39">
        <f>IF(AND(ISNUMBER(F261),ISNUMBER(G261)),G261-F261,"")</f>
      </c>
      <c r="I261" s="27">
        <f>IF(B261="","",IF(W261=2,"ROJO",IF(W261=1,"ÁMBAR","VERDE")))</f>
      </c>
      <c r="J261" s="30">
        <f>IF(B261="","",IF(W261=0,"Sin avisos numéricos. Revisamos el alcance aparte.",IF(L261=0,"Faltan datos completos de partida; no elegimos un total por suposición."&amp;CHAR(10),"")&amp;IF(N261&gt;0,"Hay filas incompletas o contradictorias; las revisamos en PEGAR."&amp;CHAR(10),"")&amp;IF(O261&gt;0,"Faltan las medidas de alguna fila; no cerramos la suma."&amp;CHAR(10),"")&amp;IF(M261=0,"No constan líneas de medición."&amp;CHAR(10),"")&amp;IF(IF(ISNUMBER(H261),ROUND(ABS(H261),8)&gt;$F$6,FALSE),"Las líneas difieren del total en más de 0,01; confirmamos cantidad o exclusión."&amp;CHAR(10),"")&amp;IF(P261&gt;0,"Parece m³: encontramos tres dimensiones bajo m²."&amp;CHAR(10),"")&amp;IF(R261&gt;0,"Código repetido dentro del capítulo; mantenemos sus ID separados."&amp;CHAR(10),"")&amp;IF(S261&gt;0,"Código repetido en otro capítulo; no unimos las partidas."&amp;CHAR(10),"")&amp;IF(T261&gt;0,"Mismo código con unidades distintas; pedimos aclaración."&amp;CHAR(10),"")&amp;IF(Q261&gt;0,"Hay más precisión que los decimales indicados; cotejamos el formato original."&amp;CHAR(10),"")&amp;IF(U261&gt;0,"Unidad sin normalizar; cotejamos su significado antes de sumar unidades."&amp;CHAR(10),"")&amp;IF(V261&gt;0,"Revisamos dimensiones, cantidades directas, ceros o deducciones en PEGAR."&amp;CHAR(10),"")))</f>
      </c>
      <c r="K261" s="0">
        <f>IF(249&gt;'RESUMEN'!$E$6,"",MATCH(249,'PEGAR'!$W$13:$W$512,0))</f>
      </c>
      <c r="L261" s="0">
        <f>IF(K261="","",INDEX('PEGAR'!$R$13:$R$512,K261))</f>
      </c>
      <c r="M261" s="0">
        <f>IF(B261="","",COUNTIFS('PEGAR'!$O$13:$O$512,B261,'PEGAR'!$P$13:$P$512,"DIMENSIONES")+COUNTIFS('PEGAR'!$O$13:$O$512,B261,'PEGAR'!$P$13:$P$512,"DIRECTA"))</f>
      </c>
      <c r="N261" s="0">
        <f>IF(B261="","",COUNTIFS('PEGAR'!$O$13:$O$512,B261,'PEGAR'!$X$13:$X$512,2))</f>
      </c>
      <c r="O261" s="0">
        <f>IF(B261="","",COUNTIFS('PEGAR'!$O$13:$O$512,B261,'PEGAR'!$P$13:$P$512,"SIN LÍNEAS"))</f>
      </c>
      <c r="P261" s="0">
        <f>IF(B261="","",SUMIFS('PEGAR'!$Y$13:$Y$512,'PEGAR'!$O$13:$O$512,B261))</f>
      </c>
      <c r="Q261" s="0">
        <f>IF(B261="","",SUMIFS('PEGAR'!$Z$13:$Z$512,'PEGAR'!$O$13:$O$512,B261))</f>
      </c>
      <c r="R261" s="0" t="n">
        <f>IF(OR(B261="",D261=""),0,SUMPRODUCT(--($B$13:$B$512&lt;&gt;""),--($D$13:$D$512=D261),--($C$13:$C$512=C261))-1)</f>
        <v>0</v>
      </c>
      <c r="S261" s="0" t="n">
        <f>IF(OR(B261="",D261=""),0,SUMPRODUCT(--($B$13:$B$512&lt;&gt;""),--($D$13:$D$512=D261),--($C$13:$C$512&lt;&gt;C261)))</f>
        <v>0</v>
      </c>
      <c r="T261" s="0" t="n">
        <f>IF(OR(B261="",D261=""),0,SUMPRODUCT(--($B$13:$B$512&lt;&gt;""),--($D$13:$D$512=D261),--($E$13:$E$512&lt;&gt;E261)))</f>
        <v>0</v>
      </c>
      <c r="U261" s="0" t="n">
        <f>IF(B261="",0,IF(SUMPRODUCT(--('LÉEME'!$C$65:$C$86=E261))=0,1,0))</f>
        <v>0</v>
      </c>
      <c r="V261" s="0">
        <f>IF(B261="","",SUMIFS('PEGAR'!$AA$13:$AA$512,'PEGAR'!$O$13:$O$512,B261))</f>
      </c>
      <c r="W261" s="0">
        <f>IF(B261="","",IF(OR(L261=0,N261&gt;0,T261&gt;0,IF(ISNUMBER(H261),ROUND(ABS(H261),8)&gt;$F$6,FALSE)),2,IF(OR(M261=0,O261&gt;0,P261&gt;0,Q261&gt;0,R261&gt;0,S261&gt;0,U261&gt;0,V261&gt;0),1,0)))</f>
      </c>
      <c r="X261" s="0">
        <f>IF(B261="","",IF(ISNUMBER(G261),1,0))</f>
      </c>
      <c r="AB261" s="0">
        <f>IF(AND(ISNUMBER(W261),W261&gt;0),"ID "&amp;B261,"")</f>
      </c>
      <c r="AC261" s="0">
        <f>IF(AND(ISNUMBER(W261),W261&gt;0),C261,"")</f>
      </c>
      <c r="AD261" s="0">
        <f>IF(AND(ISNUMBER(W261),W261&gt;0),D261,"")</f>
      </c>
      <c r="AE261" s="0">
        <f>IF(AND(ISNUMBER(W261),W261&gt;0),IF(INDEX('PEGAR'!$D$13:$D$512,IF(L261&gt;0,L261,K261))="","Sin descripción",INDEX('PEGAR'!$D$13:$D$512,IF(L261&gt;0,L261,K261))),"")</f>
      </c>
      <c r="AF261" s="0">
        <f>IF(AND(ISNUMBER(W261),W261&gt;0),J261,"")</f>
      </c>
      <c r="AG261" s="0" t="n">
        <f>IF(AND(ISNUMBER(W261),W261&gt;0),W261,0)</f>
        <v>0</v>
      </c>
      <c r="AH261" s="0">
        <f>IF(AG261&gt;0,COUNTIFS($AG$13:AG261,"&gt;0"),"")</f>
      </c>
    </row>
    <row r="262" ht="22" customHeight="1">
      <c r="B262" s="27">
        <f>IF(K262="","",INDEX('PEGAR'!$O$13:$O$512,K262))</f>
      </c>
      <c r="C262" s="30">
        <f>IF(B262="","",IF(LEN(TRIM(INDEX('PEGAR'!$B$13:$B$512,IF(L262&gt;0,L262,K262))&amp;""))=0,"Sin capítulo",TRIM(INDEX('PEGAR'!$B$13:$B$512,IF(L262&gt;0,L262,K262))&amp;"")))</f>
      </c>
      <c r="D262" s="27">
        <f>IF(B262="","",IF(LEN(TRIM(INDEX('PEGAR'!$C$13:$C$512,IF(L262&gt;0,L262,K262))&amp;""))=0,"",TRIM(INDEX('PEGAR'!$C$13:$C$512,IF(L262&gt;0,L262,K262))&amp;"")))</f>
      </c>
      <c r="E262" s="27">
        <f>IF(B262="","",INDEX('PEGAR'!$S$13:$S$512,IF(L262&gt;0,L262,K262)))</f>
      </c>
      <c r="F262" s="39">
        <f>IF(B262="","",IF(L262&gt;0,INDEX('PEGAR'!$F$13:$F$512,L262),""))</f>
      </c>
      <c r="G262" s="39">
        <f>IF(B262="","",IF(OR(M262=0,N262&gt;0,O262&gt;0),"",SUMIFS('PEGAR'!$M$13:$M$512,'PEGAR'!$O$13:$O$512,B262)))</f>
      </c>
      <c r="H262" s="39">
        <f>IF(AND(ISNUMBER(F262),ISNUMBER(G262)),G262-F262,"")</f>
      </c>
      <c r="I262" s="27">
        <f>IF(B262="","",IF(W262=2,"ROJO",IF(W262=1,"ÁMBAR","VERDE")))</f>
      </c>
      <c r="J262" s="30">
        <f>IF(B262="","",IF(W262=0,"Sin avisos numéricos. Revisamos el alcance aparte.",IF(L262=0,"Faltan datos completos de partida; no elegimos un total por suposición."&amp;CHAR(10),"")&amp;IF(N262&gt;0,"Hay filas incompletas o contradictorias; las revisamos en PEGAR."&amp;CHAR(10),"")&amp;IF(O262&gt;0,"Faltan las medidas de alguna fila; no cerramos la suma."&amp;CHAR(10),"")&amp;IF(M262=0,"No constan líneas de medición."&amp;CHAR(10),"")&amp;IF(IF(ISNUMBER(H262),ROUND(ABS(H262),8)&gt;$F$6,FALSE),"Las líneas difieren del total en más de 0,01; confirmamos cantidad o exclusión."&amp;CHAR(10),"")&amp;IF(P262&gt;0,"Parece m³: encontramos tres dimensiones bajo m²."&amp;CHAR(10),"")&amp;IF(R262&gt;0,"Código repetido dentro del capítulo; mantenemos sus ID separados."&amp;CHAR(10),"")&amp;IF(S262&gt;0,"Código repetido en otro capítulo; no unimos las partidas."&amp;CHAR(10),"")&amp;IF(T262&gt;0,"Mismo código con unidades distintas; pedimos aclaración."&amp;CHAR(10),"")&amp;IF(Q262&gt;0,"Hay más precisión que los decimales indicados; cotejamos el formato original."&amp;CHAR(10),"")&amp;IF(U262&gt;0,"Unidad sin normalizar; cotejamos su significado antes de sumar unidades."&amp;CHAR(10),"")&amp;IF(V262&gt;0,"Revisamos dimensiones, cantidades directas, ceros o deducciones en PEGAR."&amp;CHAR(10),"")))</f>
      </c>
      <c r="K262" s="0">
        <f>IF(250&gt;'RESUMEN'!$E$6,"",MATCH(250,'PEGAR'!$W$13:$W$512,0))</f>
      </c>
      <c r="L262" s="0">
        <f>IF(K262="","",INDEX('PEGAR'!$R$13:$R$512,K262))</f>
      </c>
      <c r="M262" s="0">
        <f>IF(B262="","",COUNTIFS('PEGAR'!$O$13:$O$512,B262,'PEGAR'!$P$13:$P$512,"DIMENSIONES")+COUNTIFS('PEGAR'!$O$13:$O$512,B262,'PEGAR'!$P$13:$P$512,"DIRECTA"))</f>
      </c>
      <c r="N262" s="0">
        <f>IF(B262="","",COUNTIFS('PEGAR'!$O$13:$O$512,B262,'PEGAR'!$X$13:$X$512,2))</f>
      </c>
      <c r="O262" s="0">
        <f>IF(B262="","",COUNTIFS('PEGAR'!$O$13:$O$512,B262,'PEGAR'!$P$13:$P$512,"SIN LÍNEAS"))</f>
      </c>
      <c r="P262" s="0">
        <f>IF(B262="","",SUMIFS('PEGAR'!$Y$13:$Y$512,'PEGAR'!$O$13:$O$512,B262))</f>
      </c>
      <c r="Q262" s="0">
        <f>IF(B262="","",SUMIFS('PEGAR'!$Z$13:$Z$512,'PEGAR'!$O$13:$O$512,B262))</f>
      </c>
      <c r="R262" s="0" t="n">
        <f>IF(OR(B262="",D262=""),0,SUMPRODUCT(--($B$13:$B$512&lt;&gt;""),--($D$13:$D$512=D262),--($C$13:$C$512=C262))-1)</f>
        <v>0</v>
      </c>
      <c r="S262" s="0" t="n">
        <f>IF(OR(B262="",D262=""),0,SUMPRODUCT(--($B$13:$B$512&lt;&gt;""),--($D$13:$D$512=D262),--($C$13:$C$512&lt;&gt;C262)))</f>
        <v>0</v>
      </c>
      <c r="T262" s="0" t="n">
        <f>IF(OR(B262="",D262=""),0,SUMPRODUCT(--($B$13:$B$512&lt;&gt;""),--($D$13:$D$512=D262),--($E$13:$E$512&lt;&gt;E262)))</f>
        <v>0</v>
      </c>
      <c r="U262" s="0" t="n">
        <f>IF(B262="",0,IF(SUMPRODUCT(--('LÉEME'!$C$65:$C$86=E262))=0,1,0))</f>
        <v>0</v>
      </c>
      <c r="V262" s="0">
        <f>IF(B262="","",SUMIFS('PEGAR'!$AA$13:$AA$512,'PEGAR'!$O$13:$O$512,B262))</f>
      </c>
      <c r="W262" s="0">
        <f>IF(B262="","",IF(OR(L262=0,N262&gt;0,T262&gt;0,IF(ISNUMBER(H262),ROUND(ABS(H262),8)&gt;$F$6,FALSE)),2,IF(OR(M262=0,O262&gt;0,P262&gt;0,Q262&gt;0,R262&gt;0,S262&gt;0,U262&gt;0,V262&gt;0),1,0)))</f>
      </c>
      <c r="X262" s="0">
        <f>IF(B262="","",IF(ISNUMBER(G262),1,0))</f>
      </c>
      <c r="AB262" s="0">
        <f>IF(AND(ISNUMBER(W262),W262&gt;0),"ID "&amp;B262,"")</f>
      </c>
      <c r="AC262" s="0">
        <f>IF(AND(ISNUMBER(W262),W262&gt;0),C262,"")</f>
      </c>
      <c r="AD262" s="0">
        <f>IF(AND(ISNUMBER(W262),W262&gt;0),D262,"")</f>
      </c>
      <c r="AE262" s="0">
        <f>IF(AND(ISNUMBER(W262),W262&gt;0),IF(INDEX('PEGAR'!$D$13:$D$512,IF(L262&gt;0,L262,K262))="","Sin descripción",INDEX('PEGAR'!$D$13:$D$512,IF(L262&gt;0,L262,K262))),"")</f>
      </c>
      <c r="AF262" s="0">
        <f>IF(AND(ISNUMBER(W262),W262&gt;0),J262,"")</f>
      </c>
      <c r="AG262" s="0" t="n">
        <f>IF(AND(ISNUMBER(W262),W262&gt;0),W262,0)</f>
        <v>0</v>
      </c>
      <c r="AH262" s="0">
        <f>IF(AG262&gt;0,COUNTIFS($AG$13:AG262,"&gt;0"),"")</f>
      </c>
    </row>
    <row r="263" ht="22" customHeight="1">
      <c r="B263" s="27">
        <f>IF(K263="","",INDEX('PEGAR'!$O$13:$O$512,K263))</f>
      </c>
      <c r="C263" s="30">
        <f>IF(B263="","",IF(LEN(TRIM(INDEX('PEGAR'!$B$13:$B$512,IF(L263&gt;0,L263,K263))&amp;""))=0,"Sin capítulo",TRIM(INDEX('PEGAR'!$B$13:$B$512,IF(L263&gt;0,L263,K263))&amp;"")))</f>
      </c>
      <c r="D263" s="27">
        <f>IF(B263="","",IF(LEN(TRIM(INDEX('PEGAR'!$C$13:$C$512,IF(L263&gt;0,L263,K263))&amp;""))=0,"",TRIM(INDEX('PEGAR'!$C$13:$C$512,IF(L263&gt;0,L263,K263))&amp;"")))</f>
      </c>
      <c r="E263" s="27">
        <f>IF(B263="","",INDEX('PEGAR'!$S$13:$S$512,IF(L263&gt;0,L263,K263)))</f>
      </c>
      <c r="F263" s="39">
        <f>IF(B263="","",IF(L263&gt;0,INDEX('PEGAR'!$F$13:$F$512,L263),""))</f>
      </c>
      <c r="G263" s="39">
        <f>IF(B263="","",IF(OR(M263=0,N263&gt;0,O263&gt;0),"",SUMIFS('PEGAR'!$M$13:$M$512,'PEGAR'!$O$13:$O$512,B263)))</f>
      </c>
      <c r="H263" s="39">
        <f>IF(AND(ISNUMBER(F263),ISNUMBER(G263)),G263-F263,"")</f>
      </c>
      <c r="I263" s="27">
        <f>IF(B263="","",IF(W263=2,"ROJO",IF(W263=1,"ÁMBAR","VERDE")))</f>
      </c>
      <c r="J263" s="30">
        <f>IF(B263="","",IF(W263=0,"Sin avisos numéricos. Revisamos el alcance aparte.",IF(L263=0,"Faltan datos completos de partida; no elegimos un total por suposición."&amp;CHAR(10),"")&amp;IF(N263&gt;0,"Hay filas incompletas o contradictorias; las revisamos en PEGAR."&amp;CHAR(10),"")&amp;IF(O263&gt;0,"Faltan las medidas de alguna fila; no cerramos la suma."&amp;CHAR(10),"")&amp;IF(M263=0,"No constan líneas de medición."&amp;CHAR(10),"")&amp;IF(IF(ISNUMBER(H263),ROUND(ABS(H263),8)&gt;$F$6,FALSE),"Las líneas difieren del total en más de 0,01; confirmamos cantidad o exclusión."&amp;CHAR(10),"")&amp;IF(P263&gt;0,"Parece m³: encontramos tres dimensiones bajo m²."&amp;CHAR(10),"")&amp;IF(R263&gt;0,"Código repetido dentro del capítulo; mantenemos sus ID separados."&amp;CHAR(10),"")&amp;IF(S263&gt;0,"Código repetido en otro capítulo; no unimos las partidas."&amp;CHAR(10),"")&amp;IF(T263&gt;0,"Mismo código con unidades distintas; pedimos aclaración."&amp;CHAR(10),"")&amp;IF(Q263&gt;0,"Hay más precisión que los decimales indicados; cotejamos el formato original."&amp;CHAR(10),"")&amp;IF(U263&gt;0,"Unidad sin normalizar; cotejamos su significado antes de sumar unidades."&amp;CHAR(10),"")&amp;IF(V263&gt;0,"Revisamos dimensiones, cantidades directas, ceros o deducciones en PEGAR."&amp;CHAR(10),"")))</f>
      </c>
      <c r="K263" s="0">
        <f>IF(251&gt;'RESUMEN'!$E$6,"",MATCH(251,'PEGAR'!$W$13:$W$512,0))</f>
      </c>
      <c r="L263" s="0">
        <f>IF(K263="","",INDEX('PEGAR'!$R$13:$R$512,K263))</f>
      </c>
      <c r="M263" s="0">
        <f>IF(B263="","",COUNTIFS('PEGAR'!$O$13:$O$512,B263,'PEGAR'!$P$13:$P$512,"DIMENSIONES")+COUNTIFS('PEGAR'!$O$13:$O$512,B263,'PEGAR'!$P$13:$P$512,"DIRECTA"))</f>
      </c>
      <c r="N263" s="0">
        <f>IF(B263="","",COUNTIFS('PEGAR'!$O$13:$O$512,B263,'PEGAR'!$X$13:$X$512,2))</f>
      </c>
      <c r="O263" s="0">
        <f>IF(B263="","",COUNTIFS('PEGAR'!$O$13:$O$512,B263,'PEGAR'!$P$13:$P$512,"SIN LÍNEAS"))</f>
      </c>
      <c r="P263" s="0">
        <f>IF(B263="","",SUMIFS('PEGAR'!$Y$13:$Y$512,'PEGAR'!$O$13:$O$512,B263))</f>
      </c>
      <c r="Q263" s="0">
        <f>IF(B263="","",SUMIFS('PEGAR'!$Z$13:$Z$512,'PEGAR'!$O$13:$O$512,B263))</f>
      </c>
      <c r="R263" s="0" t="n">
        <f>IF(OR(B263="",D263=""),0,SUMPRODUCT(--($B$13:$B$512&lt;&gt;""),--($D$13:$D$512=D263),--($C$13:$C$512=C263))-1)</f>
        <v>0</v>
      </c>
      <c r="S263" s="0" t="n">
        <f>IF(OR(B263="",D263=""),0,SUMPRODUCT(--($B$13:$B$512&lt;&gt;""),--($D$13:$D$512=D263),--($C$13:$C$512&lt;&gt;C263)))</f>
        <v>0</v>
      </c>
      <c r="T263" s="0" t="n">
        <f>IF(OR(B263="",D263=""),0,SUMPRODUCT(--($B$13:$B$512&lt;&gt;""),--($D$13:$D$512=D263),--($E$13:$E$512&lt;&gt;E263)))</f>
        <v>0</v>
      </c>
      <c r="U263" s="0" t="n">
        <f>IF(B263="",0,IF(SUMPRODUCT(--('LÉEME'!$C$65:$C$86=E263))=0,1,0))</f>
        <v>0</v>
      </c>
      <c r="V263" s="0">
        <f>IF(B263="","",SUMIFS('PEGAR'!$AA$13:$AA$512,'PEGAR'!$O$13:$O$512,B263))</f>
      </c>
      <c r="W263" s="0">
        <f>IF(B263="","",IF(OR(L263=0,N263&gt;0,T263&gt;0,IF(ISNUMBER(H263),ROUND(ABS(H263),8)&gt;$F$6,FALSE)),2,IF(OR(M263=0,O263&gt;0,P263&gt;0,Q263&gt;0,R263&gt;0,S263&gt;0,U263&gt;0,V263&gt;0),1,0)))</f>
      </c>
      <c r="X263" s="0">
        <f>IF(B263="","",IF(ISNUMBER(G263),1,0))</f>
      </c>
      <c r="AB263" s="0">
        <f>IF(AND(ISNUMBER(W263),W263&gt;0),"ID "&amp;B263,"")</f>
      </c>
      <c r="AC263" s="0">
        <f>IF(AND(ISNUMBER(W263),W263&gt;0),C263,"")</f>
      </c>
      <c r="AD263" s="0">
        <f>IF(AND(ISNUMBER(W263),W263&gt;0),D263,"")</f>
      </c>
      <c r="AE263" s="0">
        <f>IF(AND(ISNUMBER(W263),W263&gt;0),IF(INDEX('PEGAR'!$D$13:$D$512,IF(L263&gt;0,L263,K263))="","Sin descripción",INDEX('PEGAR'!$D$13:$D$512,IF(L263&gt;0,L263,K263))),"")</f>
      </c>
      <c r="AF263" s="0">
        <f>IF(AND(ISNUMBER(W263),W263&gt;0),J263,"")</f>
      </c>
      <c r="AG263" s="0" t="n">
        <f>IF(AND(ISNUMBER(W263),W263&gt;0),W263,0)</f>
        <v>0</v>
      </c>
      <c r="AH263" s="0">
        <f>IF(AG263&gt;0,COUNTIFS($AG$13:AG263,"&gt;0"),"")</f>
      </c>
    </row>
    <row r="264" ht="22" customHeight="1">
      <c r="B264" s="27">
        <f>IF(K264="","",INDEX('PEGAR'!$O$13:$O$512,K264))</f>
      </c>
      <c r="C264" s="30">
        <f>IF(B264="","",IF(LEN(TRIM(INDEX('PEGAR'!$B$13:$B$512,IF(L264&gt;0,L264,K264))&amp;""))=0,"Sin capítulo",TRIM(INDEX('PEGAR'!$B$13:$B$512,IF(L264&gt;0,L264,K264))&amp;"")))</f>
      </c>
      <c r="D264" s="27">
        <f>IF(B264="","",IF(LEN(TRIM(INDEX('PEGAR'!$C$13:$C$512,IF(L264&gt;0,L264,K264))&amp;""))=0,"",TRIM(INDEX('PEGAR'!$C$13:$C$512,IF(L264&gt;0,L264,K264))&amp;"")))</f>
      </c>
      <c r="E264" s="27">
        <f>IF(B264="","",INDEX('PEGAR'!$S$13:$S$512,IF(L264&gt;0,L264,K264)))</f>
      </c>
      <c r="F264" s="39">
        <f>IF(B264="","",IF(L264&gt;0,INDEX('PEGAR'!$F$13:$F$512,L264),""))</f>
      </c>
      <c r="G264" s="39">
        <f>IF(B264="","",IF(OR(M264=0,N264&gt;0,O264&gt;0),"",SUMIFS('PEGAR'!$M$13:$M$512,'PEGAR'!$O$13:$O$512,B264)))</f>
      </c>
      <c r="H264" s="39">
        <f>IF(AND(ISNUMBER(F264),ISNUMBER(G264)),G264-F264,"")</f>
      </c>
      <c r="I264" s="27">
        <f>IF(B264="","",IF(W264=2,"ROJO",IF(W264=1,"ÁMBAR","VERDE")))</f>
      </c>
      <c r="J264" s="30">
        <f>IF(B264="","",IF(W264=0,"Sin avisos numéricos. Revisamos el alcance aparte.",IF(L264=0,"Faltan datos completos de partida; no elegimos un total por suposición."&amp;CHAR(10),"")&amp;IF(N264&gt;0,"Hay filas incompletas o contradictorias; las revisamos en PEGAR."&amp;CHAR(10),"")&amp;IF(O264&gt;0,"Faltan las medidas de alguna fila; no cerramos la suma."&amp;CHAR(10),"")&amp;IF(M264=0,"No constan líneas de medición."&amp;CHAR(10),"")&amp;IF(IF(ISNUMBER(H264),ROUND(ABS(H264),8)&gt;$F$6,FALSE),"Las líneas difieren del total en más de 0,01; confirmamos cantidad o exclusión."&amp;CHAR(10),"")&amp;IF(P264&gt;0,"Parece m³: encontramos tres dimensiones bajo m²."&amp;CHAR(10),"")&amp;IF(R264&gt;0,"Código repetido dentro del capítulo; mantenemos sus ID separados."&amp;CHAR(10),"")&amp;IF(S264&gt;0,"Código repetido en otro capítulo; no unimos las partidas."&amp;CHAR(10),"")&amp;IF(T264&gt;0,"Mismo código con unidades distintas; pedimos aclaración."&amp;CHAR(10),"")&amp;IF(Q264&gt;0,"Hay más precisión que los decimales indicados; cotejamos el formato original."&amp;CHAR(10),"")&amp;IF(U264&gt;0,"Unidad sin normalizar; cotejamos su significado antes de sumar unidades."&amp;CHAR(10),"")&amp;IF(V264&gt;0,"Revisamos dimensiones, cantidades directas, ceros o deducciones en PEGAR."&amp;CHAR(10),"")))</f>
      </c>
      <c r="K264" s="0">
        <f>IF(252&gt;'RESUMEN'!$E$6,"",MATCH(252,'PEGAR'!$W$13:$W$512,0))</f>
      </c>
      <c r="L264" s="0">
        <f>IF(K264="","",INDEX('PEGAR'!$R$13:$R$512,K264))</f>
      </c>
      <c r="M264" s="0">
        <f>IF(B264="","",COUNTIFS('PEGAR'!$O$13:$O$512,B264,'PEGAR'!$P$13:$P$512,"DIMENSIONES")+COUNTIFS('PEGAR'!$O$13:$O$512,B264,'PEGAR'!$P$13:$P$512,"DIRECTA"))</f>
      </c>
      <c r="N264" s="0">
        <f>IF(B264="","",COUNTIFS('PEGAR'!$O$13:$O$512,B264,'PEGAR'!$X$13:$X$512,2))</f>
      </c>
      <c r="O264" s="0">
        <f>IF(B264="","",COUNTIFS('PEGAR'!$O$13:$O$512,B264,'PEGAR'!$P$13:$P$512,"SIN LÍNEAS"))</f>
      </c>
      <c r="P264" s="0">
        <f>IF(B264="","",SUMIFS('PEGAR'!$Y$13:$Y$512,'PEGAR'!$O$13:$O$512,B264))</f>
      </c>
      <c r="Q264" s="0">
        <f>IF(B264="","",SUMIFS('PEGAR'!$Z$13:$Z$512,'PEGAR'!$O$13:$O$512,B264))</f>
      </c>
      <c r="R264" s="0" t="n">
        <f>IF(OR(B264="",D264=""),0,SUMPRODUCT(--($B$13:$B$512&lt;&gt;""),--($D$13:$D$512=D264),--($C$13:$C$512=C264))-1)</f>
        <v>0</v>
      </c>
      <c r="S264" s="0" t="n">
        <f>IF(OR(B264="",D264=""),0,SUMPRODUCT(--($B$13:$B$512&lt;&gt;""),--($D$13:$D$512=D264),--($C$13:$C$512&lt;&gt;C264)))</f>
        <v>0</v>
      </c>
      <c r="T264" s="0" t="n">
        <f>IF(OR(B264="",D264=""),0,SUMPRODUCT(--($B$13:$B$512&lt;&gt;""),--($D$13:$D$512=D264),--($E$13:$E$512&lt;&gt;E264)))</f>
        <v>0</v>
      </c>
      <c r="U264" s="0" t="n">
        <f>IF(B264="",0,IF(SUMPRODUCT(--('LÉEME'!$C$65:$C$86=E264))=0,1,0))</f>
        <v>0</v>
      </c>
      <c r="V264" s="0">
        <f>IF(B264="","",SUMIFS('PEGAR'!$AA$13:$AA$512,'PEGAR'!$O$13:$O$512,B264))</f>
      </c>
      <c r="W264" s="0">
        <f>IF(B264="","",IF(OR(L264=0,N264&gt;0,T264&gt;0,IF(ISNUMBER(H264),ROUND(ABS(H264),8)&gt;$F$6,FALSE)),2,IF(OR(M264=0,O264&gt;0,P264&gt;0,Q264&gt;0,R264&gt;0,S264&gt;0,U264&gt;0,V264&gt;0),1,0)))</f>
      </c>
      <c r="X264" s="0">
        <f>IF(B264="","",IF(ISNUMBER(G264),1,0))</f>
      </c>
      <c r="AB264" s="0">
        <f>IF(AND(ISNUMBER(W264),W264&gt;0),"ID "&amp;B264,"")</f>
      </c>
      <c r="AC264" s="0">
        <f>IF(AND(ISNUMBER(W264),W264&gt;0),C264,"")</f>
      </c>
      <c r="AD264" s="0">
        <f>IF(AND(ISNUMBER(W264),W264&gt;0),D264,"")</f>
      </c>
      <c r="AE264" s="0">
        <f>IF(AND(ISNUMBER(W264),W264&gt;0),IF(INDEX('PEGAR'!$D$13:$D$512,IF(L264&gt;0,L264,K264))="","Sin descripción",INDEX('PEGAR'!$D$13:$D$512,IF(L264&gt;0,L264,K264))),"")</f>
      </c>
      <c r="AF264" s="0">
        <f>IF(AND(ISNUMBER(W264),W264&gt;0),J264,"")</f>
      </c>
      <c r="AG264" s="0" t="n">
        <f>IF(AND(ISNUMBER(W264),W264&gt;0),W264,0)</f>
        <v>0</v>
      </c>
      <c r="AH264" s="0">
        <f>IF(AG264&gt;0,COUNTIFS($AG$13:AG264,"&gt;0"),"")</f>
      </c>
    </row>
    <row r="265" ht="22" customHeight="1">
      <c r="B265" s="27">
        <f>IF(K265="","",INDEX('PEGAR'!$O$13:$O$512,K265))</f>
      </c>
      <c r="C265" s="30">
        <f>IF(B265="","",IF(LEN(TRIM(INDEX('PEGAR'!$B$13:$B$512,IF(L265&gt;0,L265,K265))&amp;""))=0,"Sin capítulo",TRIM(INDEX('PEGAR'!$B$13:$B$512,IF(L265&gt;0,L265,K265))&amp;"")))</f>
      </c>
      <c r="D265" s="27">
        <f>IF(B265="","",IF(LEN(TRIM(INDEX('PEGAR'!$C$13:$C$512,IF(L265&gt;0,L265,K265))&amp;""))=0,"",TRIM(INDEX('PEGAR'!$C$13:$C$512,IF(L265&gt;0,L265,K265))&amp;"")))</f>
      </c>
      <c r="E265" s="27">
        <f>IF(B265="","",INDEX('PEGAR'!$S$13:$S$512,IF(L265&gt;0,L265,K265)))</f>
      </c>
      <c r="F265" s="39">
        <f>IF(B265="","",IF(L265&gt;0,INDEX('PEGAR'!$F$13:$F$512,L265),""))</f>
      </c>
      <c r="G265" s="39">
        <f>IF(B265="","",IF(OR(M265=0,N265&gt;0,O265&gt;0),"",SUMIFS('PEGAR'!$M$13:$M$512,'PEGAR'!$O$13:$O$512,B265)))</f>
      </c>
      <c r="H265" s="39">
        <f>IF(AND(ISNUMBER(F265),ISNUMBER(G265)),G265-F265,"")</f>
      </c>
      <c r="I265" s="27">
        <f>IF(B265="","",IF(W265=2,"ROJO",IF(W265=1,"ÁMBAR","VERDE")))</f>
      </c>
      <c r="J265" s="30">
        <f>IF(B265="","",IF(W265=0,"Sin avisos numéricos. Revisamos el alcance aparte.",IF(L265=0,"Faltan datos completos de partida; no elegimos un total por suposición."&amp;CHAR(10),"")&amp;IF(N265&gt;0,"Hay filas incompletas o contradictorias; las revisamos en PEGAR."&amp;CHAR(10),"")&amp;IF(O265&gt;0,"Faltan las medidas de alguna fila; no cerramos la suma."&amp;CHAR(10),"")&amp;IF(M265=0,"No constan líneas de medición."&amp;CHAR(10),"")&amp;IF(IF(ISNUMBER(H265),ROUND(ABS(H265),8)&gt;$F$6,FALSE),"Las líneas difieren del total en más de 0,01; confirmamos cantidad o exclusión."&amp;CHAR(10),"")&amp;IF(P265&gt;0,"Parece m³: encontramos tres dimensiones bajo m²."&amp;CHAR(10),"")&amp;IF(R265&gt;0,"Código repetido dentro del capítulo; mantenemos sus ID separados."&amp;CHAR(10),"")&amp;IF(S265&gt;0,"Código repetido en otro capítulo; no unimos las partidas."&amp;CHAR(10),"")&amp;IF(T265&gt;0,"Mismo código con unidades distintas; pedimos aclaración."&amp;CHAR(10),"")&amp;IF(Q265&gt;0,"Hay más precisión que los decimales indicados; cotejamos el formato original."&amp;CHAR(10),"")&amp;IF(U265&gt;0,"Unidad sin normalizar; cotejamos su significado antes de sumar unidades."&amp;CHAR(10),"")&amp;IF(V265&gt;0,"Revisamos dimensiones, cantidades directas, ceros o deducciones en PEGAR."&amp;CHAR(10),"")))</f>
      </c>
      <c r="K265" s="0">
        <f>IF(253&gt;'RESUMEN'!$E$6,"",MATCH(253,'PEGAR'!$W$13:$W$512,0))</f>
      </c>
      <c r="L265" s="0">
        <f>IF(K265="","",INDEX('PEGAR'!$R$13:$R$512,K265))</f>
      </c>
      <c r="M265" s="0">
        <f>IF(B265="","",COUNTIFS('PEGAR'!$O$13:$O$512,B265,'PEGAR'!$P$13:$P$512,"DIMENSIONES")+COUNTIFS('PEGAR'!$O$13:$O$512,B265,'PEGAR'!$P$13:$P$512,"DIRECTA"))</f>
      </c>
      <c r="N265" s="0">
        <f>IF(B265="","",COUNTIFS('PEGAR'!$O$13:$O$512,B265,'PEGAR'!$X$13:$X$512,2))</f>
      </c>
      <c r="O265" s="0">
        <f>IF(B265="","",COUNTIFS('PEGAR'!$O$13:$O$512,B265,'PEGAR'!$P$13:$P$512,"SIN LÍNEAS"))</f>
      </c>
      <c r="P265" s="0">
        <f>IF(B265="","",SUMIFS('PEGAR'!$Y$13:$Y$512,'PEGAR'!$O$13:$O$512,B265))</f>
      </c>
      <c r="Q265" s="0">
        <f>IF(B265="","",SUMIFS('PEGAR'!$Z$13:$Z$512,'PEGAR'!$O$13:$O$512,B265))</f>
      </c>
      <c r="R265" s="0" t="n">
        <f>IF(OR(B265="",D265=""),0,SUMPRODUCT(--($B$13:$B$512&lt;&gt;""),--($D$13:$D$512=D265),--($C$13:$C$512=C265))-1)</f>
        <v>0</v>
      </c>
      <c r="S265" s="0" t="n">
        <f>IF(OR(B265="",D265=""),0,SUMPRODUCT(--($B$13:$B$512&lt;&gt;""),--($D$13:$D$512=D265),--($C$13:$C$512&lt;&gt;C265)))</f>
        <v>0</v>
      </c>
      <c r="T265" s="0" t="n">
        <f>IF(OR(B265="",D265=""),0,SUMPRODUCT(--($B$13:$B$512&lt;&gt;""),--($D$13:$D$512=D265),--($E$13:$E$512&lt;&gt;E265)))</f>
        <v>0</v>
      </c>
      <c r="U265" s="0" t="n">
        <f>IF(B265="",0,IF(SUMPRODUCT(--('LÉEME'!$C$65:$C$86=E265))=0,1,0))</f>
        <v>0</v>
      </c>
      <c r="V265" s="0">
        <f>IF(B265="","",SUMIFS('PEGAR'!$AA$13:$AA$512,'PEGAR'!$O$13:$O$512,B265))</f>
      </c>
      <c r="W265" s="0">
        <f>IF(B265="","",IF(OR(L265=0,N265&gt;0,T265&gt;0,IF(ISNUMBER(H265),ROUND(ABS(H265),8)&gt;$F$6,FALSE)),2,IF(OR(M265=0,O265&gt;0,P265&gt;0,Q265&gt;0,R265&gt;0,S265&gt;0,U265&gt;0,V265&gt;0),1,0)))</f>
      </c>
      <c r="X265" s="0">
        <f>IF(B265="","",IF(ISNUMBER(G265),1,0))</f>
      </c>
      <c r="AB265" s="0">
        <f>IF(AND(ISNUMBER(W265),W265&gt;0),"ID "&amp;B265,"")</f>
      </c>
      <c r="AC265" s="0">
        <f>IF(AND(ISNUMBER(W265),W265&gt;0),C265,"")</f>
      </c>
      <c r="AD265" s="0">
        <f>IF(AND(ISNUMBER(W265),W265&gt;0),D265,"")</f>
      </c>
      <c r="AE265" s="0">
        <f>IF(AND(ISNUMBER(W265),W265&gt;0),IF(INDEX('PEGAR'!$D$13:$D$512,IF(L265&gt;0,L265,K265))="","Sin descripción",INDEX('PEGAR'!$D$13:$D$512,IF(L265&gt;0,L265,K265))),"")</f>
      </c>
      <c r="AF265" s="0">
        <f>IF(AND(ISNUMBER(W265),W265&gt;0),J265,"")</f>
      </c>
      <c r="AG265" s="0" t="n">
        <f>IF(AND(ISNUMBER(W265),W265&gt;0),W265,0)</f>
        <v>0</v>
      </c>
      <c r="AH265" s="0">
        <f>IF(AG265&gt;0,COUNTIFS($AG$13:AG265,"&gt;0"),"")</f>
      </c>
    </row>
    <row r="266" ht="22" customHeight="1">
      <c r="B266" s="27">
        <f>IF(K266="","",INDEX('PEGAR'!$O$13:$O$512,K266))</f>
      </c>
      <c r="C266" s="30">
        <f>IF(B266="","",IF(LEN(TRIM(INDEX('PEGAR'!$B$13:$B$512,IF(L266&gt;0,L266,K266))&amp;""))=0,"Sin capítulo",TRIM(INDEX('PEGAR'!$B$13:$B$512,IF(L266&gt;0,L266,K266))&amp;"")))</f>
      </c>
      <c r="D266" s="27">
        <f>IF(B266="","",IF(LEN(TRIM(INDEX('PEGAR'!$C$13:$C$512,IF(L266&gt;0,L266,K266))&amp;""))=0,"",TRIM(INDEX('PEGAR'!$C$13:$C$512,IF(L266&gt;0,L266,K266))&amp;"")))</f>
      </c>
      <c r="E266" s="27">
        <f>IF(B266="","",INDEX('PEGAR'!$S$13:$S$512,IF(L266&gt;0,L266,K266)))</f>
      </c>
      <c r="F266" s="39">
        <f>IF(B266="","",IF(L266&gt;0,INDEX('PEGAR'!$F$13:$F$512,L266),""))</f>
      </c>
      <c r="G266" s="39">
        <f>IF(B266="","",IF(OR(M266=0,N266&gt;0,O266&gt;0),"",SUMIFS('PEGAR'!$M$13:$M$512,'PEGAR'!$O$13:$O$512,B266)))</f>
      </c>
      <c r="H266" s="39">
        <f>IF(AND(ISNUMBER(F266),ISNUMBER(G266)),G266-F266,"")</f>
      </c>
      <c r="I266" s="27">
        <f>IF(B266="","",IF(W266=2,"ROJO",IF(W266=1,"ÁMBAR","VERDE")))</f>
      </c>
      <c r="J266" s="30">
        <f>IF(B266="","",IF(W266=0,"Sin avisos numéricos. Revisamos el alcance aparte.",IF(L266=0,"Faltan datos completos de partida; no elegimos un total por suposición."&amp;CHAR(10),"")&amp;IF(N266&gt;0,"Hay filas incompletas o contradictorias; las revisamos en PEGAR."&amp;CHAR(10),"")&amp;IF(O266&gt;0,"Faltan las medidas de alguna fila; no cerramos la suma."&amp;CHAR(10),"")&amp;IF(M266=0,"No constan líneas de medición."&amp;CHAR(10),"")&amp;IF(IF(ISNUMBER(H266),ROUND(ABS(H266),8)&gt;$F$6,FALSE),"Las líneas difieren del total en más de 0,01; confirmamos cantidad o exclusión."&amp;CHAR(10),"")&amp;IF(P266&gt;0,"Parece m³: encontramos tres dimensiones bajo m²."&amp;CHAR(10),"")&amp;IF(R266&gt;0,"Código repetido dentro del capítulo; mantenemos sus ID separados."&amp;CHAR(10),"")&amp;IF(S266&gt;0,"Código repetido en otro capítulo; no unimos las partidas."&amp;CHAR(10),"")&amp;IF(T266&gt;0,"Mismo código con unidades distintas; pedimos aclaración."&amp;CHAR(10),"")&amp;IF(Q266&gt;0,"Hay más precisión que los decimales indicados; cotejamos el formato original."&amp;CHAR(10),"")&amp;IF(U266&gt;0,"Unidad sin normalizar; cotejamos su significado antes de sumar unidades."&amp;CHAR(10),"")&amp;IF(V266&gt;0,"Revisamos dimensiones, cantidades directas, ceros o deducciones en PEGAR."&amp;CHAR(10),"")))</f>
      </c>
      <c r="K266" s="0">
        <f>IF(254&gt;'RESUMEN'!$E$6,"",MATCH(254,'PEGAR'!$W$13:$W$512,0))</f>
      </c>
      <c r="L266" s="0">
        <f>IF(K266="","",INDEX('PEGAR'!$R$13:$R$512,K266))</f>
      </c>
      <c r="M266" s="0">
        <f>IF(B266="","",COUNTIFS('PEGAR'!$O$13:$O$512,B266,'PEGAR'!$P$13:$P$512,"DIMENSIONES")+COUNTIFS('PEGAR'!$O$13:$O$512,B266,'PEGAR'!$P$13:$P$512,"DIRECTA"))</f>
      </c>
      <c r="N266" s="0">
        <f>IF(B266="","",COUNTIFS('PEGAR'!$O$13:$O$512,B266,'PEGAR'!$X$13:$X$512,2))</f>
      </c>
      <c r="O266" s="0">
        <f>IF(B266="","",COUNTIFS('PEGAR'!$O$13:$O$512,B266,'PEGAR'!$P$13:$P$512,"SIN LÍNEAS"))</f>
      </c>
      <c r="P266" s="0">
        <f>IF(B266="","",SUMIFS('PEGAR'!$Y$13:$Y$512,'PEGAR'!$O$13:$O$512,B266))</f>
      </c>
      <c r="Q266" s="0">
        <f>IF(B266="","",SUMIFS('PEGAR'!$Z$13:$Z$512,'PEGAR'!$O$13:$O$512,B266))</f>
      </c>
      <c r="R266" s="0" t="n">
        <f>IF(OR(B266="",D266=""),0,SUMPRODUCT(--($B$13:$B$512&lt;&gt;""),--($D$13:$D$512=D266),--($C$13:$C$512=C266))-1)</f>
        <v>0</v>
      </c>
      <c r="S266" s="0" t="n">
        <f>IF(OR(B266="",D266=""),0,SUMPRODUCT(--($B$13:$B$512&lt;&gt;""),--($D$13:$D$512=D266),--($C$13:$C$512&lt;&gt;C266)))</f>
        <v>0</v>
      </c>
      <c r="T266" s="0" t="n">
        <f>IF(OR(B266="",D266=""),0,SUMPRODUCT(--($B$13:$B$512&lt;&gt;""),--($D$13:$D$512=D266),--($E$13:$E$512&lt;&gt;E266)))</f>
        <v>0</v>
      </c>
      <c r="U266" s="0" t="n">
        <f>IF(B266="",0,IF(SUMPRODUCT(--('LÉEME'!$C$65:$C$86=E266))=0,1,0))</f>
        <v>0</v>
      </c>
      <c r="V266" s="0">
        <f>IF(B266="","",SUMIFS('PEGAR'!$AA$13:$AA$512,'PEGAR'!$O$13:$O$512,B266))</f>
      </c>
      <c r="W266" s="0">
        <f>IF(B266="","",IF(OR(L266=0,N266&gt;0,T266&gt;0,IF(ISNUMBER(H266),ROUND(ABS(H266),8)&gt;$F$6,FALSE)),2,IF(OR(M266=0,O266&gt;0,P266&gt;0,Q266&gt;0,R266&gt;0,S266&gt;0,U266&gt;0,V266&gt;0),1,0)))</f>
      </c>
      <c r="X266" s="0">
        <f>IF(B266="","",IF(ISNUMBER(G266),1,0))</f>
      </c>
      <c r="AB266" s="0">
        <f>IF(AND(ISNUMBER(W266),W266&gt;0),"ID "&amp;B266,"")</f>
      </c>
      <c r="AC266" s="0">
        <f>IF(AND(ISNUMBER(W266),W266&gt;0),C266,"")</f>
      </c>
      <c r="AD266" s="0">
        <f>IF(AND(ISNUMBER(W266),W266&gt;0),D266,"")</f>
      </c>
      <c r="AE266" s="0">
        <f>IF(AND(ISNUMBER(W266),W266&gt;0),IF(INDEX('PEGAR'!$D$13:$D$512,IF(L266&gt;0,L266,K266))="","Sin descripción",INDEX('PEGAR'!$D$13:$D$512,IF(L266&gt;0,L266,K266))),"")</f>
      </c>
      <c r="AF266" s="0">
        <f>IF(AND(ISNUMBER(W266),W266&gt;0),J266,"")</f>
      </c>
      <c r="AG266" s="0" t="n">
        <f>IF(AND(ISNUMBER(W266),W266&gt;0),W266,0)</f>
        <v>0</v>
      </c>
      <c r="AH266" s="0">
        <f>IF(AG266&gt;0,COUNTIFS($AG$13:AG266,"&gt;0"),"")</f>
      </c>
    </row>
    <row r="267" ht="22" customHeight="1">
      <c r="B267" s="27">
        <f>IF(K267="","",INDEX('PEGAR'!$O$13:$O$512,K267))</f>
      </c>
      <c r="C267" s="30">
        <f>IF(B267="","",IF(LEN(TRIM(INDEX('PEGAR'!$B$13:$B$512,IF(L267&gt;0,L267,K267))&amp;""))=0,"Sin capítulo",TRIM(INDEX('PEGAR'!$B$13:$B$512,IF(L267&gt;0,L267,K267))&amp;"")))</f>
      </c>
      <c r="D267" s="27">
        <f>IF(B267="","",IF(LEN(TRIM(INDEX('PEGAR'!$C$13:$C$512,IF(L267&gt;0,L267,K267))&amp;""))=0,"",TRIM(INDEX('PEGAR'!$C$13:$C$512,IF(L267&gt;0,L267,K267))&amp;"")))</f>
      </c>
      <c r="E267" s="27">
        <f>IF(B267="","",INDEX('PEGAR'!$S$13:$S$512,IF(L267&gt;0,L267,K267)))</f>
      </c>
      <c r="F267" s="39">
        <f>IF(B267="","",IF(L267&gt;0,INDEX('PEGAR'!$F$13:$F$512,L267),""))</f>
      </c>
      <c r="G267" s="39">
        <f>IF(B267="","",IF(OR(M267=0,N267&gt;0,O267&gt;0),"",SUMIFS('PEGAR'!$M$13:$M$512,'PEGAR'!$O$13:$O$512,B267)))</f>
      </c>
      <c r="H267" s="39">
        <f>IF(AND(ISNUMBER(F267),ISNUMBER(G267)),G267-F267,"")</f>
      </c>
      <c r="I267" s="27">
        <f>IF(B267="","",IF(W267=2,"ROJO",IF(W267=1,"ÁMBAR","VERDE")))</f>
      </c>
      <c r="J267" s="30">
        <f>IF(B267="","",IF(W267=0,"Sin avisos numéricos. Revisamos el alcance aparte.",IF(L267=0,"Faltan datos completos de partida; no elegimos un total por suposición."&amp;CHAR(10),"")&amp;IF(N267&gt;0,"Hay filas incompletas o contradictorias; las revisamos en PEGAR."&amp;CHAR(10),"")&amp;IF(O267&gt;0,"Faltan las medidas de alguna fila; no cerramos la suma."&amp;CHAR(10),"")&amp;IF(M267=0,"No constan líneas de medición."&amp;CHAR(10),"")&amp;IF(IF(ISNUMBER(H267),ROUND(ABS(H267),8)&gt;$F$6,FALSE),"Las líneas difieren del total en más de 0,01; confirmamos cantidad o exclusión."&amp;CHAR(10),"")&amp;IF(P267&gt;0,"Parece m³: encontramos tres dimensiones bajo m²."&amp;CHAR(10),"")&amp;IF(R267&gt;0,"Código repetido dentro del capítulo; mantenemos sus ID separados."&amp;CHAR(10),"")&amp;IF(S267&gt;0,"Código repetido en otro capítulo; no unimos las partidas."&amp;CHAR(10),"")&amp;IF(T267&gt;0,"Mismo código con unidades distintas; pedimos aclaración."&amp;CHAR(10),"")&amp;IF(Q267&gt;0,"Hay más precisión que los decimales indicados; cotejamos el formato original."&amp;CHAR(10),"")&amp;IF(U267&gt;0,"Unidad sin normalizar; cotejamos su significado antes de sumar unidades."&amp;CHAR(10),"")&amp;IF(V267&gt;0,"Revisamos dimensiones, cantidades directas, ceros o deducciones en PEGAR."&amp;CHAR(10),"")))</f>
      </c>
      <c r="K267" s="0">
        <f>IF(255&gt;'RESUMEN'!$E$6,"",MATCH(255,'PEGAR'!$W$13:$W$512,0))</f>
      </c>
      <c r="L267" s="0">
        <f>IF(K267="","",INDEX('PEGAR'!$R$13:$R$512,K267))</f>
      </c>
      <c r="M267" s="0">
        <f>IF(B267="","",COUNTIFS('PEGAR'!$O$13:$O$512,B267,'PEGAR'!$P$13:$P$512,"DIMENSIONES")+COUNTIFS('PEGAR'!$O$13:$O$512,B267,'PEGAR'!$P$13:$P$512,"DIRECTA"))</f>
      </c>
      <c r="N267" s="0">
        <f>IF(B267="","",COUNTIFS('PEGAR'!$O$13:$O$512,B267,'PEGAR'!$X$13:$X$512,2))</f>
      </c>
      <c r="O267" s="0">
        <f>IF(B267="","",COUNTIFS('PEGAR'!$O$13:$O$512,B267,'PEGAR'!$P$13:$P$512,"SIN LÍNEAS"))</f>
      </c>
      <c r="P267" s="0">
        <f>IF(B267="","",SUMIFS('PEGAR'!$Y$13:$Y$512,'PEGAR'!$O$13:$O$512,B267))</f>
      </c>
      <c r="Q267" s="0">
        <f>IF(B267="","",SUMIFS('PEGAR'!$Z$13:$Z$512,'PEGAR'!$O$13:$O$512,B267))</f>
      </c>
      <c r="R267" s="0" t="n">
        <f>IF(OR(B267="",D267=""),0,SUMPRODUCT(--($B$13:$B$512&lt;&gt;""),--($D$13:$D$512=D267),--($C$13:$C$512=C267))-1)</f>
        <v>0</v>
      </c>
      <c r="S267" s="0" t="n">
        <f>IF(OR(B267="",D267=""),0,SUMPRODUCT(--($B$13:$B$512&lt;&gt;""),--($D$13:$D$512=D267),--($C$13:$C$512&lt;&gt;C267)))</f>
        <v>0</v>
      </c>
      <c r="T267" s="0" t="n">
        <f>IF(OR(B267="",D267=""),0,SUMPRODUCT(--($B$13:$B$512&lt;&gt;""),--($D$13:$D$512=D267),--($E$13:$E$512&lt;&gt;E267)))</f>
        <v>0</v>
      </c>
      <c r="U267" s="0" t="n">
        <f>IF(B267="",0,IF(SUMPRODUCT(--('LÉEME'!$C$65:$C$86=E267))=0,1,0))</f>
        <v>0</v>
      </c>
      <c r="V267" s="0">
        <f>IF(B267="","",SUMIFS('PEGAR'!$AA$13:$AA$512,'PEGAR'!$O$13:$O$512,B267))</f>
      </c>
      <c r="W267" s="0">
        <f>IF(B267="","",IF(OR(L267=0,N267&gt;0,T267&gt;0,IF(ISNUMBER(H267),ROUND(ABS(H267),8)&gt;$F$6,FALSE)),2,IF(OR(M267=0,O267&gt;0,P267&gt;0,Q267&gt;0,R267&gt;0,S267&gt;0,U267&gt;0,V267&gt;0),1,0)))</f>
      </c>
      <c r="X267" s="0">
        <f>IF(B267="","",IF(ISNUMBER(G267),1,0))</f>
      </c>
      <c r="AB267" s="0">
        <f>IF(AND(ISNUMBER(W267),W267&gt;0),"ID "&amp;B267,"")</f>
      </c>
      <c r="AC267" s="0">
        <f>IF(AND(ISNUMBER(W267),W267&gt;0),C267,"")</f>
      </c>
      <c r="AD267" s="0">
        <f>IF(AND(ISNUMBER(W267),W267&gt;0),D267,"")</f>
      </c>
      <c r="AE267" s="0">
        <f>IF(AND(ISNUMBER(W267),W267&gt;0),IF(INDEX('PEGAR'!$D$13:$D$512,IF(L267&gt;0,L267,K267))="","Sin descripción",INDEX('PEGAR'!$D$13:$D$512,IF(L267&gt;0,L267,K267))),"")</f>
      </c>
      <c r="AF267" s="0">
        <f>IF(AND(ISNUMBER(W267),W267&gt;0),J267,"")</f>
      </c>
      <c r="AG267" s="0" t="n">
        <f>IF(AND(ISNUMBER(W267),W267&gt;0),W267,0)</f>
        <v>0</v>
      </c>
      <c r="AH267" s="0">
        <f>IF(AG267&gt;0,COUNTIFS($AG$13:AG267,"&gt;0"),"")</f>
      </c>
    </row>
    <row r="268" ht="22" customHeight="1">
      <c r="B268" s="27">
        <f>IF(K268="","",INDEX('PEGAR'!$O$13:$O$512,K268))</f>
      </c>
      <c r="C268" s="30">
        <f>IF(B268="","",IF(LEN(TRIM(INDEX('PEGAR'!$B$13:$B$512,IF(L268&gt;0,L268,K268))&amp;""))=0,"Sin capítulo",TRIM(INDEX('PEGAR'!$B$13:$B$512,IF(L268&gt;0,L268,K268))&amp;"")))</f>
      </c>
      <c r="D268" s="27">
        <f>IF(B268="","",IF(LEN(TRIM(INDEX('PEGAR'!$C$13:$C$512,IF(L268&gt;0,L268,K268))&amp;""))=0,"",TRIM(INDEX('PEGAR'!$C$13:$C$512,IF(L268&gt;0,L268,K268))&amp;"")))</f>
      </c>
      <c r="E268" s="27">
        <f>IF(B268="","",INDEX('PEGAR'!$S$13:$S$512,IF(L268&gt;0,L268,K268)))</f>
      </c>
      <c r="F268" s="39">
        <f>IF(B268="","",IF(L268&gt;0,INDEX('PEGAR'!$F$13:$F$512,L268),""))</f>
      </c>
      <c r="G268" s="39">
        <f>IF(B268="","",IF(OR(M268=0,N268&gt;0,O268&gt;0),"",SUMIFS('PEGAR'!$M$13:$M$512,'PEGAR'!$O$13:$O$512,B268)))</f>
      </c>
      <c r="H268" s="39">
        <f>IF(AND(ISNUMBER(F268),ISNUMBER(G268)),G268-F268,"")</f>
      </c>
      <c r="I268" s="27">
        <f>IF(B268="","",IF(W268=2,"ROJO",IF(W268=1,"ÁMBAR","VERDE")))</f>
      </c>
      <c r="J268" s="30">
        <f>IF(B268="","",IF(W268=0,"Sin avisos numéricos. Revisamos el alcance aparte.",IF(L268=0,"Faltan datos completos de partida; no elegimos un total por suposición."&amp;CHAR(10),"")&amp;IF(N268&gt;0,"Hay filas incompletas o contradictorias; las revisamos en PEGAR."&amp;CHAR(10),"")&amp;IF(O268&gt;0,"Faltan las medidas de alguna fila; no cerramos la suma."&amp;CHAR(10),"")&amp;IF(M268=0,"No constan líneas de medición."&amp;CHAR(10),"")&amp;IF(IF(ISNUMBER(H268),ROUND(ABS(H268),8)&gt;$F$6,FALSE),"Las líneas difieren del total en más de 0,01; confirmamos cantidad o exclusión."&amp;CHAR(10),"")&amp;IF(P268&gt;0,"Parece m³: encontramos tres dimensiones bajo m²."&amp;CHAR(10),"")&amp;IF(R268&gt;0,"Código repetido dentro del capítulo; mantenemos sus ID separados."&amp;CHAR(10),"")&amp;IF(S268&gt;0,"Código repetido en otro capítulo; no unimos las partidas."&amp;CHAR(10),"")&amp;IF(T268&gt;0,"Mismo código con unidades distintas; pedimos aclaración."&amp;CHAR(10),"")&amp;IF(Q268&gt;0,"Hay más precisión que los decimales indicados; cotejamos el formato original."&amp;CHAR(10),"")&amp;IF(U268&gt;0,"Unidad sin normalizar; cotejamos su significado antes de sumar unidades."&amp;CHAR(10),"")&amp;IF(V268&gt;0,"Revisamos dimensiones, cantidades directas, ceros o deducciones en PEGAR."&amp;CHAR(10),"")))</f>
      </c>
      <c r="K268" s="0">
        <f>IF(256&gt;'RESUMEN'!$E$6,"",MATCH(256,'PEGAR'!$W$13:$W$512,0))</f>
      </c>
      <c r="L268" s="0">
        <f>IF(K268="","",INDEX('PEGAR'!$R$13:$R$512,K268))</f>
      </c>
      <c r="M268" s="0">
        <f>IF(B268="","",COUNTIFS('PEGAR'!$O$13:$O$512,B268,'PEGAR'!$P$13:$P$512,"DIMENSIONES")+COUNTIFS('PEGAR'!$O$13:$O$512,B268,'PEGAR'!$P$13:$P$512,"DIRECTA"))</f>
      </c>
      <c r="N268" s="0">
        <f>IF(B268="","",COUNTIFS('PEGAR'!$O$13:$O$512,B268,'PEGAR'!$X$13:$X$512,2))</f>
      </c>
      <c r="O268" s="0">
        <f>IF(B268="","",COUNTIFS('PEGAR'!$O$13:$O$512,B268,'PEGAR'!$P$13:$P$512,"SIN LÍNEAS"))</f>
      </c>
      <c r="P268" s="0">
        <f>IF(B268="","",SUMIFS('PEGAR'!$Y$13:$Y$512,'PEGAR'!$O$13:$O$512,B268))</f>
      </c>
      <c r="Q268" s="0">
        <f>IF(B268="","",SUMIFS('PEGAR'!$Z$13:$Z$512,'PEGAR'!$O$13:$O$512,B268))</f>
      </c>
      <c r="R268" s="0" t="n">
        <f>IF(OR(B268="",D268=""),0,SUMPRODUCT(--($B$13:$B$512&lt;&gt;""),--($D$13:$D$512=D268),--($C$13:$C$512=C268))-1)</f>
        <v>0</v>
      </c>
      <c r="S268" s="0" t="n">
        <f>IF(OR(B268="",D268=""),0,SUMPRODUCT(--($B$13:$B$512&lt;&gt;""),--($D$13:$D$512=D268),--($C$13:$C$512&lt;&gt;C268)))</f>
        <v>0</v>
      </c>
      <c r="T268" s="0" t="n">
        <f>IF(OR(B268="",D268=""),0,SUMPRODUCT(--($B$13:$B$512&lt;&gt;""),--($D$13:$D$512=D268),--($E$13:$E$512&lt;&gt;E268)))</f>
        <v>0</v>
      </c>
      <c r="U268" s="0" t="n">
        <f>IF(B268="",0,IF(SUMPRODUCT(--('LÉEME'!$C$65:$C$86=E268))=0,1,0))</f>
        <v>0</v>
      </c>
      <c r="V268" s="0">
        <f>IF(B268="","",SUMIFS('PEGAR'!$AA$13:$AA$512,'PEGAR'!$O$13:$O$512,B268))</f>
      </c>
      <c r="W268" s="0">
        <f>IF(B268="","",IF(OR(L268=0,N268&gt;0,T268&gt;0,IF(ISNUMBER(H268),ROUND(ABS(H268),8)&gt;$F$6,FALSE)),2,IF(OR(M268=0,O268&gt;0,P268&gt;0,Q268&gt;0,R268&gt;0,S268&gt;0,U268&gt;0,V268&gt;0),1,0)))</f>
      </c>
      <c r="X268" s="0">
        <f>IF(B268="","",IF(ISNUMBER(G268),1,0))</f>
      </c>
      <c r="AB268" s="0">
        <f>IF(AND(ISNUMBER(W268),W268&gt;0),"ID "&amp;B268,"")</f>
      </c>
      <c r="AC268" s="0">
        <f>IF(AND(ISNUMBER(W268),W268&gt;0),C268,"")</f>
      </c>
      <c r="AD268" s="0">
        <f>IF(AND(ISNUMBER(W268),W268&gt;0),D268,"")</f>
      </c>
      <c r="AE268" s="0">
        <f>IF(AND(ISNUMBER(W268),W268&gt;0),IF(INDEX('PEGAR'!$D$13:$D$512,IF(L268&gt;0,L268,K268))="","Sin descripción",INDEX('PEGAR'!$D$13:$D$512,IF(L268&gt;0,L268,K268))),"")</f>
      </c>
      <c r="AF268" s="0">
        <f>IF(AND(ISNUMBER(W268),W268&gt;0),J268,"")</f>
      </c>
      <c r="AG268" s="0" t="n">
        <f>IF(AND(ISNUMBER(W268),W268&gt;0),W268,0)</f>
        <v>0</v>
      </c>
      <c r="AH268" s="0">
        <f>IF(AG268&gt;0,COUNTIFS($AG$13:AG268,"&gt;0"),"")</f>
      </c>
    </row>
    <row r="269" ht="22" customHeight="1">
      <c r="B269" s="27">
        <f>IF(K269="","",INDEX('PEGAR'!$O$13:$O$512,K269))</f>
      </c>
      <c r="C269" s="30">
        <f>IF(B269="","",IF(LEN(TRIM(INDEX('PEGAR'!$B$13:$B$512,IF(L269&gt;0,L269,K269))&amp;""))=0,"Sin capítulo",TRIM(INDEX('PEGAR'!$B$13:$B$512,IF(L269&gt;0,L269,K269))&amp;"")))</f>
      </c>
      <c r="D269" s="27">
        <f>IF(B269="","",IF(LEN(TRIM(INDEX('PEGAR'!$C$13:$C$512,IF(L269&gt;0,L269,K269))&amp;""))=0,"",TRIM(INDEX('PEGAR'!$C$13:$C$512,IF(L269&gt;0,L269,K269))&amp;"")))</f>
      </c>
      <c r="E269" s="27">
        <f>IF(B269="","",INDEX('PEGAR'!$S$13:$S$512,IF(L269&gt;0,L269,K269)))</f>
      </c>
      <c r="F269" s="39">
        <f>IF(B269="","",IF(L269&gt;0,INDEX('PEGAR'!$F$13:$F$512,L269),""))</f>
      </c>
      <c r="G269" s="39">
        <f>IF(B269="","",IF(OR(M269=0,N269&gt;0,O269&gt;0),"",SUMIFS('PEGAR'!$M$13:$M$512,'PEGAR'!$O$13:$O$512,B269)))</f>
      </c>
      <c r="H269" s="39">
        <f>IF(AND(ISNUMBER(F269),ISNUMBER(G269)),G269-F269,"")</f>
      </c>
      <c r="I269" s="27">
        <f>IF(B269="","",IF(W269=2,"ROJO",IF(W269=1,"ÁMBAR","VERDE")))</f>
      </c>
      <c r="J269" s="30">
        <f>IF(B269="","",IF(W269=0,"Sin avisos numéricos. Revisamos el alcance aparte.",IF(L269=0,"Faltan datos completos de partida; no elegimos un total por suposición."&amp;CHAR(10),"")&amp;IF(N269&gt;0,"Hay filas incompletas o contradictorias; las revisamos en PEGAR."&amp;CHAR(10),"")&amp;IF(O269&gt;0,"Faltan las medidas de alguna fila; no cerramos la suma."&amp;CHAR(10),"")&amp;IF(M269=0,"No constan líneas de medición."&amp;CHAR(10),"")&amp;IF(IF(ISNUMBER(H269),ROUND(ABS(H269),8)&gt;$F$6,FALSE),"Las líneas difieren del total en más de 0,01; confirmamos cantidad o exclusión."&amp;CHAR(10),"")&amp;IF(P269&gt;0,"Parece m³: encontramos tres dimensiones bajo m²."&amp;CHAR(10),"")&amp;IF(R269&gt;0,"Código repetido dentro del capítulo; mantenemos sus ID separados."&amp;CHAR(10),"")&amp;IF(S269&gt;0,"Código repetido en otro capítulo; no unimos las partidas."&amp;CHAR(10),"")&amp;IF(T269&gt;0,"Mismo código con unidades distintas; pedimos aclaración."&amp;CHAR(10),"")&amp;IF(Q269&gt;0,"Hay más precisión que los decimales indicados; cotejamos el formato original."&amp;CHAR(10),"")&amp;IF(U269&gt;0,"Unidad sin normalizar; cotejamos su significado antes de sumar unidades."&amp;CHAR(10),"")&amp;IF(V269&gt;0,"Revisamos dimensiones, cantidades directas, ceros o deducciones en PEGAR."&amp;CHAR(10),"")))</f>
      </c>
      <c r="K269" s="0">
        <f>IF(257&gt;'RESUMEN'!$E$6,"",MATCH(257,'PEGAR'!$W$13:$W$512,0))</f>
      </c>
      <c r="L269" s="0">
        <f>IF(K269="","",INDEX('PEGAR'!$R$13:$R$512,K269))</f>
      </c>
      <c r="M269" s="0">
        <f>IF(B269="","",COUNTIFS('PEGAR'!$O$13:$O$512,B269,'PEGAR'!$P$13:$P$512,"DIMENSIONES")+COUNTIFS('PEGAR'!$O$13:$O$512,B269,'PEGAR'!$P$13:$P$512,"DIRECTA"))</f>
      </c>
      <c r="N269" s="0">
        <f>IF(B269="","",COUNTIFS('PEGAR'!$O$13:$O$512,B269,'PEGAR'!$X$13:$X$512,2))</f>
      </c>
      <c r="O269" s="0">
        <f>IF(B269="","",COUNTIFS('PEGAR'!$O$13:$O$512,B269,'PEGAR'!$P$13:$P$512,"SIN LÍNEAS"))</f>
      </c>
      <c r="P269" s="0">
        <f>IF(B269="","",SUMIFS('PEGAR'!$Y$13:$Y$512,'PEGAR'!$O$13:$O$512,B269))</f>
      </c>
      <c r="Q269" s="0">
        <f>IF(B269="","",SUMIFS('PEGAR'!$Z$13:$Z$512,'PEGAR'!$O$13:$O$512,B269))</f>
      </c>
      <c r="R269" s="0" t="n">
        <f>IF(OR(B269="",D269=""),0,SUMPRODUCT(--($B$13:$B$512&lt;&gt;""),--($D$13:$D$512=D269),--($C$13:$C$512=C269))-1)</f>
        <v>0</v>
      </c>
      <c r="S269" s="0" t="n">
        <f>IF(OR(B269="",D269=""),0,SUMPRODUCT(--($B$13:$B$512&lt;&gt;""),--($D$13:$D$512=D269),--($C$13:$C$512&lt;&gt;C269)))</f>
        <v>0</v>
      </c>
      <c r="T269" s="0" t="n">
        <f>IF(OR(B269="",D269=""),0,SUMPRODUCT(--($B$13:$B$512&lt;&gt;""),--($D$13:$D$512=D269),--($E$13:$E$512&lt;&gt;E269)))</f>
        <v>0</v>
      </c>
      <c r="U269" s="0" t="n">
        <f>IF(B269="",0,IF(SUMPRODUCT(--('LÉEME'!$C$65:$C$86=E269))=0,1,0))</f>
        <v>0</v>
      </c>
      <c r="V269" s="0">
        <f>IF(B269="","",SUMIFS('PEGAR'!$AA$13:$AA$512,'PEGAR'!$O$13:$O$512,B269))</f>
      </c>
      <c r="W269" s="0">
        <f>IF(B269="","",IF(OR(L269=0,N269&gt;0,T269&gt;0,IF(ISNUMBER(H269),ROUND(ABS(H269),8)&gt;$F$6,FALSE)),2,IF(OR(M269=0,O269&gt;0,P269&gt;0,Q269&gt;0,R269&gt;0,S269&gt;0,U269&gt;0,V269&gt;0),1,0)))</f>
      </c>
      <c r="X269" s="0">
        <f>IF(B269="","",IF(ISNUMBER(G269),1,0))</f>
      </c>
      <c r="AB269" s="0">
        <f>IF(AND(ISNUMBER(W269),W269&gt;0),"ID "&amp;B269,"")</f>
      </c>
      <c r="AC269" s="0">
        <f>IF(AND(ISNUMBER(W269),W269&gt;0),C269,"")</f>
      </c>
      <c r="AD269" s="0">
        <f>IF(AND(ISNUMBER(W269),W269&gt;0),D269,"")</f>
      </c>
      <c r="AE269" s="0">
        <f>IF(AND(ISNUMBER(W269),W269&gt;0),IF(INDEX('PEGAR'!$D$13:$D$512,IF(L269&gt;0,L269,K269))="","Sin descripción",INDEX('PEGAR'!$D$13:$D$512,IF(L269&gt;0,L269,K269))),"")</f>
      </c>
      <c r="AF269" s="0">
        <f>IF(AND(ISNUMBER(W269),W269&gt;0),J269,"")</f>
      </c>
      <c r="AG269" s="0" t="n">
        <f>IF(AND(ISNUMBER(W269),W269&gt;0),W269,0)</f>
        <v>0</v>
      </c>
      <c r="AH269" s="0">
        <f>IF(AG269&gt;0,COUNTIFS($AG$13:AG269,"&gt;0"),"")</f>
      </c>
    </row>
    <row r="270" ht="22" customHeight="1">
      <c r="B270" s="27">
        <f>IF(K270="","",INDEX('PEGAR'!$O$13:$O$512,K270))</f>
      </c>
      <c r="C270" s="30">
        <f>IF(B270="","",IF(LEN(TRIM(INDEX('PEGAR'!$B$13:$B$512,IF(L270&gt;0,L270,K270))&amp;""))=0,"Sin capítulo",TRIM(INDEX('PEGAR'!$B$13:$B$512,IF(L270&gt;0,L270,K270))&amp;"")))</f>
      </c>
      <c r="D270" s="27">
        <f>IF(B270="","",IF(LEN(TRIM(INDEX('PEGAR'!$C$13:$C$512,IF(L270&gt;0,L270,K270))&amp;""))=0,"",TRIM(INDEX('PEGAR'!$C$13:$C$512,IF(L270&gt;0,L270,K270))&amp;"")))</f>
      </c>
      <c r="E270" s="27">
        <f>IF(B270="","",INDEX('PEGAR'!$S$13:$S$512,IF(L270&gt;0,L270,K270)))</f>
      </c>
      <c r="F270" s="39">
        <f>IF(B270="","",IF(L270&gt;0,INDEX('PEGAR'!$F$13:$F$512,L270),""))</f>
      </c>
      <c r="G270" s="39">
        <f>IF(B270="","",IF(OR(M270=0,N270&gt;0,O270&gt;0),"",SUMIFS('PEGAR'!$M$13:$M$512,'PEGAR'!$O$13:$O$512,B270)))</f>
      </c>
      <c r="H270" s="39">
        <f>IF(AND(ISNUMBER(F270),ISNUMBER(G270)),G270-F270,"")</f>
      </c>
      <c r="I270" s="27">
        <f>IF(B270="","",IF(W270=2,"ROJO",IF(W270=1,"ÁMBAR","VERDE")))</f>
      </c>
      <c r="J270" s="30">
        <f>IF(B270="","",IF(W270=0,"Sin avisos numéricos. Revisamos el alcance aparte.",IF(L270=0,"Faltan datos completos de partida; no elegimos un total por suposición."&amp;CHAR(10),"")&amp;IF(N270&gt;0,"Hay filas incompletas o contradictorias; las revisamos en PEGAR."&amp;CHAR(10),"")&amp;IF(O270&gt;0,"Faltan las medidas de alguna fila; no cerramos la suma."&amp;CHAR(10),"")&amp;IF(M270=0,"No constan líneas de medición."&amp;CHAR(10),"")&amp;IF(IF(ISNUMBER(H270),ROUND(ABS(H270),8)&gt;$F$6,FALSE),"Las líneas difieren del total en más de 0,01; confirmamos cantidad o exclusión."&amp;CHAR(10),"")&amp;IF(P270&gt;0,"Parece m³: encontramos tres dimensiones bajo m²."&amp;CHAR(10),"")&amp;IF(R270&gt;0,"Código repetido dentro del capítulo; mantenemos sus ID separados."&amp;CHAR(10),"")&amp;IF(S270&gt;0,"Código repetido en otro capítulo; no unimos las partidas."&amp;CHAR(10),"")&amp;IF(T270&gt;0,"Mismo código con unidades distintas; pedimos aclaración."&amp;CHAR(10),"")&amp;IF(Q270&gt;0,"Hay más precisión que los decimales indicados; cotejamos el formato original."&amp;CHAR(10),"")&amp;IF(U270&gt;0,"Unidad sin normalizar; cotejamos su significado antes de sumar unidades."&amp;CHAR(10),"")&amp;IF(V270&gt;0,"Revisamos dimensiones, cantidades directas, ceros o deducciones en PEGAR."&amp;CHAR(10),"")))</f>
      </c>
      <c r="K270" s="0">
        <f>IF(258&gt;'RESUMEN'!$E$6,"",MATCH(258,'PEGAR'!$W$13:$W$512,0))</f>
      </c>
      <c r="L270" s="0">
        <f>IF(K270="","",INDEX('PEGAR'!$R$13:$R$512,K270))</f>
      </c>
      <c r="M270" s="0">
        <f>IF(B270="","",COUNTIFS('PEGAR'!$O$13:$O$512,B270,'PEGAR'!$P$13:$P$512,"DIMENSIONES")+COUNTIFS('PEGAR'!$O$13:$O$512,B270,'PEGAR'!$P$13:$P$512,"DIRECTA"))</f>
      </c>
      <c r="N270" s="0">
        <f>IF(B270="","",COUNTIFS('PEGAR'!$O$13:$O$512,B270,'PEGAR'!$X$13:$X$512,2))</f>
      </c>
      <c r="O270" s="0">
        <f>IF(B270="","",COUNTIFS('PEGAR'!$O$13:$O$512,B270,'PEGAR'!$P$13:$P$512,"SIN LÍNEAS"))</f>
      </c>
      <c r="P270" s="0">
        <f>IF(B270="","",SUMIFS('PEGAR'!$Y$13:$Y$512,'PEGAR'!$O$13:$O$512,B270))</f>
      </c>
      <c r="Q270" s="0">
        <f>IF(B270="","",SUMIFS('PEGAR'!$Z$13:$Z$512,'PEGAR'!$O$13:$O$512,B270))</f>
      </c>
      <c r="R270" s="0" t="n">
        <f>IF(OR(B270="",D270=""),0,SUMPRODUCT(--($B$13:$B$512&lt;&gt;""),--($D$13:$D$512=D270),--($C$13:$C$512=C270))-1)</f>
        <v>0</v>
      </c>
      <c r="S270" s="0" t="n">
        <f>IF(OR(B270="",D270=""),0,SUMPRODUCT(--($B$13:$B$512&lt;&gt;""),--($D$13:$D$512=D270),--($C$13:$C$512&lt;&gt;C270)))</f>
        <v>0</v>
      </c>
      <c r="T270" s="0" t="n">
        <f>IF(OR(B270="",D270=""),0,SUMPRODUCT(--($B$13:$B$512&lt;&gt;""),--($D$13:$D$512=D270),--($E$13:$E$512&lt;&gt;E270)))</f>
        <v>0</v>
      </c>
      <c r="U270" s="0" t="n">
        <f>IF(B270="",0,IF(SUMPRODUCT(--('LÉEME'!$C$65:$C$86=E270))=0,1,0))</f>
        <v>0</v>
      </c>
      <c r="V270" s="0">
        <f>IF(B270="","",SUMIFS('PEGAR'!$AA$13:$AA$512,'PEGAR'!$O$13:$O$512,B270))</f>
      </c>
      <c r="W270" s="0">
        <f>IF(B270="","",IF(OR(L270=0,N270&gt;0,T270&gt;0,IF(ISNUMBER(H270),ROUND(ABS(H270),8)&gt;$F$6,FALSE)),2,IF(OR(M270=0,O270&gt;0,P270&gt;0,Q270&gt;0,R270&gt;0,S270&gt;0,U270&gt;0,V270&gt;0),1,0)))</f>
      </c>
      <c r="X270" s="0">
        <f>IF(B270="","",IF(ISNUMBER(G270),1,0))</f>
      </c>
      <c r="AB270" s="0">
        <f>IF(AND(ISNUMBER(W270),W270&gt;0),"ID "&amp;B270,"")</f>
      </c>
      <c r="AC270" s="0">
        <f>IF(AND(ISNUMBER(W270),W270&gt;0),C270,"")</f>
      </c>
      <c r="AD270" s="0">
        <f>IF(AND(ISNUMBER(W270),W270&gt;0),D270,"")</f>
      </c>
      <c r="AE270" s="0">
        <f>IF(AND(ISNUMBER(W270),W270&gt;0),IF(INDEX('PEGAR'!$D$13:$D$512,IF(L270&gt;0,L270,K270))="","Sin descripción",INDEX('PEGAR'!$D$13:$D$512,IF(L270&gt;0,L270,K270))),"")</f>
      </c>
      <c r="AF270" s="0">
        <f>IF(AND(ISNUMBER(W270),W270&gt;0),J270,"")</f>
      </c>
      <c r="AG270" s="0" t="n">
        <f>IF(AND(ISNUMBER(W270),W270&gt;0),W270,0)</f>
        <v>0</v>
      </c>
      <c r="AH270" s="0">
        <f>IF(AG270&gt;0,COUNTIFS($AG$13:AG270,"&gt;0"),"")</f>
      </c>
    </row>
    <row r="271" ht="22" customHeight="1">
      <c r="B271" s="27">
        <f>IF(K271="","",INDEX('PEGAR'!$O$13:$O$512,K271))</f>
      </c>
      <c r="C271" s="30">
        <f>IF(B271="","",IF(LEN(TRIM(INDEX('PEGAR'!$B$13:$B$512,IF(L271&gt;0,L271,K271))&amp;""))=0,"Sin capítulo",TRIM(INDEX('PEGAR'!$B$13:$B$512,IF(L271&gt;0,L271,K271))&amp;"")))</f>
      </c>
      <c r="D271" s="27">
        <f>IF(B271="","",IF(LEN(TRIM(INDEX('PEGAR'!$C$13:$C$512,IF(L271&gt;0,L271,K271))&amp;""))=0,"",TRIM(INDEX('PEGAR'!$C$13:$C$512,IF(L271&gt;0,L271,K271))&amp;"")))</f>
      </c>
      <c r="E271" s="27">
        <f>IF(B271="","",INDEX('PEGAR'!$S$13:$S$512,IF(L271&gt;0,L271,K271)))</f>
      </c>
      <c r="F271" s="39">
        <f>IF(B271="","",IF(L271&gt;0,INDEX('PEGAR'!$F$13:$F$512,L271),""))</f>
      </c>
      <c r="G271" s="39">
        <f>IF(B271="","",IF(OR(M271=0,N271&gt;0,O271&gt;0),"",SUMIFS('PEGAR'!$M$13:$M$512,'PEGAR'!$O$13:$O$512,B271)))</f>
      </c>
      <c r="H271" s="39">
        <f>IF(AND(ISNUMBER(F271),ISNUMBER(G271)),G271-F271,"")</f>
      </c>
      <c r="I271" s="27">
        <f>IF(B271="","",IF(W271=2,"ROJO",IF(W271=1,"ÁMBAR","VERDE")))</f>
      </c>
      <c r="J271" s="30">
        <f>IF(B271="","",IF(W271=0,"Sin avisos numéricos. Revisamos el alcance aparte.",IF(L271=0,"Faltan datos completos de partida; no elegimos un total por suposición."&amp;CHAR(10),"")&amp;IF(N271&gt;0,"Hay filas incompletas o contradictorias; las revisamos en PEGAR."&amp;CHAR(10),"")&amp;IF(O271&gt;0,"Faltan las medidas de alguna fila; no cerramos la suma."&amp;CHAR(10),"")&amp;IF(M271=0,"No constan líneas de medición."&amp;CHAR(10),"")&amp;IF(IF(ISNUMBER(H271),ROUND(ABS(H271),8)&gt;$F$6,FALSE),"Las líneas difieren del total en más de 0,01; confirmamos cantidad o exclusión."&amp;CHAR(10),"")&amp;IF(P271&gt;0,"Parece m³: encontramos tres dimensiones bajo m²."&amp;CHAR(10),"")&amp;IF(R271&gt;0,"Código repetido dentro del capítulo; mantenemos sus ID separados."&amp;CHAR(10),"")&amp;IF(S271&gt;0,"Código repetido en otro capítulo; no unimos las partidas."&amp;CHAR(10),"")&amp;IF(T271&gt;0,"Mismo código con unidades distintas; pedimos aclaración."&amp;CHAR(10),"")&amp;IF(Q271&gt;0,"Hay más precisión que los decimales indicados; cotejamos el formato original."&amp;CHAR(10),"")&amp;IF(U271&gt;0,"Unidad sin normalizar; cotejamos su significado antes de sumar unidades."&amp;CHAR(10),"")&amp;IF(V271&gt;0,"Revisamos dimensiones, cantidades directas, ceros o deducciones en PEGAR."&amp;CHAR(10),"")))</f>
      </c>
      <c r="K271" s="0">
        <f>IF(259&gt;'RESUMEN'!$E$6,"",MATCH(259,'PEGAR'!$W$13:$W$512,0))</f>
      </c>
      <c r="L271" s="0">
        <f>IF(K271="","",INDEX('PEGAR'!$R$13:$R$512,K271))</f>
      </c>
      <c r="M271" s="0">
        <f>IF(B271="","",COUNTIFS('PEGAR'!$O$13:$O$512,B271,'PEGAR'!$P$13:$P$512,"DIMENSIONES")+COUNTIFS('PEGAR'!$O$13:$O$512,B271,'PEGAR'!$P$13:$P$512,"DIRECTA"))</f>
      </c>
      <c r="N271" s="0">
        <f>IF(B271="","",COUNTIFS('PEGAR'!$O$13:$O$512,B271,'PEGAR'!$X$13:$X$512,2))</f>
      </c>
      <c r="O271" s="0">
        <f>IF(B271="","",COUNTIFS('PEGAR'!$O$13:$O$512,B271,'PEGAR'!$P$13:$P$512,"SIN LÍNEAS"))</f>
      </c>
      <c r="P271" s="0">
        <f>IF(B271="","",SUMIFS('PEGAR'!$Y$13:$Y$512,'PEGAR'!$O$13:$O$512,B271))</f>
      </c>
      <c r="Q271" s="0">
        <f>IF(B271="","",SUMIFS('PEGAR'!$Z$13:$Z$512,'PEGAR'!$O$13:$O$512,B271))</f>
      </c>
      <c r="R271" s="0" t="n">
        <f>IF(OR(B271="",D271=""),0,SUMPRODUCT(--($B$13:$B$512&lt;&gt;""),--($D$13:$D$512=D271),--($C$13:$C$512=C271))-1)</f>
        <v>0</v>
      </c>
      <c r="S271" s="0" t="n">
        <f>IF(OR(B271="",D271=""),0,SUMPRODUCT(--($B$13:$B$512&lt;&gt;""),--($D$13:$D$512=D271),--($C$13:$C$512&lt;&gt;C271)))</f>
        <v>0</v>
      </c>
      <c r="T271" s="0" t="n">
        <f>IF(OR(B271="",D271=""),0,SUMPRODUCT(--($B$13:$B$512&lt;&gt;""),--($D$13:$D$512=D271),--($E$13:$E$512&lt;&gt;E271)))</f>
        <v>0</v>
      </c>
      <c r="U271" s="0" t="n">
        <f>IF(B271="",0,IF(SUMPRODUCT(--('LÉEME'!$C$65:$C$86=E271))=0,1,0))</f>
        <v>0</v>
      </c>
      <c r="V271" s="0">
        <f>IF(B271="","",SUMIFS('PEGAR'!$AA$13:$AA$512,'PEGAR'!$O$13:$O$512,B271))</f>
      </c>
      <c r="W271" s="0">
        <f>IF(B271="","",IF(OR(L271=0,N271&gt;0,T271&gt;0,IF(ISNUMBER(H271),ROUND(ABS(H271),8)&gt;$F$6,FALSE)),2,IF(OR(M271=0,O271&gt;0,P271&gt;0,Q271&gt;0,R271&gt;0,S271&gt;0,U271&gt;0,V271&gt;0),1,0)))</f>
      </c>
      <c r="X271" s="0">
        <f>IF(B271="","",IF(ISNUMBER(G271),1,0))</f>
      </c>
      <c r="AB271" s="0">
        <f>IF(AND(ISNUMBER(W271),W271&gt;0),"ID "&amp;B271,"")</f>
      </c>
      <c r="AC271" s="0">
        <f>IF(AND(ISNUMBER(W271),W271&gt;0),C271,"")</f>
      </c>
      <c r="AD271" s="0">
        <f>IF(AND(ISNUMBER(W271),W271&gt;0),D271,"")</f>
      </c>
      <c r="AE271" s="0">
        <f>IF(AND(ISNUMBER(W271),W271&gt;0),IF(INDEX('PEGAR'!$D$13:$D$512,IF(L271&gt;0,L271,K271))="","Sin descripción",INDEX('PEGAR'!$D$13:$D$512,IF(L271&gt;0,L271,K271))),"")</f>
      </c>
      <c r="AF271" s="0">
        <f>IF(AND(ISNUMBER(W271),W271&gt;0),J271,"")</f>
      </c>
      <c r="AG271" s="0" t="n">
        <f>IF(AND(ISNUMBER(W271),W271&gt;0),W271,0)</f>
        <v>0</v>
      </c>
      <c r="AH271" s="0">
        <f>IF(AG271&gt;0,COUNTIFS($AG$13:AG271,"&gt;0"),"")</f>
      </c>
    </row>
    <row r="272" ht="22" customHeight="1">
      <c r="B272" s="27">
        <f>IF(K272="","",INDEX('PEGAR'!$O$13:$O$512,K272))</f>
      </c>
      <c r="C272" s="30">
        <f>IF(B272="","",IF(LEN(TRIM(INDEX('PEGAR'!$B$13:$B$512,IF(L272&gt;0,L272,K272))&amp;""))=0,"Sin capítulo",TRIM(INDEX('PEGAR'!$B$13:$B$512,IF(L272&gt;0,L272,K272))&amp;"")))</f>
      </c>
      <c r="D272" s="27">
        <f>IF(B272="","",IF(LEN(TRIM(INDEX('PEGAR'!$C$13:$C$512,IF(L272&gt;0,L272,K272))&amp;""))=0,"",TRIM(INDEX('PEGAR'!$C$13:$C$512,IF(L272&gt;0,L272,K272))&amp;"")))</f>
      </c>
      <c r="E272" s="27">
        <f>IF(B272="","",INDEX('PEGAR'!$S$13:$S$512,IF(L272&gt;0,L272,K272)))</f>
      </c>
      <c r="F272" s="39">
        <f>IF(B272="","",IF(L272&gt;0,INDEX('PEGAR'!$F$13:$F$512,L272),""))</f>
      </c>
      <c r="G272" s="39">
        <f>IF(B272="","",IF(OR(M272=0,N272&gt;0,O272&gt;0),"",SUMIFS('PEGAR'!$M$13:$M$512,'PEGAR'!$O$13:$O$512,B272)))</f>
      </c>
      <c r="H272" s="39">
        <f>IF(AND(ISNUMBER(F272),ISNUMBER(G272)),G272-F272,"")</f>
      </c>
      <c r="I272" s="27">
        <f>IF(B272="","",IF(W272=2,"ROJO",IF(W272=1,"ÁMBAR","VERDE")))</f>
      </c>
      <c r="J272" s="30">
        <f>IF(B272="","",IF(W272=0,"Sin avisos numéricos. Revisamos el alcance aparte.",IF(L272=0,"Faltan datos completos de partida; no elegimos un total por suposición."&amp;CHAR(10),"")&amp;IF(N272&gt;0,"Hay filas incompletas o contradictorias; las revisamos en PEGAR."&amp;CHAR(10),"")&amp;IF(O272&gt;0,"Faltan las medidas de alguna fila; no cerramos la suma."&amp;CHAR(10),"")&amp;IF(M272=0,"No constan líneas de medición."&amp;CHAR(10),"")&amp;IF(IF(ISNUMBER(H272),ROUND(ABS(H272),8)&gt;$F$6,FALSE),"Las líneas difieren del total en más de 0,01; confirmamos cantidad o exclusión."&amp;CHAR(10),"")&amp;IF(P272&gt;0,"Parece m³: encontramos tres dimensiones bajo m²."&amp;CHAR(10),"")&amp;IF(R272&gt;0,"Código repetido dentro del capítulo; mantenemos sus ID separados."&amp;CHAR(10),"")&amp;IF(S272&gt;0,"Código repetido en otro capítulo; no unimos las partidas."&amp;CHAR(10),"")&amp;IF(T272&gt;0,"Mismo código con unidades distintas; pedimos aclaración."&amp;CHAR(10),"")&amp;IF(Q272&gt;0,"Hay más precisión que los decimales indicados; cotejamos el formato original."&amp;CHAR(10),"")&amp;IF(U272&gt;0,"Unidad sin normalizar; cotejamos su significado antes de sumar unidades."&amp;CHAR(10),"")&amp;IF(V272&gt;0,"Revisamos dimensiones, cantidades directas, ceros o deducciones en PEGAR."&amp;CHAR(10),"")))</f>
      </c>
      <c r="K272" s="0">
        <f>IF(260&gt;'RESUMEN'!$E$6,"",MATCH(260,'PEGAR'!$W$13:$W$512,0))</f>
      </c>
      <c r="L272" s="0">
        <f>IF(K272="","",INDEX('PEGAR'!$R$13:$R$512,K272))</f>
      </c>
      <c r="M272" s="0">
        <f>IF(B272="","",COUNTIFS('PEGAR'!$O$13:$O$512,B272,'PEGAR'!$P$13:$P$512,"DIMENSIONES")+COUNTIFS('PEGAR'!$O$13:$O$512,B272,'PEGAR'!$P$13:$P$512,"DIRECTA"))</f>
      </c>
      <c r="N272" s="0">
        <f>IF(B272="","",COUNTIFS('PEGAR'!$O$13:$O$512,B272,'PEGAR'!$X$13:$X$512,2))</f>
      </c>
      <c r="O272" s="0">
        <f>IF(B272="","",COUNTIFS('PEGAR'!$O$13:$O$512,B272,'PEGAR'!$P$13:$P$512,"SIN LÍNEAS"))</f>
      </c>
      <c r="P272" s="0">
        <f>IF(B272="","",SUMIFS('PEGAR'!$Y$13:$Y$512,'PEGAR'!$O$13:$O$512,B272))</f>
      </c>
      <c r="Q272" s="0">
        <f>IF(B272="","",SUMIFS('PEGAR'!$Z$13:$Z$512,'PEGAR'!$O$13:$O$512,B272))</f>
      </c>
      <c r="R272" s="0" t="n">
        <f>IF(OR(B272="",D272=""),0,SUMPRODUCT(--($B$13:$B$512&lt;&gt;""),--($D$13:$D$512=D272),--($C$13:$C$512=C272))-1)</f>
        <v>0</v>
      </c>
      <c r="S272" s="0" t="n">
        <f>IF(OR(B272="",D272=""),0,SUMPRODUCT(--($B$13:$B$512&lt;&gt;""),--($D$13:$D$512=D272),--($C$13:$C$512&lt;&gt;C272)))</f>
        <v>0</v>
      </c>
      <c r="T272" s="0" t="n">
        <f>IF(OR(B272="",D272=""),0,SUMPRODUCT(--($B$13:$B$512&lt;&gt;""),--($D$13:$D$512=D272),--($E$13:$E$512&lt;&gt;E272)))</f>
        <v>0</v>
      </c>
      <c r="U272" s="0" t="n">
        <f>IF(B272="",0,IF(SUMPRODUCT(--('LÉEME'!$C$65:$C$86=E272))=0,1,0))</f>
        <v>0</v>
      </c>
      <c r="V272" s="0">
        <f>IF(B272="","",SUMIFS('PEGAR'!$AA$13:$AA$512,'PEGAR'!$O$13:$O$512,B272))</f>
      </c>
      <c r="W272" s="0">
        <f>IF(B272="","",IF(OR(L272=0,N272&gt;0,T272&gt;0,IF(ISNUMBER(H272),ROUND(ABS(H272),8)&gt;$F$6,FALSE)),2,IF(OR(M272=0,O272&gt;0,P272&gt;0,Q272&gt;0,R272&gt;0,S272&gt;0,U272&gt;0,V272&gt;0),1,0)))</f>
      </c>
      <c r="X272" s="0">
        <f>IF(B272="","",IF(ISNUMBER(G272),1,0))</f>
      </c>
      <c r="AB272" s="0">
        <f>IF(AND(ISNUMBER(W272),W272&gt;0),"ID "&amp;B272,"")</f>
      </c>
      <c r="AC272" s="0">
        <f>IF(AND(ISNUMBER(W272),W272&gt;0),C272,"")</f>
      </c>
      <c r="AD272" s="0">
        <f>IF(AND(ISNUMBER(W272),W272&gt;0),D272,"")</f>
      </c>
      <c r="AE272" s="0">
        <f>IF(AND(ISNUMBER(W272),W272&gt;0),IF(INDEX('PEGAR'!$D$13:$D$512,IF(L272&gt;0,L272,K272))="","Sin descripción",INDEX('PEGAR'!$D$13:$D$512,IF(L272&gt;0,L272,K272))),"")</f>
      </c>
      <c r="AF272" s="0">
        <f>IF(AND(ISNUMBER(W272),W272&gt;0),J272,"")</f>
      </c>
      <c r="AG272" s="0" t="n">
        <f>IF(AND(ISNUMBER(W272),W272&gt;0),W272,0)</f>
        <v>0</v>
      </c>
      <c r="AH272" s="0">
        <f>IF(AG272&gt;0,COUNTIFS($AG$13:AG272,"&gt;0"),"")</f>
      </c>
    </row>
    <row r="273" ht="22" customHeight="1">
      <c r="B273" s="27">
        <f>IF(K273="","",INDEX('PEGAR'!$O$13:$O$512,K273))</f>
      </c>
      <c r="C273" s="30">
        <f>IF(B273="","",IF(LEN(TRIM(INDEX('PEGAR'!$B$13:$B$512,IF(L273&gt;0,L273,K273))&amp;""))=0,"Sin capítulo",TRIM(INDEX('PEGAR'!$B$13:$B$512,IF(L273&gt;0,L273,K273))&amp;"")))</f>
      </c>
      <c r="D273" s="27">
        <f>IF(B273="","",IF(LEN(TRIM(INDEX('PEGAR'!$C$13:$C$512,IF(L273&gt;0,L273,K273))&amp;""))=0,"",TRIM(INDEX('PEGAR'!$C$13:$C$512,IF(L273&gt;0,L273,K273))&amp;"")))</f>
      </c>
      <c r="E273" s="27">
        <f>IF(B273="","",INDEX('PEGAR'!$S$13:$S$512,IF(L273&gt;0,L273,K273)))</f>
      </c>
      <c r="F273" s="39">
        <f>IF(B273="","",IF(L273&gt;0,INDEX('PEGAR'!$F$13:$F$512,L273),""))</f>
      </c>
      <c r="G273" s="39">
        <f>IF(B273="","",IF(OR(M273=0,N273&gt;0,O273&gt;0),"",SUMIFS('PEGAR'!$M$13:$M$512,'PEGAR'!$O$13:$O$512,B273)))</f>
      </c>
      <c r="H273" s="39">
        <f>IF(AND(ISNUMBER(F273),ISNUMBER(G273)),G273-F273,"")</f>
      </c>
      <c r="I273" s="27">
        <f>IF(B273="","",IF(W273=2,"ROJO",IF(W273=1,"ÁMBAR","VERDE")))</f>
      </c>
      <c r="J273" s="30">
        <f>IF(B273="","",IF(W273=0,"Sin avisos numéricos. Revisamos el alcance aparte.",IF(L273=0,"Faltan datos completos de partida; no elegimos un total por suposición."&amp;CHAR(10),"")&amp;IF(N273&gt;0,"Hay filas incompletas o contradictorias; las revisamos en PEGAR."&amp;CHAR(10),"")&amp;IF(O273&gt;0,"Faltan las medidas de alguna fila; no cerramos la suma."&amp;CHAR(10),"")&amp;IF(M273=0,"No constan líneas de medición."&amp;CHAR(10),"")&amp;IF(IF(ISNUMBER(H273),ROUND(ABS(H273),8)&gt;$F$6,FALSE),"Las líneas difieren del total en más de 0,01; confirmamos cantidad o exclusión."&amp;CHAR(10),"")&amp;IF(P273&gt;0,"Parece m³: encontramos tres dimensiones bajo m²."&amp;CHAR(10),"")&amp;IF(R273&gt;0,"Código repetido dentro del capítulo; mantenemos sus ID separados."&amp;CHAR(10),"")&amp;IF(S273&gt;0,"Código repetido en otro capítulo; no unimos las partidas."&amp;CHAR(10),"")&amp;IF(T273&gt;0,"Mismo código con unidades distintas; pedimos aclaración."&amp;CHAR(10),"")&amp;IF(Q273&gt;0,"Hay más precisión que los decimales indicados; cotejamos el formato original."&amp;CHAR(10),"")&amp;IF(U273&gt;0,"Unidad sin normalizar; cotejamos su significado antes de sumar unidades."&amp;CHAR(10),"")&amp;IF(V273&gt;0,"Revisamos dimensiones, cantidades directas, ceros o deducciones en PEGAR."&amp;CHAR(10),"")))</f>
      </c>
      <c r="K273" s="0">
        <f>IF(261&gt;'RESUMEN'!$E$6,"",MATCH(261,'PEGAR'!$W$13:$W$512,0))</f>
      </c>
      <c r="L273" s="0">
        <f>IF(K273="","",INDEX('PEGAR'!$R$13:$R$512,K273))</f>
      </c>
      <c r="M273" s="0">
        <f>IF(B273="","",COUNTIFS('PEGAR'!$O$13:$O$512,B273,'PEGAR'!$P$13:$P$512,"DIMENSIONES")+COUNTIFS('PEGAR'!$O$13:$O$512,B273,'PEGAR'!$P$13:$P$512,"DIRECTA"))</f>
      </c>
      <c r="N273" s="0">
        <f>IF(B273="","",COUNTIFS('PEGAR'!$O$13:$O$512,B273,'PEGAR'!$X$13:$X$512,2))</f>
      </c>
      <c r="O273" s="0">
        <f>IF(B273="","",COUNTIFS('PEGAR'!$O$13:$O$512,B273,'PEGAR'!$P$13:$P$512,"SIN LÍNEAS"))</f>
      </c>
      <c r="P273" s="0">
        <f>IF(B273="","",SUMIFS('PEGAR'!$Y$13:$Y$512,'PEGAR'!$O$13:$O$512,B273))</f>
      </c>
      <c r="Q273" s="0">
        <f>IF(B273="","",SUMIFS('PEGAR'!$Z$13:$Z$512,'PEGAR'!$O$13:$O$512,B273))</f>
      </c>
      <c r="R273" s="0" t="n">
        <f>IF(OR(B273="",D273=""),0,SUMPRODUCT(--($B$13:$B$512&lt;&gt;""),--($D$13:$D$512=D273),--($C$13:$C$512=C273))-1)</f>
        <v>0</v>
      </c>
      <c r="S273" s="0" t="n">
        <f>IF(OR(B273="",D273=""),0,SUMPRODUCT(--($B$13:$B$512&lt;&gt;""),--($D$13:$D$512=D273),--($C$13:$C$512&lt;&gt;C273)))</f>
        <v>0</v>
      </c>
      <c r="T273" s="0" t="n">
        <f>IF(OR(B273="",D273=""),0,SUMPRODUCT(--($B$13:$B$512&lt;&gt;""),--($D$13:$D$512=D273),--($E$13:$E$512&lt;&gt;E273)))</f>
        <v>0</v>
      </c>
      <c r="U273" s="0" t="n">
        <f>IF(B273="",0,IF(SUMPRODUCT(--('LÉEME'!$C$65:$C$86=E273))=0,1,0))</f>
        <v>0</v>
      </c>
      <c r="V273" s="0">
        <f>IF(B273="","",SUMIFS('PEGAR'!$AA$13:$AA$512,'PEGAR'!$O$13:$O$512,B273))</f>
      </c>
      <c r="W273" s="0">
        <f>IF(B273="","",IF(OR(L273=0,N273&gt;0,T273&gt;0,IF(ISNUMBER(H273),ROUND(ABS(H273),8)&gt;$F$6,FALSE)),2,IF(OR(M273=0,O273&gt;0,P273&gt;0,Q273&gt;0,R273&gt;0,S273&gt;0,U273&gt;0,V273&gt;0),1,0)))</f>
      </c>
      <c r="X273" s="0">
        <f>IF(B273="","",IF(ISNUMBER(G273),1,0))</f>
      </c>
      <c r="AB273" s="0">
        <f>IF(AND(ISNUMBER(W273),W273&gt;0),"ID "&amp;B273,"")</f>
      </c>
      <c r="AC273" s="0">
        <f>IF(AND(ISNUMBER(W273),W273&gt;0),C273,"")</f>
      </c>
      <c r="AD273" s="0">
        <f>IF(AND(ISNUMBER(W273),W273&gt;0),D273,"")</f>
      </c>
      <c r="AE273" s="0">
        <f>IF(AND(ISNUMBER(W273),W273&gt;0),IF(INDEX('PEGAR'!$D$13:$D$512,IF(L273&gt;0,L273,K273))="","Sin descripción",INDEX('PEGAR'!$D$13:$D$512,IF(L273&gt;0,L273,K273))),"")</f>
      </c>
      <c r="AF273" s="0">
        <f>IF(AND(ISNUMBER(W273),W273&gt;0),J273,"")</f>
      </c>
      <c r="AG273" s="0" t="n">
        <f>IF(AND(ISNUMBER(W273),W273&gt;0),W273,0)</f>
        <v>0</v>
      </c>
      <c r="AH273" s="0">
        <f>IF(AG273&gt;0,COUNTIFS($AG$13:AG273,"&gt;0"),"")</f>
      </c>
    </row>
    <row r="274" ht="22" customHeight="1">
      <c r="B274" s="27">
        <f>IF(K274="","",INDEX('PEGAR'!$O$13:$O$512,K274))</f>
      </c>
      <c r="C274" s="30">
        <f>IF(B274="","",IF(LEN(TRIM(INDEX('PEGAR'!$B$13:$B$512,IF(L274&gt;0,L274,K274))&amp;""))=0,"Sin capítulo",TRIM(INDEX('PEGAR'!$B$13:$B$512,IF(L274&gt;0,L274,K274))&amp;"")))</f>
      </c>
      <c r="D274" s="27">
        <f>IF(B274="","",IF(LEN(TRIM(INDEX('PEGAR'!$C$13:$C$512,IF(L274&gt;0,L274,K274))&amp;""))=0,"",TRIM(INDEX('PEGAR'!$C$13:$C$512,IF(L274&gt;0,L274,K274))&amp;"")))</f>
      </c>
      <c r="E274" s="27">
        <f>IF(B274="","",INDEX('PEGAR'!$S$13:$S$512,IF(L274&gt;0,L274,K274)))</f>
      </c>
      <c r="F274" s="39">
        <f>IF(B274="","",IF(L274&gt;0,INDEX('PEGAR'!$F$13:$F$512,L274),""))</f>
      </c>
      <c r="G274" s="39">
        <f>IF(B274="","",IF(OR(M274=0,N274&gt;0,O274&gt;0),"",SUMIFS('PEGAR'!$M$13:$M$512,'PEGAR'!$O$13:$O$512,B274)))</f>
      </c>
      <c r="H274" s="39">
        <f>IF(AND(ISNUMBER(F274),ISNUMBER(G274)),G274-F274,"")</f>
      </c>
      <c r="I274" s="27">
        <f>IF(B274="","",IF(W274=2,"ROJO",IF(W274=1,"ÁMBAR","VERDE")))</f>
      </c>
      <c r="J274" s="30">
        <f>IF(B274="","",IF(W274=0,"Sin avisos numéricos. Revisamos el alcance aparte.",IF(L274=0,"Faltan datos completos de partida; no elegimos un total por suposición."&amp;CHAR(10),"")&amp;IF(N274&gt;0,"Hay filas incompletas o contradictorias; las revisamos en PEGAR."&amp;CHAR(10),"")&amp;IF(O274&gt;0,"Faltan las medidas de alguna fila; no cerramos la suma."&amp;CHAR(10),"")&amp;IF(M274=0,"No constan líneas de medición."&amp;CHAR(10),"")&amp;IF(IF(ISNUMBER(H274),ROUND(ABS(H274),8)&gt;$F$6,FALSE),"Las líneas difieren del total en más de 0,01; confirmamos cantidad o exclusión."&amp;CHAR(10),"")&amp;IF(P274&gt;0,"Parece m³: encontramos tres dimensiones bajo m²."&amp;CHAR(10),"")&amp;IF(R274&gt;0,"Código repetido dentro del capítulo; mantenemos sus ID separados."&amp;CHAR(10),"")&amp;IF(S274&gt;0,"Código repetido en otro capítulo; no unimos las partidas."&amp;CHAR(10),"")&amp;IF(T274&gt;0,"Mismo código con unidades distintas; pedimos aclaración."&amp;CHAR(10),"")&amp;IF(Q274&gt;0,"Hay más precisión que los decimales indicados; cotejamos el formato original."&amp;CHAR(10),"")&amp;IF(U274&gt;0,"Unidad sin normalizar; cotejamos su significado antes de sumar unidades."&amp;CHAR(10),"")&amp;IF(V274&gt;0,"Revisamos dimensiones, cantidades directas, ceros o deducciones en PEGAR."&amp;CHAR(10),"")))</f>
      </c>
      <c r="K274" s="0">
        <f>IF(262&gt;'RESUMEN'!$E$6,"",MATCH(262,'PEGAR'!$W$13:$W$512,0))</f>
      </c>
      <c r="L274" s="0">
        <f>IF(K274="","",INDEX('PEGAR'!$R$13:$R$512,K274))</f>
      </c>
      <c r="M274" s="0">
        <f>IF(B274="","",COUNTIFS('PEGAR'!$O$13:$O$512,B274,'PEGAR'!$P$13:$P$512,"DIMENSIONES")+COUNTIFS('PEGAR'!$O$13:$O$512,B274,'PEGAR'!$P$13:$P$512,"DIRECTA"))</f>
      </c>
      <c r="N274" s="0">
        <f>IF(B274="","",COUNTIFS('PEGAR'!$O$13:$O$512,B274,'PEGAR'!$X$13:$X$512,2))</f>
      </c>
      <c r="O274" s="0">
        <f>IF(B274="","",COUNTIFS('PEGAR'!$O$13:$O$512,B274,'PEGAR'!$P$13:$P$512,"SIN LÍNEAS"))</f>
      </c>
      <c r="P274" s="0">
        <f>IF(B274="","",SUMIFS('PEGAR'!$Y$13:$Y$512,'PEGAR'!$O$13:$O$512,B274))</f>
      </c>
      <c r="Q274" s="0">
        <f>IF(B274="","",SUMIFS('PEGAR'!$Z$13:$Z$512,'PEGAR'!$O$13:$O$512,B274))</f>
      </c>
      <c r="R274" s="0" t="n">
        <f>IF(OR(B274="",D274=""),0,SUMPRODUCT(--($B$13:$B$512&lt;&gt;""),--($D$13:$D$512=D274),--($C$13:$C$512=C274))-1)</f>
        <v>0</v>
      </c>
      <c r="S274" s="0" t="n">
        <f>IF(OR(B274="",D274=""),0,SUMPRODUCT(--($B$13:$B$512&lt;&gt;""),--($D$13:$D$512=D274),--($C$13:$C$512&lt;&gt;C274)))</f>
        <v>0</v>
      </c>
      <c r="T274" s="0" t="n">
        <f>IF(OR(B274="",D274=""),0,SUMPRODUCT(--($B$13:$B$512&lt;&gt;""),--($D$13:$D$512=D274),--($E$13:$E$512&lt;&gt;E274)))</f>
        <v>0</v>
      </c>
      <c r="U274" s="0" t="n">
        <f>IF(B274="",0,IF(SUMPRODUCT(--('LÉEME'!$C$65:$C$86=E274))=0,1,0))</f>
        <v>0</v>
      </c>
      <c r="V274" s="0">
        <f>IF(B274="","",SUMIFS('PEGAR'!$AA$13:$AA$512,'PEGAR'!$O$13:$O$512,B274))</f>
      </c>
      <c r="W274" s="0">
        <f>IF(B274="","",IF(OR(L274=0,N274&gt;0,T274&gt;0,IF(ISNUMBER(H274),ROUND(ABS(H274),8)&gt;$F$6,FALSE)),2,IF(OR(M274=0,O274&gt;0,P274&gt;0,Q274&gt;0,R274&gt;0,S274&gt;0,U274&gt;0,V274&gt;0),1,0)))</f>
      </c>
      <c r="X274" s="0">
        <f>IF(B274="","",IF(ISNUMBER(G274),1,0))</f>
      </c>
      <c r="AB274" s="0">
        <f>IF(AND(ISNUMBER(W274),W274&gt;0),"ID "&amp;B274,"")</f>
      </c>
      <c r="AC274" s="0">
        <f>IF(AND(ISNUMBER(W274),W274&gt;0),C274,"")</f>
      </c>
      <c r="AD274" s="0">
        <f>IF(AND(ISNUMBER(W274),W274&gt;0),D274,"")</f>
      </c>
      <c r="AE274" s="0">
        <f>IF(AND(ISNUMBER(W274),W274&gt;0),IF(INDEX('PEGAR'!$D$13:$D$512,IF(L274&gt;0,L274,K274))="","Sin descripción",INDEX('PEGAR'!$D$13:$D$512,IF(L274&gt;0,L274,K274))),"")</f>
      </c>
      <c r="AF274" s="0">
        <f>IF(AND(ISNUMBER(W274),W274&gt;0),J274,"")</f>
      </c>
      <c r="AG274" s="0" t="n">
        <f>IF(AND(ISNUMBER(W274),W274&gt;0),W274,0)</f>
        <v>0</v>
      </c>
      <c r="AH274" s="0">
        <f>IF(AG274&gt;0,COUNTIFS($AG$13:AG274,"&gt;0"),"")</f>
      </c>
    </row>
    <row r="275" ht="22" customHeight="1">
      <c r="B275" s="27">
        <f>IF(K275="","",INDEX('PEGAR'!$O$13:$O$512,K275))</f>
      </c>
      <c r="C275" s="30">
        <f>IF(B275="","",IF(LEN(TRIM(INDEX('PEGAR'!$B$13:$B$512,IF(L275&gt;0,L275,K275))&amp;""))=0,"Sin capítulo",TRIM(INDEX('PEGAR'!$B$13:$B$512,IF(L275&gt;0,L275,K275))&amp;"")))</f>
      </c>
      <c r="D275" s="27">
        <f>IF(B275="","",IF(LEN(TRIM(INDEX('PEGAR'!$C$13:$C$512,IF(L275&gt;0,L275,K275))&amp;""))=0,"",TRIM(INDEX('PEGAR'!$C$13:$C$512,IF(L275&gt;0,L275,K275))&amp;"")))</f>
      </c>
      <c r="E275" s="27">
        <f>IF(B275="","",INDEX('PEGAR'!$S$13:$S$512,IF(L275&gt;0,L275,K275)))</f>
      </c>
      <c r="F275" s="39">
        <f>IF(B275="","",IF(L275&gt;0,INDEX('PEGAR'!$F$13:$F$512,L275),""))</f>
      </c>
      <c r="G275" s="39">
        <f>IF(B275="","",IF(OR(M275=0,N275&gt;0,O275&gt;0),"",SUMIFS('PEGAR'!$M$13:$M$512,'PEGAR'!$O$13:$O$512,B275)))</f>
      </c>
      <c r="H275" s="39">
        <f>IF(AND(ISNUMBER(F275),ISNUMBER(G275)),G275-F275,"")</f>
      </c>
      <c r="I275" s="27">
        <f>IF(B275="","",IF(W275=2,"ROJO",IF(W275=1,"ÁMBAR","VERDE")))</f>
      </c>
      <c r="J275" s="30">
        <f>IF(B275="","",IF(W275=0,"Sin avisos numéricos. Revisamos el alcance aparte.",IF(L275=0,"Faltan datos completos de partida; no elegimos un total por suposición."&amp;CHAR(10),"")&amp;IF(N275&gt;0,"Hay filas incompletas o contradictorias; las revisamos en PEGAR."&amp;CHAR(10),"")&amp;IF(O275&gt;0,"Faltan las medidas de alguna fila; no cerramos la suma."&amp;CHAR(10),"")&amp;IF(M275=0,"No constan líneas de medición."&amp;CHAR(10),"")&amp;IF(IF(ISNUMBER(H275),ROUND(ABS(H275),8)&gt;$F$6,FALSE),"Las líneas difieren del total en más de 0,01; confirmamos cantidad o exclusión."&amp;CHAR(10),"")&amp;IF(P275&gt;0,"Parece m³: encontramos tres dimensiones bajo m²."&amp;CHAR(10),"")&amp;IF(R275&gt;0,"Código repetido dentro del capítulo; mantenemos sus ID separados."&amp;CHAR(10),"")&amp;IF(S275&gt;0,"Código repetido en otro capítulo; no unimos las partidas."&amp;CHAR(10),"")&amp;IF(T275&gt;0,"Mismo código con unidades distintas; pedimos aclaración."&amp;CHAR(10),"")&amp;IF(Q275&gt;0,"Hay más precisión que los decimales indicados; cotejamos el formato original."&amp;CHAR(10),"")&amp;IF(U275&gt;0,"Unidad sin normalizar; cotejamos su significado antes de sumar unidades."&amp;CHAR(10),"")&amp;IF(V275&gt;0,"Revisamos dimensiones, cantidades directas, ceros o deducciones en PEGAR."&amp;CHAR(10),"")))</f>
      </c>
      <c r="K275" s="0">
        <f>IF(263&gt;'RESUMEN'!$E$6,"",MATCH(263,'PEGAR'!$W$13:$W$512,0))</f>
      </c>
      <c r="L275" s="0">
        <f>IF(K275="","",INDEX('PEGAR'!$R$13:$R$512,K275))</f>
      </c>
      <c r="M275" s="0">
        <f>IF(B275="","",COUNTIFS('PEGAR'!$O$13:$O$512,B275,'PEGAR'!$P$13:$P$512,"DIMENSIONES")+COUNTIFS('PEGAR'!$O$13:$O$512,B275,'PEGAR'!$P$13:$P$512,"DIRECTA"))</f>
      </c>
      <c r="N275" s="0">
        <f>IF(B275="","",COUNTIFS('PEGAR'!$O$13:$O$512,B275,'PEGAR'!$X$13:$X$512,2))</f>
      </c>
      <c r="O275" s="0">
        <f>IF(B275="","",COUNTIFS('PEGAR'!$O$13:$O$512,B275,'PEGAR'!$P$13:$P$512,"SIN LÍNEAS"))</f>
      </c>
      <c r="P275" s="0">
        <f>IF(B275="","",SUMIFS('PEGAR'!$Y$13:$Y$512,'PEGAR'!$O$13:$O$512,B275))</f>
      </c>
      <c r="Q275" s="0">
        <f>IF(B275="","",SUMIFS('PEGAR'!$Z$13:$Z$512,'PEGAR'!$O$13:$O$512,B275))</f>
      </c>
      <c r="R275" s="0" t="n">
        <f>IF(OR(B275="",D275=""),0,SUMPRODUCT(--($B$13:$B$512&lt;&gt;""),--($D$13:$D$512=D275),--($C$13:$C$512=C275))-1)</f>
        <v>0</v>
      </c>
      <c r="S275" s="0" t="n">
        <f>IF(OR(B275="",D275=""),0,SUMPRODUCT(--($B$13:$B$512&lt;&gt;""),--($D$13:$D$512=D275),--($C$13:$C$512&lt;&gt;C275)))</f>
        <v>0</v>
      </c>
      <c r="T275" s="0" t="n">
        <f>IF(OR(B275="",D275=""),0,SUMPRODUCT(--($B$13:$B$512&lt;&gt;""),--($D$13:$D$512=D275),--($E$13:$E$512&lt;&gt;E275)))</f>
        <v>0</v>
      </c>
      <c r="U275" s="0" t="n">
        <f>IF(B275="",0,IF(SUMPRODUCT(--('LÉEME'!$C$65:$C$86=E275))=0,1,0))</f>
        <v>0</v>
      </c>
      <c r="V275" s="0">
        <f>IF(B275="","",SUMIFS('PEGAR'!$AA$13:$AA$512,'PEGAR'!$O$13:$O$512,B275))</f>
      </c>
      <c r="W275" s="0">
        <f>IF(B275="","",IF(OR(L275=0,N275&gt;0,T275&gt;0,IF(ISNUMBER(H275),ROUND(ABS(H275),8)&gt;$F$6,FALSE)),2,IF(OR(M275=0,O275&gt;0,P275&gt;0,Q275&gt;0,R275&gt;0,S275&gt;0,U275&gt;0,V275&gt;0),1,0)))</f>
      </c>
      <c r="X275" s="0">
        <f>IF(B275="","",IF(ISNUMBER(G275),1,0))</f>
      </c>
      <c r="AB275" s="0">
        <f>IF(AND(ISNUMBER(W275),W275&gt;0),"ID "&amp;B275,"")</f>
      </c>
      <c r="AC275" s="0">
        <f>IF(AND(ISNUMBER(W275),W275&gt;0),C275,"")</f>
      </c>
      <c r="AD275" s="0">
        <f>IF(AND(ISNUMBER(W275),W275&gt;0),D275,"")</f>
      </c>
      <c r="AE275" s="0">
        <f>IF(AND(ISNUMBER(W275),W275&gt;0),IF(INDEX('PEGAR'!$D$13:$D$512,IF(L275&gt;0,L275,K275))="","Sin descripción",INDEX('PEGAR'!$D$13:$D$512,IF(L275&gt;0,L275,K275))),"")</f>
      </c>
      <c r="AF275" s="0">
        <f>IF(AND(ISNUMBER(W275),W275&gt;0),J275,"")</f>
      </c>
      <c r="AG275" s="0" t="n">
        <f>IF(AND(ISNUMBER(W275),W275&gt;0),W275,0)</f>
        <v>0</v>
      </c>
      <c r="AH275" s="0">
        <f>IF(AG275&gt;0,COUNTIFS($AG$13:AG275,"&gt;0"),"")</f>
      </c>
    </row>
    <row r="276" ht="22" customHeight="1">
      <c r="B276" s="27">
        <f>IF(K276="","",INDEX('PEGAR'!$O$13:$O$512,K276))</f>
      </c>
      <c r="C276" s="30">
        <f>IF(B276="","",IF(LEN(TRIM(INDEX('PEGAR'!$B$13:$B$512,IF(L276&gt;0,L276,K276))&amp;""))=0,"Sin capítulo",TRIM(INDEX('PEGAR'!$B$13:$B$512,IF(L276&gt;0,L276,K276))&amp;"")))</f>
      </c>
      <c r="D276" s="27">
        <f>IF(B276="","",IF(LEN(TRIM(INDEX('PEGAR'!$C$13:$C$512,IF(L276&gt;0,L276,K276))&amp;""))=0,"",TRIM(INDEX('PEGAR'!$C$13:$C$512,IF(L276&gt;0,L276,K276))&amp;"")))</f>
      </c>
      <c r="E276" s="27">
        <f>IF(B276="","",INDEX('PEGAR'!$S$13:$S$512,IF(L276&gt;0,L276,K276)))</f>
      </c>
      <c r="F276" s="39">
        <f>IF(B276="","",IF(L276&gt;0,INDEX('PEGAR'!$F$13:$F$512,L276),""))</f>
      </c>
      <c r="G276" s="39">
        <f>IF(B276="","",IF(OR(M276=0,N276&gt;0,O276&gt;0),"",SUMIFS('PEGAR'!$M$13:$M$512,'PEGAR'!$O$13:$O$512,B276)))</f>
      </c>
      <c r="H276" s="39">
        <f>IF(AND(ISNUMBER(F276),ISNUMBER(G276)),G276-F276,"")</f>
      </c>
      <c r="I276" s="27">
        <f>IF(B276="","",IF(W276=2,"ROJO",IF(W276=1,"ÁMBAR","VERDE")))</f>
      </c>
      <c r="J276" s="30">
        <f>IF(B276="","",IF(W276=0,"Sin avisos numéricos. Revisamos el alcance aparte.",IF(L276=0,"Faltan datos completos de partida; no elegimos un total por suposición."&amp;CHAR(10),"")&amp;IF(N276&gt;0,"Hay filas incompletas o contradictorias; las revisamos en PEGAR."&amp;CHAR(10),"")&amp;IF(O276&gt;0,"Faltan las medidas de alguna fila; no cerramos la suma."&amp;CHAR(10),"")&amp;IF(M276=0,"No constan líneas de medición."&amp;CHAR(10),"")&amp;IF(IF(ISNUMBER(H276),ROUND(ABS(H276),8)&gt;$F$6,FALSE),"Las líneas difieren del total en más de 0,01; confirmamos cantidad o exclusión."&amp;CHAR(10),"")&amp;IF(P276&gt;0,"Parece m³: encontramos tres dimensiones bajo m²."&amp;CHAR(10),"")&amp;IF(R276&gt;0,"Código repetido dentro del capítulo; mantenemos sus ID separados."&amp;CHAR(10),"")&amp;IF(S276&gt;0,"Código repetido en otro capítulo; no unimos las partidas."&amp;CHAR(10),"")&amp;IF(T276&gt;0,"Mismo código con unidades distintas; pedimos aclaración."&amp;CHAR(10),"")&amp;IF(Q276&gt;0,"Hay más precisión que los decimales indicados; cotejamos el formato original."&amp;CHAR(10),"")&amp;IF(U276&gt;0,"Unidad sin normalizar; cotejamos su significado antes de sumar unidades."&amp;CHAR(10),"")&amp;IF(V276&gt;0,"Revisamos dimensiones, cantidades directas, ceros o deducciones en PEGAR."&amp;CHAR(10),"")))</f>
      </c>
      <c r="K276" s="0">
        <f>IF(264&gt;'RESUMEN'!$E$6,"",MATCH(264,'PEGAR'!$W$13:$W$512,0))</f>
      </c>
      <c r="L276" s="0">
        <f>IF(K276="","",INDEX('PEGAR'!$R$13:$R$512,K276))</f>
      </c>
      <c r="M276" s="0">
        <f>IF(B276="","",COUNTIFS('PEGAR'!$O$13:$O$512,B276,'PEGAR'!$P$13:$P$512,"DIMENSIONES")+COUNTIFS('PEGAR'!$O$13:$O$512,B276,'PEGAR'!$P$13:$P$512,"DIRECTA"))</f>
      </c>
      <c r="N276" s="0">
        <f>IF(B276="","",COUNTIFS('PEGAR'!$O$13:$O$512,B276,'PEGAR'!$X$13:$X$512,2))</f>
      </c>
      <c r="O276" s="0">
        <f>IF(B276="","",COUNTIFS('PEGAR'!$O$13:$O$512,B276,'PEGAR'!$P$13:$P$512,"SIN LÍNEAS"))</f>
      </c>
      <c r="P276" s="0">
        <f>IF(B276="","",SUMIFS('PEGAR'!$Y$13:$Y$512,'PEGAR'!$O$13:$O$512,B276))</f>
      </c>
      <c r="Q276" s="0">
        <f>IF(B276="","",SUMIFS('PEGAR'!$Z$13:$Z$512,'PEGAR'!$O$13:$O$512,B276))</f>
      </c>
      <c r="R276" s="0" t="n">
        <f>IF(OR(B276="",D276=""),0,SUMPRODUCT(--($B$13:$B$512&lt;&gt;""),--($D$13:$D$512=D276),--($C$13:$C$512=C276))-1)</f>
        <v>0</v>
      </c>
      <c r="S276" s="0" t="n">
        <f>IF(OR(B276="",D276=""),0,SUMPRODUCT(--($B$13:$B$512&lt;&gt;""),--($D$13:$D$512=D276),--($C$13:$C$512&lt;&gt;C276)))</f>
        <v>0</v>
      </c>
      <c r="T276" s="0" t="n">
        <f>IF(OR(B276="",D276=""),0,SUMPRODUCT(--($B$13:$B$512&lt;&gt;""),--($D$13:$D$512=D276),--($E$13:$E$512&lt;&gt;E276)))</f>
        <v>0</v>
      </c>
      <c r="U276" s="0" t="n">
        <f>IF(B276="",0,IF(SUMPRODUCT(--('LÉEME'!$C$65:$C$86=E276))=0,1,0))</f>
        <v>0</v>
      </c>
      <c r="V276" s="0">
        <f>IF(B276="","",SUMIFS('PEGAR'!$AA$13:$AA$512,'PEGAR'!$O$13:$O$512,B276))</f>
      </c>
      <c r="W276" s="0">
        <f>IF(B276="","",IF(OR(L276=0,N276&gt;0,T276&gt;0,IF(ISNUMBER(H276),ROUND(ABS(H276),8)&gt;$F$6,FALSE)),2,IF(OR(M276=0,O276&gt;0,P276&gt;0,Q276&gt;0,R276&gt;0,S276&gt;0,U276&gt;0,V276&gt;0),1,0)))</f>
      </c>
      <c r="X276" s="0">
        <f>IF(B276="","",IF(ISNUMBER(G276),1,0))</f>
      </c>
      <c r="AB276" s="0">
        <f>IF(AND(ISNUMBER(W276),W276&gt;0),"ID "&amp;B276,"")</f>
      </c>
      <c r="AC276" s="0">
        <f>IF(AND(ISNUMBER(W276),W276&gt;0),C276,"")</f>
      </c>
      <c r="AD276" s="0">
        <f>IF(AND(ISNUMBER(W276),W276&gt;0),D276,"")</f>
      </c>
      <c r="AE276" s="0">
        <f>IF(AND(ISNUMBER(W276),W276&gt;0),IF(INDEX('PEGAR'!$D$13:$D$512,IF(L276&gt;0,L276,K276))="","Sin descripción",INDEX('PEGAR'!$D$13:$D$512,IF(L276&gt;0,L276,K276))),"")</f>
      </c>
      <c r="AF276" s="0">
        <f>IF(AND(ISNUMBER(W276),W276&gt;0),J276,"")</f>
      </c>
      <c r="AG276" s="0" t="n">
        <f>IF(AND(ISNUMBER(W276),W276&gt;0),W276,0)</f>
        <v>0</v>
      </c>
      <c r="AH276" s="0">
        <f>IF(AG276&gt;0,COUNTIFS($AG$13:AG276,"&gt;0"),"")</f>
      </c>
    </row>
    <row r="277" ht="22" customHeight="1">
      <c r="B277" s="27">
        <f>IF(K277="","",INDEX('PEGAR'!$O$13:$O$512,K277))</f>
      </c>
      <c r="C277" s="30">
        <f>IF(B277="","",IF(LEN(TRIM(INDEX('PEGAR'!$B$13:$B$512,IF(L277&gt;0,L277,K277))&amp;""))=0,"Sin capítulo",TRIM(INDEX('PEGAR'!$B$13:$B$512,IF(L277&gt;0,L277,K277))&amp;"")))</f>
      </c>
      <c r="D277" s="27">
        <f>IF(B277="","",IF(LEN(TRIM(INDEX('PEGAR'!$C$13:$C$512,IF(L277&gt;0,L277,K277))&amp;""))=0,"",TRIM(INDEX('PEGAR'!$C$13:$C$512,IF(L277&gt;0,L277,K277))&amp;"")))</f>
      </c>
      <c r="E277" s="27">
        <f>IF(B277="","",INDEX('PEGAR'!$S$13:$S$512,IF(L277&gt;0,L277,K277)))</f>
      </c>
      <c r="F277" s="39">
        <f>IF(B277="","",IF(L277&gt;0,INDEX('PEGAR'!$F$13:$F$512,L277),""))</f>
      </c>
      <c r="G277" s="39">
        <f>IF(B277="","",IF(OR(M277=0,N277&gt;0,O277&gt;0),"",SUMIFS('PEGAR'!$M$13:$M$512,'PEGAR'!$O$13:$O$512,B277)))</f>
      </c>
      <c r="H277" s="39">
        <f>IF(AND(ISNUMBER(F277),ISNUMBER(G277)),G277-F277,"")</f>
      </c>
      <c r="I277" s="27">
        <f>IF(B277="","",IF(W277=2,"ROJO",IF(W277=1,"ÁMBAR","VERDE")))</f>
      </c>
      <c r="J277" s="30">
        <f>IF(B277="","",IF(W277=0,"Sin avisos numéricos. Revisamos el alcance aparte.",IF(L277=0,"Faltan datos completos de partida; no elegimos un total por suposición."&amp;CHAR(10),"")&amp;IF(N277&gt;0,"Hay filas incompletas o contradictorias; las revisamos en PEGAR."&amp;CHAR(10),"")&amp;IF(O277&gt;0,"Faltan las medidas de alguna fila; no cerramos la suma."&amp;CHAR(10),"")&amp;IF(M277=0,"No constan líneas de medición."&amp;CHAR(10),"")&amp;IF(IF(ISNUMBER(H277),ROUND(ABS(H277),8)&gt;$F$6,FALSE),"Las líneas difieren del total en más de 0,01; confirmamos cantidad o exclusión."&amp;CHAR(10),"")&amp;IF(P277&gt;0,"Parece m³: encontramos tres dimensiones bajo m²."&amp;CHAR(10),"")&amp;IF(R277&gt;0,"Código repetido dentro del capítulo; mantenemos sus ID separados."&amp;CHAR(10),"")&amp;IF(S277&gt;0,"Código repetido en otro capítulo; no unimos las partidas."&amp;CHAR(10),"")&amp;IF(T277&gt;0,"Mismo código con unidades distintas; pedimos aclaración."&amp;CHAR(10),"")&amp;IF(Q277&gt;0,"Hay más precisión que los decimales indicados; cotejamos el formato original."&amp;CHAR(10),"")&amp;IF(U277&gt;0,"Unidad sin normalizar; cotejamos su significado antes de sumar unidades."&amp;CHAR(10),"")&amp;IF(V277&gt;0,"Revisamos dimensiones, cantidades directas, ceros o deducciones en PEGAR."&amp;CHAR(10),"")))</f>
      </c>
      <c r="K277" s="0">
        <f>IF(265&gt;'RESUMEN'!$E$6,"",MATCH(265,'PEGAR'!$W$13:$W$512,0))</f>
      </c>
      <c r="L277" s="0">
        <f>IF(K277="","",INDEX('PEGAR'!$R$13:$R$512,K277))</f>
      </c>
      <c r="M277" s="0">
        <f>IF(B277="","",COUNTIFS('PEGAR'!$O$13:$O$512,B277,'PEGAR'!$P$13:$P$512,"DIMENSIONES")+COUNTIFS('PEGAR'!$O$13:$O$512,B277,'PEGAR'!$P$13:$P$512,"DIRECTA"))</f>
      </c>
      <c r="N277" s="0">
        <f>IF(B277="","",COUNTIFS('PEGAR'!$O$13:$O$512,B277,'PEGAR'!$X$13:$X$512,2))</f>
      </c>
      <c r="O277" s="0">
        <f>IF(B277="","",COUNTIFS('PEGAR'!$O$13:$O$512,B277,'PEGAR'!$P$13:$P$512,"SIN LÍNEAS"))</f>
      </c>
      <c r="P277" s="0">
        <f>IF(B277="","",SUMIFS('PEGAR'!$Y$13:$Y$512,'PEGAR'!$O$13:$O$512,B277))</f>
      </c>
      <c r="Q277" s="0">
        <f>IF(B277="","",SUMIFS('PEGAR'!$Z$13:$Z$512,'PEGAR'!$O$13:$O$512,B277))</f>
      </c>
      <c r="R277" s="0" t="n">
        <f>IF(OR(B277="",D277=""),0,SUMPRODUCT(--($B$13:$B$512&lt;&gt;""),--($D$13:$D$512=D277),--($C$13:$C$512=C277))-1)</f>
        <v>0</v>
      </c>
      <c r="S277" s="0" t="n">
        <f>IF(OR(B277="",D277=""),0,SUMPRODUCT(--($B$13:$B$512&lt;&gt;""),--($D$13:$D$512=D277),--($C$13:$C$512&lt;&gt;C277)))</f>
        <v>0</v>
      </c>
      <c r="T277" s="0" t="n">
        <f>IF(OR(B277="",D277=""),0,SUMPRODUCT(--($B$13:$B$512&lt;&gt;""),--($D$13:$D$512=D277),--($E$13:$E$512&lt;&gt;E277)))</f>
        <v>0</v>
      </c>
      <c r="U277" s="0" t="n">
        <f>IF(B277="",0,IF(SUMPRODUCT(--('LÉEME'!$C$65:$C$86=E277))=0,1,0))</f>
        <v>0</v>
      </c>
      <c r="V277" s="0">
        <f>IF(B277="","",SUMIFS('PEGAR'!$AA$13:$AA$512,'PEGAR'!$O$13:$O$512,B277))</f>
      </c>
      <c r="W277" s="0">
        <f>IF(B277="","",IF(OR(L277=0,N277&gt;0,T277&gt;0,IF(ISNUMBER(H277),ROUND(ABS(H277),8)&gt;$F$6,FALSE)),2,IF(OR(M277=0,O277&gt;0,P277&gt;0,Q277&gt;0,R277&gt;0,S277&gt;0,U277&gt;0,V277&gt;0),1,0)))</f>
      </c>
      <c r="X277" s="0">
        <f>IF(B277="","",IF(ISNUMBER(G277),1,0))</f>
      </c>
      <c r="AB277" s="0">
        <f>IF(AND(ISNUMBER(W277),W277&gt;0),"ID "&amp;B277,"")</f>
      </c>
      <c r="AC277" s="0">
        <f>IF(AND(ISNUMBER(W277),W277&gt;0),C277,"")</f>
      </c>
      <c r="AD277" s="0">
        <f>IF(AND(ISNUMBER(W277),W277&gt;0),D277,"")</f>
      </c>
      <c r="AE277" s="0">
        <f>IF(AND(ISNUMBER(W277),W277&gt;0),IF(INDEX('PEGAR'!$D$13:$D$512,IF(L277&gt;0,L277,K277))="","Sin descripción",INDEX('PEGAR'!$D$13:$D$512,IF(L277&gt;0,L277,K277))),"")</f>
      </c>
      <c r="AF277" s="0">
        <f>IF(AND(ISNUMBER(W277),W277&gt;0),J277,"")</f>
      </c>
      <c r="AG277" s="0" t="n">
        <f>IF(AND(ISNUMBER(W277),W277&gt;0),W277,0)</f>
        <v>0</v>
      </c>
      <c r="AH277" s="0">
        <f>IF(AG277&gt;0,COUNTIFS($AG$13:AG277,"&gt;0"),"")</f>
      </c>
    </row>
    <row r="278" ht="22" customHeight="1">
      <c r="B278" s="27">
        <f>IF(K278="","",INDEX('PEGAR'!$O$13:$O$512,K278))</f>
      </c>
      <c r="C278" s="30">
        <f>IF(B278="","",IF(LEN(TRIM(INDEX('PEGAR'!$B$13:$B$512,IF(L278&gt;0,L278,K278))&amp;""))=0,"Sin capítulo",TRIM(INDEX('PEGAR'!$B$13:$B$512,IF(L278&gt;0,L278,K278))&amp;"")))</f>
      </c>
      <c r="D278" s="27">
        <f>IF(B278="","",IF(LEN(TRIM(INDEX('PEGAR'!$C$13:$C$512,IF(L278&gt;0,L278,K278))&amp;""))=0,"",TRIM(INDEX('PEGAR'!$C$13:$C$512,IF(L278&gt;0,L278,K278))&amp;"")))</f>
      </c>
      <c r="E278" s="27">
        <f>IF(B278="","",INDEX('PEGAR'!$S$13:$S$512,IF(L278&gt;0,L278,K278)))</f>
      </c>
      <c r="F278" s="39">
        <f>IF(B278="","",IF(L278&gt;0,INDEX('PEGAR'!$F$13:$F$512,L278),""))</f>
      </c>
      <c r="G278" s="39">
        <f>IF(B278="","",IF(OR(M278=0,N278&gt;0,O278&gt;0),"",SUMIFS('PEGAR'!$M$13:$M$512,'PEGAR'!$O$13:$O$512,B278)))</f>
      </c>
      <c r="H278" s="39">
        <f>IF(AND(ISNUMBER(F278),ISNUMBER(G278)),G278-F278,"")</f>
      </c>
      <c r="I278" s="27">
        <f>IF(B278="","",IF(W278=2,"ROJO",IF(W278=1,"ÁMBAR","VERDE")))</f>
      </c>
      <c r="J278" s="30">
        <f>IF(B278="","",IF(W278=0,"Sin avisos numéricos. Revisamos el alcance aparte.",IF(L278=0,"Faltan datos completos de partida; no elegimos un total por suposición."&amp;CHAR(10),"")&amp;IF(N278&gt;0,"Hay filas incompletas o contradictorias; las revisamos en PEGAR."&amp;CHAR(10),"")&amp;IF(O278&gt;0,"Faltan las medidas de alguna fila; no cerramos la suma."&amp;CHAR(10),"")&amp;IF(M278=0,"No constan líneas de medición."&amp;CHAR(10),"")&amp;IF(IF(ISNUMBER(H278),ROUND(ABS(H278),8)&gt;$F$6,FALSE),"Las líneas difieren del total en más de 0,01; confirmamos cantidad o exclusión."&amp;CHAR(10),"")&amp;IF(P278&gt;0,"Parece m³: encontramos tres dimensiones bajo m²."&amp;CHAR(10),"")&amp;IF(R278&gt;0,"Código repetido dentro del capítulo; mantenemos sus ID separados."&amp;CHAR(10),"")&amp;IF(S278&gt;0,"Código repetido en otro capítulo; no unimos las partidas."&amp;CHAR(10),"")&amp;IF(T278&gt;0,"Mismo código con unidades distintas; pedimos aclaración."&amp;CHAR(10),"")&amp;IF(Q278&gt;0,"Hay más precisión que los decimales indicados; cotejamos el formato original."&amp;CHAR(10),"")&amp;IF(U278&gt;0,"Unidad sin normalizar; cotejamos su significado antes de sumar unidades."&amp;CHAR(10),"")&amp;IF(V278&gt;0,"Revisamos dimensiones, cantidades directas, ceros o deducciones en PEGAR."&amp;CHAR(10),"")))</f>
      </c>
      <c r="K278" s="0">
        <f>IF(266&gt;'RESUMEN'!$E$6,"",MATCH(266,'PEGAR'!$W$13:$W$512,0))</f>
      </c>
      <c r="L278" s="0">
        <f>IF(K278="","",INDEX('PEGAR'!$R$13:$R$512,K278))</f>
      </c>
      <c r="M278" s="0">
        <f>IF(B278="","",COUNTIFS('PEGAR'!$O$13:$O$512,B278,'PEGAR'!$P$13:$P$512,"DIMENSIONES")+COUNTIFS('PEGAR'!$O$13:$O$512,B278,'PEGAR'!$P$13:$P$512,"DIRECTA"))</f>
      </c>
      <c r="N278" s="0">
        <f>IF(B278="","",COUNTIFS('PEGAR'!$O$13:$O$512,B278,'PEGAR'!$X$13:$X$512,2))</f>
      </c>
      <c r="O278" s="0">
        <f>IF(B278="","",COUNTIFS('PEGAR'!$O$13:$O$512,B278,'PEGAR'!$P$13:$P$512,"SIN LÍNEAS"))</f>
      </c>
      <c r="P278" s="0">
        <f>IF(B278="","",SUMIFS('PEGAR'!$Y$13:$Y$512,'PEGAR'!$O$13:$O$512,B278))</f>
      </c>
      <c r="Q278" s="0">
        <f>IF(B278="","",SUMIFS('PEGAR'!$Z$13:$Z$512,'PEGAR'!$O$13:$O$512,B278))</f>
      </c>
      <c r="R278" s="0" t="n">
        <f>IF(OR(B278="",D278=""),0,SUMPRODUCT(--($B$13:$B$512&lt;&gt;""),--($D$13:$D$512=D278),--($C$13:$C$512=C278))-1)</f>
        <v>0</v>
      </c>
      <c r="S278" s="0" t="n">
        <f>IF(OR(B278="",D278=""),0,SUMPRODUCT(--($B$13:$B$512&lt;&gt;""),--($D$13:$D$512=D278),--($C$13:$C$512&lt;&gt;C278)))</f>
        <v>0</v>
      </c>
      <c r="T278" s="0" t="n">
        <f>IF(OR(B278="",D278=""),0,SUMPRODUCT(--($B$13:$B$512&lt;&gt;""),--($D$13:$D$512=D278),--($E$13:$E$512&lt;&gt;E278)))</f>
        <v>0</v>
      </c>
      <c r="U278" s="0" t="n">
        <f>IF(B278="",0,IF(SUMPRODUCT(--('LÉEME'!$C$65:$C$86=E278))=0,1,0))</f>
        <v>0</v>
      </c>
      <c r="V278" s="0">
        <f>IF(B278="","",SUMIFS('PEGAR'!$AA$13:$AA$512,'PEGAR'!$O$13:$O$512,B278))</f>
      </c>
      <c r="W278" s="0">
        <f>IF(B278="","",IF(OR(L278=0,N278&gt;0,T278&gt;0,IF(ISNUMBER(H278),ROUND(ABS(H278),8)&gt;$F$6,FALSE)),2,IF(OR(M278=0,O278&gt;0,P278&gt;0,Q278&gt;0,R278&gt;0,S278&gt;0,U278&gt;0,V278&gt;0),1,0)))</f>
      </c>
      <c r="X278" s="0">
        <f>IF(B278="","",IF(ISNUMBER(G278),1,0))</f>
      </c>
      <c r="AB278" s="0">
        <f>IF(AND(ISNUMBER(W278),W278&gt;0),"ID "&amp;B278,"")</f>
      </c>
      <c r="AC278" s="0">
        <f>IF(AND(ISNUMBER(W278),W278&gt;0),C278,"")</f>
      </c>
      <c r="AD278" s="0">
        <f>IF(AND(ISNUMBER(W278),W278&gt;0),D278,"")</f>
      </c>
      <c r="AE278" s="0">
        <f>IF(AND(ISNUMBER(W278),W278&gt;0),IF(INDEX('PEGAR'!$D$13:$D$512,IF(L278&gt;0,L278,K278))="","Sin descripción",INDEX('PEGAR'!$D$13:$D$512,IF(L278&gt;0,L278,K278))),"")</f>
      </c>
      <c r="AF278" s="0">
        <f>IF(AND(ISNUMBER(W278),W278&gt;0),J278,"")</f>
      </c>
      <c r="AG278" s="0" t="n">
        <f>IF(AND(ISNUMBER(W278),W278&gt;0),W278,0)</f>
        <v>0</v>
      </c>
      <c r="AH278" s="0">
        <f>IF(AG278&gt;0,COUNTIFS($AG$13:AG278,"&gt;0"),"")</f>
      </c>
    </row>
    <row r="279" ht="22" customHeight="1">
      <c r="B279" s="27">
        <f>IF(K279="","",INDEX('PEGAR'!$O$13:$O$512,K279))</f>
      </c>
      <c r="C279" s="30">
        <f>IF(B279="","",IF(LEN(TRIM(INDEX('PEGAR'!$B$13:$B$512,IF(L279&gt;0,L279,K279))&amp;""))=0,"Sin capítulo",TRIM(INDEX('PEGAR'!$B$13:$B$512,IF(L279&gt;0,L279,K279))&amp;"")))</f>
      </c>
      <c r="D279" s="27">
        <f>IF(B279="","",IF(LEN(TRIM(INDEX('PEGAR'!$C$13:$C$512,IF(L279&gt;0,L279,K279))&amp;""))=0,"",TRIM(INDEX('PEGAR'!$C$13:$C$512,IF(L279&gt;0,L279,K279))&amp;"")))</f>
      </c>
      <c r="E279" s="27">
        <f>IF(B279="","",INDEX('PEGAR'!$S$13:$S$512,IF(L279&gt;0,L279,K279)))</f>
      </c>
      <c r="F279" s="39">
        <f>IF(B279="","",IF(L279&gt;0,INDEX('PEGAR'!$F$13:$F$512,L279),""))</f>
      </c>
      <c r="G279" s="39">
        <f>IF(B279="","",IF(OR(M279=0,N279&gt;0,O279&gt;0),"",SUMIFS('PEGAR'!$M$13:$M$512,'PEGAR'!$O$13:$O$512,B279)))</f>
      </c>
      <c r="H279" s="39">
        <f>IF(AND(ISNUMBER(F279),ISNUMBER(G279)),G279-F279,"")</f>
      </c>
      <c r="I279" s="27">
        <f>IF(B279="","",IF(W279=2,"ROJO",IF(W279=1,"ÁMBAR","VERDE")))</f>
      </c>
      <c r="J279" s="30">
        <f>IF(B279="","",IF(W279=0,"Sin avisos numéricos. Revisamos el alcance aparte.",IF(L279=0,"Faltan datos completos de partida; no elegimos un total por suposición."&amp;CHAR(10),"")&amp;IF(N279&gt;0,"Hay filas incompletas o contradictorias; las revisamos en PEGAR."&amp;CHAR(10),"")&amp;IF(O279&gt;0,"Faltan las medidas de alguna fila; no cerramos la suma."&amp;CHAR(10),"")&amp;IF(M279=0,"No constan líneas de medición."&amp;CHAR(10),"")&amp;IF(IF(ISNUMBER(H279),ROUND(ABS(H279),8)&gt;$F$6,FALSE),"Las líneas difieren del total en más de 0,01; confirmamos cantidad o exclusión."&amp;CHAR(10),"")&amp;IF(P279&gt;0,"Parece m³: encontramos tres dimensiones bajo m²."&amp;CHAR(10),"")&amp;IF(R279&gt;0,"Código repetido dentro del capítulo; mantenemos sus ID separados."&amp;CHAR(10),"")&amp;IF(S279&gt;0,"Código repetido en otro capítulo; no unimos las partidas."&amp;CHAR(10),"")&amp;IF(T279&gt;0,"Mismo código con unidades distintas; pedimos aclaración."&amp;CHAR(10),"")&amp;IF(Q279&gt;0,"Hay más precisión que los decimales indicados; cotejamos el formato original."&amp;CHAR(10),"")&amp;IF(U279&gt;0,"Unidad sin normalizar; cotejamos su significado antes de sumar unidades."&amp;CHAR(10),"")&amp;IF(V279&gt;0,"Revisamos dimensiones, cantidades directas, ceros o deducciones en PEGAR."&amp;CHAR(10),"")))</f>
      </c>
      <c r="K279" s="0">
        <f>IF(267&gt;'RESUMEN'!$E$6,"",MATCH(267,'PEGAR'!$W$13:$W$512,0))</f>
      </c>
      <c r="L279" s="0">
        <f>IF(K279="","",INDEX('PEGAR'!$R$13:$R$512,K279))</f>
      </c>
      <c r="M279" s="0">
        <f>IF(B279="","",COUNTIFS('PEGAR'!$O$13:$O$512,B279,'PEGAR'!$P$13:$P$512,"DIMENSIONES")+COUNTIFS('PEGAR'!$O$13:$O$512,B279,'PEGAR'!$P$13:$P$512,"DIRECTA"))</f>
      </c>
      <c r="N279" s="0">
        <f>IF(B279="","",COUNTIFS('PEGAR'!$O$13:$O$512,B279,'PEGAR'!$X$13:$X$512,2))</f>
      </c>
      <c r="O279" s="0">
        <f>IF(B279="","",COUNTIFS('PEGAR'!$O$13:$O$512,B279,'PEGAR'!$P$13:$P$512,"SIN LÍNEAS"))</f>
      </c>
      <c r="P279" s="0">
        <f>IF(B279="","",SUMIFS('PEGAR'!$Y$13:$Y$512,'PEGAR'!$O$13:$O$512,B279))</f>
      </c>
      <c r="Q279" s="0">
        <f>IF(B279="","",SUMIFS('PEGAR'!$Z$13:$Z$512,'PEGAR'!$O$13:$O$512,B279))</f>
      </c>
      <c r="R279" s="0" t="n">
        <f>IF(OR(B279="",D279=""),0,SUMPRODUCT(--($B$13:$B$512&lt;&gt;""),--($D$13:$D$512=D279),--($C$13:$C$512=C279))-1)</f>
        <v>0</v>
      </c>
      <c r="S279" s="0" t="n">
        <f>IF(OR(B279="",D279=""),0,SUMPRODUCT(--($B$13:$B$512&lt;&gt;""),--($D$13:$D$512=D279),--($C$13:$C$512&lt;&gt;C279)))</f>
        <v>0</v>
      </c>
      <c r="T279" s="0" t="n">
        <f>IF(OR(B279="",D279=""),0,SUMPRODUCT(--($B$13:$B$512&lt;&gt;""),--($D$13:$D$512=D279),--($E$13:$E$512&lt;&gt;E279)))</f>
        <v>0</v>
      </c>
      <c r="U279" s="0" t="n">
        <f>IF(B279="",0,IF(SUMPRODUCT(--('LÉEME'!$C$65:$C$86=E279))=0,1,0))</f>
        <v>0</v>
      </c>
      <c r="V279" s="0">
        <f>IF(B279="","",SUMIFS('PEGAR'!$AA$13:$AA$512,'PEGAR'!$O$13:$O$512,B279))</f>
      </c>
      <c r="W279" s="0">
        <f>IF(B279="","",IF(OR(L279=0,N279&gt;0,T279&gt;0,IF(ISNUMBER(H279),ROUND(ABS(H279),8)&gt;$F$6,FALSE)),2,IF(OR(M279=0,O279&gt;0,P279&gt;0,Q279&gt;0,R279&gt;0,S279&gt;0,U279&gt;0,V279&gt;0),1,0)))</f>
      </c>
      <c r="X279" s="0">
        <f>IF(B279="","",IF(ISNUMBER(G279),1,0))</f>
      </c>
      <c r="AB279" s="0">
        <f>IF(AND(ISNUMBER(W279),W279&gt;0),"ID "&amp;B279,"")</f>
      </c>
      <c r="AC279" s="0">
        <f>IF(AND(ISNUMBER(W279),W279&gt;0),C279,"")</f>
      </c>
      <c r="AD279" s="0">
        <f>IF(AND(ISNUMBER(W279),W279&gt;0),D279,"")</f>
      </c>
      <c r="AE279" s="0">
        <f>IF(AND(ISNUMBER(W279),W279&gt;0),IF(INDEX('PEGAR'!$D$13:$D$512,IF(L279&gt;0,L279,K279))="","Sin descripción",INDEX('PEGAR'!$D$13:$D$512,IF(L279&gt;0,L279,K279))),"")</f>
      </c>
      <c r="AF279" s="0">
        <f>IF(AND(ISNUMBER(W279),W279&gt;0),J279,"")</f>
      </c>
      <c r="AG279" s="0" t="n">
        <f>IF(AND(ISNUMBER(W279),W279&gt;0),W279,0)</f>
        <v>0</v>
      </c>
      <c r="AH279" s="0">
        <f>IF(AG279&gt;0,COUNTIFS($AG$13:AG279,"&gt;0"),"")</f>
      </c>
    </row>
    <row r="280" ht="22" customHeight="1">
      <c r="B280" s="27">
        <f>IF(K280="","",INDEX('PEGAR'!$O$13:$O$512,K280))</f>
      </c>
      <c r="C280" s="30">
        <f>IF(B280="","",IF(LEN(TRIM(INDEX('PEGAR'!$B$13:$B$512,IF(L280&gt;0,L280,K280))&amp;""))=0,"Sin capítulo",TRIM(INDEX('PEGAR'!$B$13:$B$512,IF(L280&gt;0,L280,K280))&amp;"")))</f>
      </c>
      <c r="D280" s="27">
        <f>IF(B280="","",IF(LEN(TRIM(INDEX('PEGAR'!$C$13:$C$512,IF(L280&gt;0,L280,K280))&amp;""))=0,"",TRIM(INDEX('PEGAR'!$C$13:$C$512,IF(L280&gt;0,L280,K280))&amp;"")))</f>
      </c>
      <c r="E280" s="27">
        <f>IF(B280="","",INDEX('PEGAR'!$S$13:$S$512,IF(L280&gt;0,L280,K280)))</f>
      </c>
      <c r="F280" s="39">
        <f>IF(B280="","",IF(L280&gt;0,INDEX('PEGAR'!$F$13:$F$512,L280),""))</f>
      </c>
      <c r="G280" s="39">
        <f>IF(B280="","",IF(OR(M280=0,N280&gt;0,O280&gt;0),"",SUMIFS('PEGAR'!$M$13:$M$512,'PEGAR'!$O$13:$O$512,B280)))</f>
      </c>
      <c r="H280" s="39">
        <f>IF(AND(ISNUMBER(F280),ISNUMBER(G280)),G280-F280,"")</f>
      </c>
      <c r="I280" s="27">
        <f>IF(B280="","",IF(W280=2,"ROJO",IF(W280=1,"ÁMBAR","VERDE")))</f>
      </c>
      <c r="J280" s="30">
        <f>IF(B280="","",IF(W280=0,"Sin avisos numéricos. Revisamos el alcance aparte.",IF(L280=0,"Faltan datos completos de partida; no elegimos un total por suposición."&amp;CHAR(10),"")&amp;IF(N280&gt;0,"Hay filas incompletas o contradictorias; las revisamos en PEGAR."&amp;CHAR(10),"")&amp;IF(O280&gt;0,"Faltan las medidas de alguna fila; no cerramos la suma."&amp;CHAR(10),"")&amp;IF(M280=0,"No constan líneas de medición."&amp;CHAR(10),"")&amp;IF(IF(ISNUMBER(H280),ROUND(ABS(H280),8)&gt;$F$6,FALSE),"Las líneas difieren del total en más de 0,01; confirmamos cantidad o exclusión."&amp;CHAR(10),"")&amp;IF(P280&gt;0,"Parece m³: encontramos tres dimensiones bajo m²."&amp;CHAR(10),"")&amp;IF(R280&gt;0,"Código repetido dentro del capítulo; mantenemos sus ID separados."&amp;CHAR(10),"")&amp;IF(S280&gt;0,"Código repetido en otro capítulo; no unimos las partidas."&amp;CHAR(10),"")&amp;IF(T280&gt;0,"Mismo código con unidades distintas; pedimos aclaración."&amp;CHAR(10),"")&amp;IF(Q280&gt;0,"Hay más precisión que los decimales indicados; cotejamos el formato original."&amp;CHAR(10),"")&amp;IF(U280&gt;0,"Unidad sin normalizar; cotejamos su significado antes de sumar unidades."&amp;CHAR(10),"")&amp;IF(V280&gt;0,"Revisamos dimensiones, cantidades directas, ceros o deducciones en PEGAR."&amp;CHAR(10),"")))</f>
      </c>
      <c r="K280" s="0">
        <f>IF(268&gt;'RESUMEN'!$E$6,"",MATCH(268,'PEGAR'!$W$13:$W$512,0))</f>
      </c>
      <c r="L280" s="0">
        <f>IF(K280="","",INDEX('PEGAR'!$R$13:$R$512,K280))</f>
      </c>
      <c r="M280" s="0">
        <f>IF(B280="","",COUNTIFS('PEGAR'!$O$13:$O$512,B280,'PEGAR'!$P$13:$P$512,"DIMENSIONES")+COUNTIFS('PEGAR'!$O$13:$O$512,B280,'PEGAR'!$P$13:$P$512,"DIRECTA"))</f>
      </c>
      <c r="N280" s="0">
        <f>IF(B280="","",COUNTIFS('PEGAR'!$O$13:$O$512,B280,'PEGAR'!$X$13:$X$512,2))</f>
      </c>
      <c r="O280" s="0">
        <f>IF(B280="","",COUNTIFS('PEGAR'!$O$13:$O$512,B280,'PEGAR'!$P$13:$P$512,"SIN LÍNEAS"))</f>
      </c>
      <c r="P280" s="0">
        <f>IF(B280="","",SUMIFS('PEGAR'!$Y$13:$Y$512,'PEGAR'!$O$13:$O$512,B280))</f>
      </c>
      <c r="Q280" s="0">
        <f>IF(B280="","",SUMIFS('PEGAR'!$Z$13:$Z$512,'PEGAR'!$O$13:$O$512,B280))</f>
      </c>
      <c r="R280" s="0" t="n">
        <f>IF(OR(B280="",D280=""),0,SUMPRODUCT(--($B$13:$B$512&lt;&gt;""),--($D$13:$D$512=D280),--($C$13:$C$512=C280))-1)</f>
        <v>0</v>
      </c>
      <c r="S280" s="0" t="n">
        <f>IF(OR(B280="",D280=""),0,SUMPRODUCT(--($B$13:$B$512&lt;&gt;""),--($D$13:$D$512=D280),--($C$13:$C$512&lt;&gt;C280)))</f>
        <v>0</v>
      </c>
      <c r="T280" s="0" t="n">
        <f>IF(OR(B280="",D280=""),0,SUMPRODUCT(--($B$13:$B$512&lt;&gt;""),--($D$13:$D$512=D280),--($E$13:$E$512&lt;&gt;E280)))</f>
        <v>0</v>
      </c>
      <c r="U280" s="0" t="n">
        <f>IF(B280="",0,IF(SUMPRODUCT(--('LÉEME'!$C$65:$C$86=E280))=0,1,0))</f>
        <v>0</v>
      </c>
      <c r="V280" s="0">
        <f>IF(B280="","",SUMIFS('PEGAR'!$AA$13:$AA$512,'PEGAR'!$O$13:$O$512,B280))</f>
      </c>
      <c r="W280" s="0">
        <f>IF(B280="","",IF(OR(L280=0,N280&gt;0,T280&gt;0,IF(ISNUMBER(H280),ROUND(ABS(H280),8)&gt;$F$6,FALSE)),2,IF(OR(M280=0,O280&gt;0,P280&gt;0,Q280&gt;0,R280&gt;0,S280&gt;0,U280&gt;0,V280&gt;0),1,0)))</f>
      </c>
      <c r="X280" s="0">
        <f>IF(B280="","",IF(ISNUMBER(G280),1,0))</f>
      </c>
      <c r="AB280" s="0">
        <f>IF(AND(ISNUMBER(W280),W280&gt;0),"ID "&amp;B280,"")</f>
      </c>
      <c r="AC280" s="0">
        <f>IF(AND(ISNUMBER(W280),W280&gt;0),C280,"")</f>
      </c>
      <c r="AD280" s="0">
        <f>IF(AND(ISNUMBER(W280),W280&gt;0),D280,"")</f>
      </c>
      <c r="AE280" s="0">
        <f>IF(AND(ISNUMBER(W280),W280&gt;0),IF(INDEX('PEGAR'!$D$13:$D$512,IF(L280&gt;0,L280,K280))="","Sin descripción",INDEX('PEGAR'!$D$13:$D$512,IF(L280&gt;0,L280,K280))),"")</f>
      </c>
      <c r="AF280" s="0">
        <f>IF(AND(ISNUMBER(W280),W280&gt;0),J280,"")</f>
      </c>
      <c r="AG280" s="0" t="n">
        <f>IF(AND(ISNUMBER(W280),W280&gt;0),W280,0)</f>
        <v>0</v>
      </c>
      <c r="AH280" s="0">
        <f>IF(AG280&gt;0,COUNTIFS($AG$13:AG280,"&gt;0"),"")</f>
      </c>
    </row>
    <row r="281" ht="22" customHeight="1">
      <c r="B281" s="27">
        <f>IF(K281="","",INDEX('PEGAR'!$O$13:$O$512,K281))</f>
      </c>
      <c r="C281" s="30">
        <f>IF(B281="","",IF(LEN(TRIM(INDEX('PEGAR'!$B$13:$B$512,IF(L281&gt;0,L281,K281))&amp;""))=0,"Sin capítulo",TRIM(INDEX('PEGAR'!$B$13:$B$512,IF(L281&gt;0,L281,K281))&amp;"")))</f>
      </c>
      <c r="D281" s="27">
        <f>IF(B281="","",IF(LEN(TRIM(INDEX('PEGAR'!$C$13:$C$512,IF(L281&gt;0,L281,K281))&amp;""))=0,"",TRIM(INDEX('PEGAR'!$C$13:$C$512,IF(L281&gt;0,L281,K281))&amp;"")))</f>
      </c>
      <c r="E281" s="27">
        <f>IF(B281="","",INDEX('PEGAR'!$S$13:$S$512,IF(L281&gt;0,L281,K281)))</f>
      </c>
      <c r="F281" s="39">
        <f>IF(B281="","",IF(L281&gt;0,INDEX('PEGAR'!$F$13:$F$512,L281),""))</f>
      </c>
      <c r="G281" s="39">
        <f>IF(B281="","",IF(OR(M281=0,N281&gt;0,O281&gt;0),"",SUMIFS('PEGAR'!$M$13:$M$512,'PEGAR'!$O$13:$O$512,B281)))</f>
      </c>
      <c r="H281" s="39">
        <f>IF(AND(ISNUMBER(F281),ISNUMBER(G281)),G281-F281,"")</f>
      </c>
      <c r="I281" s="27">
        <f>IF(B281="","",IF(W281=2,"ROJO",IF(W281=1,"ÁMBAR","VERDE")))</f>
      </c>
      <c r="J281" s="30">
        <f>IF(B281="","",IF(W281=0,"Sin avisos numéricos. Revisamos el alcance aparte.",IF(L281=0,"Faltan datos completos de partida; no elegimos un total por suposición."&amp;CHAR(10),"")&amp;IF(N281&gt;0,"Hay filas incompletas o contradictorias; las revisamos en PEGAR."&amp;CHAR(10),"")&amp;IF(O281&gt;0,"Faltan las medidas de alguna fila; no cerramos la suma."&amp;CHAR(10),"")&amp;IF(M281=0,"No constan líneas de medición."&amp;CHAR(10),"")&amp;IF(IF(ISNUMBER(H281),ROUND(ABS(H281),8)&gt;$F$6,FALSE),"Las líneas difieren del total en más de 0,01; confirmamos cantidad o exclusión."&amp;CHAR(10),"")&amp;IF(P281&gt;0,"Parece m³: encontramos tres dimensiones bajo m²."&amp;CHAR(10),"")&amp;IF(R281&gt;0,"Código repetido dentro del capítulo; mantenemos sus ID separados."&amp;CHAR(10),"")&amp;IF(S281&gt;0,"Código repetido en otro capítulo; no unimos las partidas."&amp;CHAR(10),"")&amp;IF(T281&gt;0,"Mismo código con unidades distintas; pedimos aclaración."&amp;CHAR(10),"")&amp;IF(Q281&gt;0,"Hay más precisión que los decimales indicados; cotejamos el formato original."&amp;CHAR(10),"")&amp;IF(U281&gt;0,"Unidad sin normalizar; cotejamos su significado antes de sumar unidades."&amp;CHAR(10),"")&amp;IF(V281&gt;0,"Revisamos dimensiones, cantidades directas, ceros o deducciones en PEGAR."&amp;CHAR(10),"")))</f>
      </c>
      <c r="K281" s="0">
        <f>IF(269&gt;'RESUMEN'!$E$6,"",MATCH(269,'PEGAR'!$W$13:$W$512,0))</f>
      </c>
      <c r="L281" s="0">
        <f>IF(K281="","",INDEX('PEGAR'!$R$13:$R$512,K281))</f>
      </c>
      <c r="M281" s="0">
        <f>IF(B281="","",COUNTIFS('PEGAR'!$O$13:$O$512,B281,'PEGAR'!$P$13:$P$512,"DIMENSIONES")+COUNTIFS('PEGAR'!$O$13:$O$512,B281,'PEGAR'!$P$13:$P$512,"DIRECTA"))</f>
      </c>
      <c r="N281" s="0">
        <f>IF(B281="","",COUNTIFS('PEGAR'!$O$13:$O$512,B281,'PEGAR'!$X$13:$X$512,2))</f>
      </c>
      <c r="O281" s="0">
        <f>IF(B281="","",COUNTIFS('PEGAR'!$O$13:$O$512,B281,'PEGAR'!$P$13:$P$512,"SIN LÍNEAS"))</f>
      </c>
      <c r="P281" s="0">
        <f>IF(B281="","",SUMIFS('PEGAR'!$Y$13:$Y$512,'PEGAR'!$O$13:$O$512,B281))</f>
      </c>
      <c r="Q281" s="0">
        <f>IF(B281="","",SUMIFS('PEGAR'!$Z$13:$Z$512,'PEGAR'!$O$13:$O$512,B281))</f>
      </c>
      <c r="R281" s="0" t="n">
        <f>IF(OR(B281="",D281=""),0,SUMPRODUCT(--($B$13:$B$512&lt;&gt;""),--($D$13:$D$512=D281),--($C$13:$C$512=C281))-1)</f>
        <v>0</v>
      </c>
      <c r="S281" s="0" t="n">
        <f>IF(OR(B281="",D281=""),0,SUMPRODUCT(--($B$13:$B$512&lt;&gt;""),--($D$13:$D$512=D281),--($C$13:$C$512&lt;&gt;C281)))</f>
        <v>0</v>
      </c>
      <c r="T281" s="0" t="n">
        <f>IF(OR(B281="",D281=""),0,SUMPRODUCT(--($B$13:$B$512&lt;&gt;""),--($D$13:$D$512=D281),--($E$13:$E$512&lt;&gt;E281)))</f>
        <v>0</v>
      </c>
      <c r="U281" s="0" t="n">
        <f>IF(B281="",0,IF(SUMPRODUCT(--('LÉEME'!$C$65:$C$86=E281))=0,1,0))</f>
        <v>0</v>
      </c>
      <c r="V281" s="0">
        <f>IF(B281="","",SUMIFS('PEGAR'!$AA$13:$AA$512,'PEGAR'!$O$13:$O$512,B281))</f>
      </c>
      <c r="W281" s="0">
        <f>IF(B281="","",IF(OR(L281=0,N281&gt;0,T281&gt;0,IF(ISNUMBER(H281),ROUND(ABS(H281),8)&gt;$F$6,FALSE)),2,IF(OR(M281=0,O281&gt;0,P281&gt;0,Q281&gt;0,R281&gt;0,S281&gt;0,U281&gt;0,V281&gt;0),1,0)))</f>
      </c>
      <c r="X281" s="0">
        <f>IF(B281="","",IF(ISNUMBER(G281),1,0))</f>
      </c>
      <c r="AB281" s="0">
        <f>IF(AND(ISNUMBER(W281),W281&gt;0),"ID "&amp;B281,"")</f>
      </c>
      <c r="AC281" s="0">
        <f>IF(AND(ISNUMBER(W281),W281&gt;0),C281,"")</f>
      </c>
      <c r="AD281" s="0">
        <f>IF(AND(ISNUMBER(W281),W281&gt;0),D281,"")</f>
      </c>
      <c r="AE281" s="0">
        <f>IF(AND(ISNUMBER(W281),W281&gt;0),IF(INDEX('PEGAR'!$D$13:$D$512,IF(L281&gt;0,L281,K281))="","Sin descripción",INDEX('PEGAR'!$D$13:$D$512,IF(L281&gt;0,L281,K281))),"")</f>
      </c>
      <c r="AF281" s="0">
        <f>IF(AND(ISNUMBER(W281),W281&gt;0),J281,"")</f>
      </c>
      <c r="AG281" s="0" t="n">
        <f>IF(AND(ISNUMBER(W281),W281&gt;0),W281,0)</f>
        <v>0</v>
      </c>
      <c r="AH281" s="0">
        <f>IF(AG281&gt;0,COUNTIFS($AG$13:AG281,"&gt;0"),"")</f>
      </c>
    </row>
    <row r="282" ht="22" customHeight="1">
      <c r="B282" s="27">
        <f>IF(K282="","",INDEX('PEGAR'!$O$13:$O$512,K282))</f>
      </c>
      <c r="C282" s="30">
        <f>IF(B282="","",IF(LEN(TRIM(INDEX('PEGAR'!$B$13:$B$512,IF(L282&gt;0,L282,K282))&amp;""))=0,"Sin capítulo",TRIM(INDEX('PEGAR'!$B$13:$B$512,IF(L282&gt;0,L282,K282))&amp;"")))</f>
      </c>
      <c r="D282" s="27">
        <f>IF(B282="","",IF(LEN(TRIM(INDEX('PEGAR'!$C$13:$C$512,IF(L282&gt;0,L282,K282))&amp;""))=0,"",TRIM(INDEX('PEGAR'!$C$13:$C$512,IF(L282&gt;0,L282,K282))&amp;"")))</f>
      </c>
      <c r="E282" s="27">
        <f>IF(B282="","",INDEX('PEGAR'!$S$13:$S$512,IF(L282&gt;0,L282,K282)))</f>
      </c>
      <c r="F282" s="39">
        <f>IF(B282="","",IF(L282&gt;0,INDEX('PEGAR'!$F$13:$F$512,L282),""))</f>
      </c>
      <c r="G282" s="39">
        <f>IF(B282="","",IF(OR(M282=0,N282&gt;0,O282&gt;0),"",SUMIFS('PEGAR'!$M$13:$M$512,'PEGAR'!$O$13:$O$512,B282)))</f>
      </c>
      <c r="H282" s="39">
        <f>IF(AND(ISNUMBER(F282),ISNUMBER(G282)),G282-F282,"")</f>
      </c>
      <c r="I282" s="27">
        <f>IF(B282="","",IF(W282=2,"ROJO",IF(W282=1,"ÁMBAR","VERDE")))</f>
      </c>
      <c r="J282" s="30">
        <f>IF(B282="","",IF(W282=0,"Sin avisos numéricos. Revisamos el alcance aparte.",IF(L282=0,"Faltan datos completos de partida; no elegimos un total por suposición."&amp;CHAR(10),"")&amp;IF(N282&gt;0,"Hay filas incompletas o contradictorias; las revisamos en PEGAR."&amp;CHAR(10),"")&amp;IF(O282&gt;0,"Faltan las medidas de alguna fila; no cerramos la suma."&amp;CHAR(10),"")&amp;IF(M282=0,"No constan líneas de medición."&amp;CHAR(10),"")&amp;IF(IF(ISNUMBER(H282),ROUND(ABS(H282),8)&gt;$F$6,FALSE),"Las líneas difieren del total en más de 0,01; confirmamos cantidad o exclusión."&amp;CHAR(10),"")&amp;IF(P282&gt;0,"Parece m³: encontramos tres dimensiones bajo m²."&amp;CHAR(10),"")&amp;IF(R282&gt;0,"Código repetido dentro del capítulo; mantenemos sus ID separados."&amp;CHAR(10),"")&amp;IF(S282&gt;0,"Código repetido en otro capítulo; no unimos las partidas."&amp;CHAR(10),"")&amp;IF(T282&gt;0,"Mismo código con unidades distintas; pedimos aclaración."&amp;CHAR(10),"")&amp;IF(Q282&gt;0,"Hay más precisión que los decimales indicados; cotejamos el formato original."&amp;CHAR(10),"")&amp;IF(U282&gt;0,"Unidad sin normalizar; cotejamos su significado antes de sumar unidades."&amp;CHAR(10),"")&amp;IF(V282&gt;0,"Revisamos dimensiones, cantidades directas, ceros o deducciones en PEGAR."&amp;CHAR(10),"")))</f>
      </c>
      <c r="K282" s="0">
        <f>IF(270&gt;'RESUMEN'!$E$6,"",MATCH(270,'PEGAR'!$W$13:$W$512,0))</f>
      </c>
      <c r="L282" s="0">
        <f>IF(K282="","",INDEX('PEGAR'!$R$13:$R$512,K282))</f>
      </c>
      <c r="M282" s="0">
        <f>IF(B282="","",COUNTIFS('PEGAR'!$O$13:$O$512,B282,'PEGAR'!$P$13:$P$512,"DIMENSIONES")+COUNTIFS('PEGAR'!$O$13:$O$512,B282,'PEGAR'!$P$13:$P$512,"DIRECTA"))</f>
      </c>
      <c r="N282" s="0">
        <f>IF(B282="","",COUNTIFS('PEGAR'!$O$13:$O$512,B282,'PEGAR'!$X$13:$X$512,2))</f>
      </c>
      <c r="O282" s="0">
        <f>IF(B282="","",COUNTIFS('PEGAR'!$O$13:$O$512,B282,'PEGAR'!$P$13:$P$512,"SIN LÍNEAS"))</f>
      </c>
      <c r="P282" s="0">
        <f>IF(B282="","",SUMIFS('PEGAR'!$Y$13:$Y$512,'PEGAR'!$O$13:$O$512,B282))</f>
      </c>
      <c r="Q282" s="0">
        <f>IF(B282="","",SUMIFS('PEGAR'!$Z$13:$Z$512,'PEGAR'!$O$13:$O$512,B282))</f>
      </c>
      <c r="R282" s="0" t="n">
        <f>IF(OR(B282="",D282=""),0,SUMPRODUCT(--($B$13:$B$512&lt;&gt;""),--($D$13:$D$512=D282),--($C$13:$C$512=C282))-1)</f>
        <v>0</v>
      </c>
      <c r="S282" s="0" t="n">
        <f>IF(OR(B282="",D282=""),0,SUMPRODUCT(--($B$13:$B$512&lt;&gt;""),--($D$13:$D$512=D282),--($C$13:$C$512&lt;&gt;C282)))</f>
        <v>0</v>
      </c>
      <c r="T282" s="0" t="n">
        <f>IF(OR(B282="",D282=""),0,SUMPRODUCT(--($B$13:$B$512&lt;&gt;""),--($D$13:$D$512=D282),--($E$13:$E$512&lt;&gt;E282)))</f>
        <v>0</v>
      </c>
      <c r="U282" s="0" t="n">
        <f>IF(B282="",0,IF(SUMPRODUCT(--('LÉEME'!$C$65:$C$86=E282))=0,1,0))</f>
        <v>0</v>
      </c>
      <c r="V282" s="0">
        <f>IF(B282="","",SUMIFS('PEGAR'!$AA$13:$AA$512,'PEGAR'!$O$13:$O$512,B282))</f>
      </c>
      <c r="W282" s="0">
        <f>IF(B282="","",IF(OR(L282=0,N282&gt;0,T282&gt;0,IF(ISNUMBER(H282),ROUND(ABS(H282),8)&gt;$F$6,FALSE)),2,IF(OR(M282=0,O282&gt;0,P282&gt;0,Q282&gt;0,R282&gt;0,S282&gt;0,U282&gt;0,V282&gt;0),1,0)))</f>
      </c>
      <c r="X282" s="0">
        <f>IF(B282="","",IF(ISNUMBER(G282),1,0))</f>
      </c>
      <c r="AB282" s="0">
        <f>IF(AND(ISNUMBER(W282),W282&gt;0),"ID "&amp;B282,"")</f>
      </c>
      <c r="AC282" s="0">
        <f>IF(AND(ISNUMBER(W282),W282&gt;0),C282,"")</f>
      </c>
      <c r="AD282" s="0">
        <f>IF(AND(ISNUMBER(W282),W282&gt;0),D282,"")</f>
      </c>
      <c r="AE282" s="0">
        <f>IF(AND(ISNUMBER(W282),W282&gt;0),IF(INDEX('PEGAR'!$D$13:$D$512,IF(L282&gt;0,L282,K282))="","Sin descripción",INDEX('PEGAR'!$D$13:$D$512,IF(L282&gt;0,L282,K282))),"")</f>
      </c>
      <c r="AF282" s="0">
        <f>IF(AND(ISNUMBER(W282),W282&gt;0),J282,"")</f>
      </c>
      <c r="AG282" s="0" t="n">
        <f>IF(AND(ISNUMBER(W282),W282&gt;0),W282,0)</f>
        <v>0</v>
      </c>
      <c r="AH282" s="0">
        <f>IF(AG282&gt;0,COUNTIFS($AG$13:AG282,"&gt;0"),"")</f>
      </c>
    </row>
    <row r="283" ht="22" customHeight="1">
      <c r="B283" s="27">
        <f>IF(K283="","",INDEX('PEGAR'!$O$13:$O$512,K283))</f>
      </c>
      <c r="C283" s="30">
        <f>IF(B283="","",IF(LEN(TRIM(INDEX('PEGAR'!$B$13:$B$512,IF(L283&gt;0,L283,K283))&amp;""))=0,"Sin capítulo",TRIM(INDEX('PEGAR'!$B$13:$B$512,IF(L283&gt;0,L283,K283))&amp;"")))</f>
      </c>
      <c r="D283" s="27">
        <f>IF(B283="","",IF(LEN(TRIM(INDEX('PEGAR'!$C$13:$C$512,IF(L283&gt;0,L283,K283))&amp;""))=0,"",TRIM(INDEX('PEGAR'!$C$13:$C$512,IF(L283&gt;0,L283,K283))&amp;"")))</f>
      </c>
      <c r="E283" s="27">
        <f>IF(B283="","",INDEX('PEGAR'!$S$13:$S$512,IF(L283&gt;0,L283,K283)))</f>
      </c>
      <c r="F283" s="39">
        <f>IF(B283="","",IF(L283&gt;0,INDEX('PEGAR'!$F$13:$F$512,L283),""))</f>
      </c>
      <c r="G283" s="39">
        <f>IF(B283="","",IF(OR(M283=0,N283&gt;0,O283&gt;0),"",SUMIFS('PEGAR'!$M$13:$M$512,'PEGAR'!$O$13:$O$512,B283)))</f>
      </c>
      <c r="H283" s="39">
        <f>IF(AND(ISNUMBER(F283),ISNUMBER(G283)),G283-F283,"")</f>
      </c>
      <c r="I283" s="27">
        <f>IF(B283="","",IF(W283=2,"ROJO",IF(W283=1,"ÁMBAR","VERDE")))</f>
      </c>
      <c r="J283" s="30">
        <f>IF(B283="","",IF(W283=0,"Sin avisos numéricos. Revisamos el alcance aparte.",IF(L283=0,"Faltan datos completos de partida; no elegimos un total por suposición."&amp;CHAR(10),"")&amp;IF(N283&gt;0,"Hay filas incompletas o contradictorias; las revisamos en PEGAR."&amp;CHAR(10),"")&amp;IF(O283&gt;0,"Faltan las medidas de alguna fila; no cerramos la suma."&amp;CHAR(10),"")&amp;IF(M283=0,"No constan líneas de medición."&amp;CHAR(10),"")&amp;IF(IF(ISNUMBER(H283),ROUND(ABS(H283),8)&gt;$F$6,FALSE),"Las líneas difieren del total en más de 0,01; confirmamos cantidad o exclusión."&amp;CHAR(10),"")&amp;IF(P283&gt;0,"Parece m³: encontramos tres dimensiones bajo m²."&amp;CHAR(10),"")&amp;IF(R283&gt;0,"Código repetido dentro del capítulo; mantenemos sus ID separados."&amp;CHAR(10),"")&amp;IF(S283&gt;0,"Código repetido en otro capítulo; no unimos las partidas."&amp;CHAR(10),"")&amp;IF(T283&gt;0,"Mismo código con unidades distintas; pedimos aclaración."&amp;CHAR(10),"")&amp;IF(Q283&gt;0,"Hay más precisión que los decimales indicados; cotejamos el formato original."&amp;CHAR(10),"")&amp;IF(U283&gt;0,"Unidad sin normalizar; cotejamos su significado antes de sumar unidades."&amp;CHAR(10),"")&amp;IF(V283&gt;0,"Revisamos dimensiones, cantidades directas, ceros o deducciones en PEGAR."&amp;CHAR(10),"")))</f>
      </c>
      <c r="K283" s="0">
        <f>IF(271&gt;'RESUMEN'!$E$6,"",MATCH(271,'PEGAR'!$W$13:$W$512,0))</f>
      </c>
      <c r="L283" s="0">
        <f>IF(K283="","",INDEX('PEGAR'!$R$13:$R$512,K283))</f>
      </c>
      <c r="M283" s="0">
        <f>IF(B283="","",COUNTIFS('PEGAR'!$O$13:$O$512,B283,'PEGAR'!$P$13:$P$512,"DIMENSIONES")+COUNTIFS('PEGAR'!$O$13:$O$512,B283,'PEGAR'!$P$13:$P$512,"DIRECTA"))</f>
      </c>
      <c r="N283" s="0">
        <f>IF(B283="","",COUNTIFS('PEGAR'!$O$13:$O$512,B283,'PEGAR'!$X$13:$X$512,2))</f>
      </c>
      <c r="O283" s="0">
        <f>IF(B283="","",COUNTIFS('PEGAR'!$O$13:$O$512,B283,'PEGAR'!$P$13:$P$512,"SIN LÍNEAS"))</f>
      </c>
      <c r="P283" s="0">
        <f>IF(B283="","",SUMIFS('PEGAR'!$Y$13:$Y$512,'PEGAR'!$O$13:$O$512,B283))</f>
      </c>
      <c r="Q283" s="0">
        <f>IF(B283="","",SUMIFS('PEGAR'!$Z$13:$Z$512,'PEGAR'!$O$13:$O$512,B283))</f>
      </c>
      <c r="R283" s="0" t="n">
        <f>IF(OR(B283="",D283=""),0,SUMPRODUCT(--($B$13:$B$512&lt;&gt;""),--($D$13:$D$512=D283),--($C$13:$C$512=C283))-1)</f>
        <v>0</v>
      </c>
      <c r="S283" s="0" t="n">
        <f>IF(OR(B283="",D283=""),0,SUMPRODUCT(--($B$13:$B$512&lt;&gt;""),--($D$13:$D$512=D283),--($C$13:$C$512&lt;&gt;C283)))</f>
        <v>0</v>
      </c>
      <c r="T283" s="0" t="n">
        <f>IF(OR(B283="",D283=""),0,SUMPRODUCT(--($B$13:$B$512&lt;&gt;""),--($D$13:$D$512=D283),--($E$13:$E$512&lt;&gt;E283)))</f>
        <v>0</v>
      </c>
      <c r="U283" s="0" t="n">
        <f>IF(B283="",0,IF(SUMPRODUCT(--('LÉEME'!$C$65:$C$86=E283))=0,1,0))</f>
        <v>0</v>
      </c>
      <c r="V283" s="0">
        <f>IF(B283="","",SUMIFS('PEGAR'!$AA$13:$AA$512,'PEGAR'!$O$13:$O$512,B283))</f>
      </c>
      <c r="W283" s="0">
        <f>IF(B283="","",IF(OR(L283=0,N283&gt;0,T283&gt;0,IF(ISNUMBER(H283),ROUND(ABS(H283),8)&gt;$F$6,FALSE)),2,IF(OR(M283=0,O283&gt;0,P283&gt;0,Q283&gt;0,R283&gt;0,S283&gt;0,U283&gt;0,V283&gt;0),1,0)))</f>
      </c>
      <c r="X283" s="0">
        <f>IF(B283="","",IF(ISNUMBER(G283),1,0))</f>
      </c>
      <c r="AB283" s="0">
        <f>IF(AND(ISNUMBER(W283),W283&gt;0),"ID "&amp;B283,"")</f>
      </c>
      <c r="AC283" s="0">
        <f>IF(AND(ISNUMBER(W283),W283&gt;0),C283,"")</f>
      </c>
      <c r="AD283" s="0">
        <f>IF(AND(ISNUMBER(W283),W283&gt;0),D283,"")</f>
      </c>
      <c r="AE283" s="0">
        <f>IF(AND(ISNUMBER(W283),W283&gt;0),IF(INDEX('PEGAR'!$D$13:$D$512,IF(L283&gt;0,L283,K283))="","Sin descripción",INDEX('PEGAR'!$D$13:$D$512,IF(L283&gt;0,L283,K283))),"")</f>
      </c>
      <c r="AF283" s="0">
        <f>IF(AND(ISNUMBER(W283),W283&gt;0),J283,"")</f>
      </c>
      <c r="AG283" s="0" t="n">
        <f>IF(AND(ISNUMBER(W283),W283&gt;0),W283,0)</f>
        <v>0</v>
      </c>
      <c r="AH283" s="0">
        <f>IF(AG283&gt;0,COUNTIFS($AG$13:AG283,"&gt;0"),"")</f>
      </c>
    </row>
    <row r="284" ht="22" customHeight="1">
      <c r="B284" s="27">
        <f>IF(K284="","",INDEX('PEGAR'!$O$13:$O$512,K284))</f>
      </c>
      <c r="C284" s="30">
        <f>IF(B284="","",IF(LEN(TRIM(INDEX('PEGAR'!$B$13:$B$512,IF(L284&gt;0,L284,K284))&amp;""))=0,"Sin capítulo",TRIM(INDEX('PEGAR'!$B$13:$B$512,IF(L284&gt;0,L284,K284))&amp;"")))</f>
      </c>
      <c r="D284" s="27">
        <f>IF(B284="","",IF(LEN(TRIM(INDEX('PEGAR'!$C$13:$C$512,IF(L284&gt;0,L284,K284))&amp;""))=0,"",TRIM(INDEX('PEGAR'!$C$13:$C$512,IF(L284&gt;0,L284,K284))&amp;"")))</f>
      </c>
      <c r="E284" s="27">
        <f>IF(B284="","",INDEX('PEGAR'!$S$13:$S$512,IF(L284&gt;0,L284,K284)))</f>
      </c>
      <c r="F284" s="39">
        <f>IF(B284="","",IF(L284&gt;0,INDEX('PEGAR'!$F$13:$F$512,L284),""))</f>
      </c>
      <c r="G284" s="39">
        <f>IF(B284="","",IF(OR(M284=0,N284&gt;0,O284&gt;0),"",SUMIFS('PEGAR'!$M$13:$M$512,'PEGAR'!$O$13:$O$512,B284)))</f>
      </c>
      <c r="H284" s="39">
        <f>IF(AND(ISNUMBER(F284),ISNUMBER(G284)),G284-F284,"")</f>
      </c>
      <c r="I284" s="27">
        <f>IF(B284="","",IF(W284=2,"ROJO",IF(W284=1,"ÁMBAR","VERDE")))</f>
      </c>
      <c r="J284" s="30">
        <f>IF(B284="","",IF(W284=0,"Sin avisos numéricos. Revisamos el alcance aparte.",IF(L284=0,"Faltan datos completos de partida; no elegimos un total por suposición."&amp;CHAR(10),"")&amp;IF(N284&gt;0,"Hay filas incompletas o contradictorias; las revisamos en PEGAR."&amp;CHAR(10),"")&amp;IF(O284&gt;0,"Faltan las medidas de alguna fila; no cerramos la suma."&amp;CHAR(10),"")&amp;IF(M284=0,"No constan líneas de medición."&amp;CHAR(10),"")&amp;IF(IF(ISNUMBER(H284),ROUND(ABS(H284),8)&gt;$F$6,FALSE),"Las líneas difieren del total en más de 0,01; confirmamos cantidad o exclusión."&amp;CHAR(10),"")&amp;IF(P284&gt;0,"Parece m³: encontramos tres dimensiones bajo m²."&amp;CHAR(10),"")&amp;IF(R284&gt;0,"Código repetido dentro del capítulo; mantenemos sus ID separados."&amp;CHAR(10),"")&amp;IF(S284&gt;0,"Código repetido en otro capítulo; no unimos las partidas."&amp;CHAR(10),"")&amp;IF(T284&gt;0,"Mismo código con unidades distintas; pedimos aclaración."&amp;CHAR(10),"")&amp;IF(Q284&gt;0,"Hay más precisión que los decimales indicados; cotejamos el formato original."&amp;CHAR(10),"")&amp;IF(U284&gt;0,"Unidad sin normalizar; cotejamos su significado antes de sumar unidades."&amp;CHAR(10),"")&amp;IF(V284&gt;0,"Revisamos dimensiones, cantidades directas, ceros o deducciones en PEGAR."&amp;CHAR(10),"")))</f>
      </c>
      <c r="K284" s="0">
        <f>IF(272&gt;'RESUMEN'!$E$6,"",MATCH(272,'PEGAR'!$W$13:$W$512,0))</f>
      </c>
      <c r="L284" s="0">
        <f>IF(K284="","",INDEX('PEGAR'!$R$13:$R$512,K284))</f>
      </c>
      <c r="M284" s="0">
        <f>IF(B284="","",COUNTIFS('PEGAR'!$O$13:$O$512,B284,'PEGAR'!$P$13:$P$512,"DIMENSIONES")+COUNTIFS('PEGAR'!$O$13:$O$512,B284,'PEGAR'!$P$13:$P$512,"DIRECTA"))</f>
      </c>
      <c r="N284" s="0">
        <f>IF(B284="","",COUNTIFS('PEGAR'!$O$13:$O$512,B284,'PEGAR'!$X$13:$X$512,2))</f>
      </c>
      <c r="O284" s="0">
        <f>IF(B284="","",COUNTIFS('PEGAR'!$O$13:$O$512,B284,'PEGAR'!$P$13:$P$512,"SIN LÍNEAS"))</f>
      </c>
      <c r="P284" s="0">
        <f>IF(B284="","",SUMIFS('PEGAR'!$Y$13:$Y$512,'PEGAR'!$O$13:$O$512,B284))</f>
      </c>
      <c r="Q284" s="0">
        <f>IF(B284="","",SUMIFS('PEGAR'!$Z$13:$Z$512,'PEGAR'!$O$13:$O$512,B284))</f>
      </c>
      <c r="R284" s="0" t="n">
        <f>IF(OR(B284="",D284=""),0,SUMPRODUCT(--($B$13:$B$512&lt;&gt;""),--($D$13:$D$512=D284),--($C$13:$C$512=C284))-1)</f>
        <v>0</v>
      </c>
      <c r="S284" s="0" t="n">
        <f>IF(OR(B284="",D284=""),0,SUMPRODUCT(--($B$13:$B$512&lt;&gt;""),--($D$13:$D$512=D284),--($C$13:$C$512&lt;&gt;C284)))</f>
        <v>0</v>
      </c>
      <c r="T284" s="0" t="n">
        <f>IF(OR(B284="",D284=""),0,SUMPRODUCT(--($B$13:$B$512&lt;&gt;""),--($D$13:$D$512=D284),--($E$13:$E$512&lt;&gt;E284)))</f>
        <v>0</v>
      </c>
      <c r="U284" s="0" t="n">
        <f>IF(B284="",0,IF(SUMPRODUCT(--('LÉEME'!$C$65:$C$86=E284))=0,1,0))</f>
        <v>0</v>
      </c>
      <c r="V284" s="0">
        <f>IF(B284="","",SUMIFS('PEGAR'!$AA$13:$AA$512,'PEGAR'!$O$13:$O$512,B284))</f>
      </c>
      <c r="W284" s="0">
        <f>IF(B284="","",IF(OR(L284=0,N284&gt;0,T284&gt;0,IF(ISNUMBER(H284),ROUND(ABS(H284),8)&gt;$F$6,FALSE)),2,IF(OR(M284=0,O284&gt;0,P284&gt;0,Q284&gt;0,R284&gt;0,S284&gt;0,U284&gt;0,V284&gt;0),1,0)))</f>
      </c>
      <c r="X284" s="0">
        <f>IF(B284="","",IF(ISNUMBER(G284),1,0))</f>
      </c>
      <c r="AB284" s="0">
        <f>IF(AND(ISNUMBER(W284),W284&gt;0),"ID "&amp;B284,"")</f>
      </c>
      <c r="AC284" s="0">
        <f>IF(AND(ISNUMBER(W284),W284&gt;0),C284,"")</f>
      </c>
      <c r="AD284" s="0">
        <f>IF(AND(ISNUMBER(W284),W284&gt;0),D284,"")</f>
      </c>
      <c r="AE284" s="0">
        <f>IF(AND(ISNUMBER(W284),W284&gt;0),IF(INDEX('PEGAR'!$D$13:$D$512,IF(L284&gt;0,L284,K284))="","Sin descripción",INDEX('PEGAR'!$D$13:$D$512,IF(L284&gt;0,L284,K284))),"")</f>
      </c>
      <c r="AF284" s="0">
        <f>IF(AND(ISNUMBER(W284),W284&gt;0),J284,"")</f>
      </c>
      <c r="AG284" s="0" t="n">
        <f>IF(AND(ISNUMBER(W284),W284&gt;0),W284,0)</f>
        <v>0</v>
      </c>
      <c r="AH284" s="0">
        <f>IF(AG284&gt;0,COUNTIFS($AG$13:AG284,"&gt;0"),"")</f>
      </c>
    </row>
    <row r="285" ht="22" customHeight="1">
      <c r="B285" s="27">
        <f>IF(K285="","",INDEX('PEGAR'!$O$13:$O$512,K285))</f>
      </c>
      <c r="C285" s="30">
        <f>IF(B285="","",IF(LEN(TRIM(INDEX('PEGAR'!$B$13:$B$512,IF(L285&gt;0,L285,K285))&amp;""))=0,"Sin capítulo",TRIM(INDEX('PEGAR'!$B$13:$B$512,IF(L285&gt;0,L285,K285))&amp;"")))</f>
      </c>
      <c r="D285" s="27">
        <f>IF(B285="","",IF(LEN(TRIM(INDEX('PEGAR'!$C$13:$C$512,IF(L285&gt;0,L285,K285))&amp;""))=0,"",TRIM(INDEX('PEGAR'!$C$13:$C$512,IF(L285&gt;0,L285,K285))&amp;"")))</f>
      </c>
      <c r="E285" s="27">
        <f>IF(B285="","",INDEX('PEGAR'!$S$13:$S$512,IF(L285&gt;0,L285,K285)))</f>
      </c>
      <c r="F285" s="39">
        <f>IF(B285="","",IF(L285&gt;0,INDEX('PEGAR'!$F$13:$F$512,L285),""))</f>
      </c>
      <c r="G285" s="39">
        <f>IF(B285="","",IF(OR(M285=0,N285&gt;0,O285&gt;0),"",SUMIFS('PEGAR'!$M$13:$M$512,'PEGAR'!$O$13:$O$512,B285)))</f>
      </c>
      <c r="H285" s="39">
        <f>IF(AND(ISNUMBER(F285),ISNUMBER(G285)),G285-F285,"")</f>
      </c>
      <c r="I285" s="27">
        <f>IF(B285="","",IF(W285=2,"ROJO",IF(W285=1,"ÁMBAR","VERDE")))</f>
      </c>
      <c r="J285" s="30">
        <f>IF(B285="","",IF(W285=0,"Sin avisos numéricos. Revisamos el alcance aparte.",IF(L285=0,"Faltan datos completos de partida; no elegimos un total por suposición."&amp;CHAR(10),"")&amp;IF(N285&gt;0,"Hay filas incompletas o contradictorias; las revisamos en PEGAR."&amp;CHAR(10),"")&amp;IF(O285&gt;0,"Faltan las medidas de alguna fila; no cerramos la suma."&amp;CHAR(10),"")&amp;IF(M285=0,"No constan líneas de medición."&amp;CHAR(10),"")&amp;IF(IF(ISNUMBER(H285),ROUND(ABS(H285),8)&gt;$F$6,FALSE),"Las líneas difieren del total en más de 0,01; confirmamos cantidad o exclusión."&amp;CHAR(10),"")&amp;IF(P285&gt;0,"Parece m³: encontramos tres dimensiones bajo m²."&amp;CHAR(10),"")&amp;IF(R285&gt;0,"Código repetido dentro del capítulo; mantenemos sus ID separados."&amp;CHAR(10),"")&amp;IF(S285&gt;0,"Código repetido en otro capítulo; no unimos las partidas."&amp;CHAR(10),"")&amp;IF(T285&gt;0,"Mismo código con unidades distintas; pedimos aclaración."&amp;CHAR(10),"")&amp;IF(Q285&gt;0,"Hay más precisión que los decimales indicados; cotejamos el formato original."&amp;CHAR(10),"")&amp;IF(U285&gt;0,"Unidad sin normalizar; cotejamos su significado antes de sumar unidades."&amp;CHAR(10),"")&amp;IF(V285&gt;0,"Revisamos dimensiones, cantidades directas, ceros o deducciones en PEGAR."&amp;CHAR(10),"")))</f>
      </c>
      <c r="K285" s="0">
        <f>IF(273&gt;'RESUMEN'!$E$6,"",MATCH(273,'PEGAR'!$W$13:$W$512,0))</f>
      </c>
      <c r="L285" s="0">
        <f>IF(K285="","",INDEX('PEGAR'!$R$13:$R$512,K285))</f>
      </c>
      <c r="M285" s="0">
        <f>IF(B285="","",COUNTIFS('PEGAR'!$O$13:$O$512,B285,'PEGAR'!$P$13:$P$512,"DIMENSIONES")+COUNTIFS('PEGAR'!$O$13:$O$512,B285,'PEGAR'!$P$13:$P$512,"DIRECTA"))</f>
      </c>
      <c r="N285" s="0">
        <f>IF(B285="","",COUNTIFS('PEGAR'!$O$13:$O$512,B285,'PEGAR'!$X$13:$X$512,2))</f>
      </c>
      <c r="O285" s="0">
        <f>IF(B285="","",COUNTIFS('PEGAR'!$O$13:$O$512,B285,'PEGAR'!$P$13:$P$512,"SIN LÍNEAS"))</f>
      </c>
      <c r="P285" s="0">
        <f>IF(B285="","",SUMIFS('PEGAR'!$Y$13:$Y$512,'PEGAR'!$O$13:$O$512,B285))</f>
      </c>
      <c r="Q285" s="0">
        <f>IF(B285="","",SUMIFS('PEGAR'!$Z$13:$Z$512,'PEGAR'!$O$13:$O$512,B285))</f>
      </c>
      <c r="R285" s="0" t="n">
        <f>IF(OR(B285="",D285=""),0,SUMPRODUCT(--($B$13:$B$512&lt;&gt;""),--($D$13:$D$512=D285),--($C$13:$C$512=C285))-1)</f>
        <v>0</v>
      </c>
      <c r="S285" s="0" t="n">
        <f>IF(OR(B285="",D285=""),0,SUMPRODUCT(--($B$13:$B$512&lt;&gt;""),--($D$13:$D$512=D285),--($C$13:$C$512&lt;&gt;C285)))</f>
        <v>0</v>
      </c>
      <c r="T285" s="0" t="n">
        <f>IF(OR(B285="",D285=""),0,SUMPRODUCT(--($B$13:$B$512&lt;&gt;""),--($D$13:$D$512=D285),--($E$13:$E$512&lt;&gt;E285)))</f>
        <v>0</v>
      </c>
      <c r="U285" s="0" t="n">
        <f>IF(B285="",0,IF(SUMPRODUCT(--('LÉEME'!$C$65:$C$86=E285))=0,1,0))</f>
        <v>0</v>
      </c>
      <c r="V285" s="0">
        <f>IF(B285="","",SUMIFS('PEGAR'!$AA$13:$AA$512,'PEGAR'!$O$13:$O$512,B285))</f>
      </c>
      <c r="W285" s="0">
        <f>IF(B285="","",IF(OR(L285=0,N285&gt;0,T285&gt;0,IF(ISNUMBER(H285),ROUND(ABS(H285),8)&gt;$F$6,FALSE)),2,IF(OR(M285=0,O285&gt;0,P285&gt;0,Q285&gt;0,R285&gt;0,S285&gt;0,U285&gt;0,V285&gt;0),1,0)))</f>
      </c>
      <c r="X285" s="0">
        <f>IF(B285="","",IF(ISNUMBER(G285),1,0))</f>
      </c>
      <c r="AB285" s="0">
        <f>IF(AND(ISNUMBER(W285),W285&gt;0),"ID "&amp;B285,"")</f>
      </c>
      <c r="AC285" s="0">
        <f>IF(AND(ISNUMBER(W285),W285&gt;0),C285,"")</f>
      </c>
      <c r="AD285" s="0">
        <f>IF(AND(ISNUMBER(W285),W285&gt;0),D285,"")</f>
      </c>
      <c r="AE285" s="0">
        <f>IF(AND(ISNUMBER(W285),W285&gt;0),IF(INDEX('PEGAR'!$D$13:$D$512,IF(L285&gt;0,L285,K285))="","Sin descripción",INDEX('PEGAR'!$D$13:$D$512,IF(L285&gt;0,L285,K285))),"")</f>
      </c>
      <c r="AF285" s="0">
        <f>IF(AND(ISNUMBER(W285),W285&gt;0),J285,"")</f>
      </c>
      <c r="AG285" s="0" t="n">
        <f>IF(AND(ISNUMBER(W285),W285&gt;0),W285,0)</f>
        <v>0</v>
      </c>
      <c r="AH285" s="0">
        <f>IF(AG285&gt;0,COUNTIFS($AG$13:AG285,"&gt;0"),"")</f>
      </c>
    </row>
    <row r="286" ht="22" customHeight="1">
      <c r="B286" s="27">
        <f>IF(K286="","",INDEX('PEGAR'!$O$13:$O$512,K286))</f>
      </c>
      <c r="C286" s="30">
        <f>IF(B286="","",IF(LEN(TRIM(INDEX('PEGAR'!$B$13:$B$512,IF(L286&gt;0,L286,K286))&amp;""))=0,"Sin capítulo",TRIM(INDEX('PEGAR'!$B$13:$B$512,IF(L286&gt;0,L286,K286))&amp;"")))</f>
      </c>
      <c r="D286" s="27">
        <f>IF(B286="","",IF(LEN(TRIM(INDEX('PEGAR'!$C$13:$C$512,IF(L286&gt;0,L286,K286))&amp;""))=0,"",TRIM(INDEX('PEGAR'!$C$13:$C$512,IF(L286&gt;0,L286,K286))&amp;"")))</f>
      </c>
      <c r="E286" s="27">
        <f>IF(B286="","",INDEX('PEGAR'!$S$13:$S$512,IF(L286&gt;0,L286,K286)))</f>
      </c>
      <c r="F286" s="39">
        <f>IF(B286="","",IF(L286&gt;0,INDEX('PEGAR'!$F$13:$F$512,L286),""))</f>
      </c>
      <c r="G286" s="39">
        <f>IF(B286="","",IF(OR(M286=0,N286&gt;0,O286&gt;0),"",SUMIFS('PEGAR'!$M$13:$M$512,'PEGAR'!$O$13:$O$512,B286)))</f>
      </c>
      <c r="H286" s="39">
        <f>IF(AND(ISNUMBER(F286),ISNUMBER(G286)),G286-F286,"")</f>
      </c>
      <c r="I286" s="27">
        <f>IF(B286="","",IF(W286=2,"ROJO",IF(W286=1,"ÁMBAR","VERDE")))</f>
      </c>
      <c r="J286" s="30">
        <f>IF(B286="","",IF(W286=0,"Sin avisos numéricos. Revisamos el alcance aparte.",IF(L286=0,"Faltan datos completos de partida; no elegimos un total por suposición."&amp;CHAR(10),"")&amp;IF(N286&gt;0,"Hay filas incompletas o contradictorias; las revisamos en PEGAR."&amp;CHAR(10),"")&amp;IF(O286&gt;0,"Faltan las medidas de alguna fila; no cerramos la suma."&amp;CHAR(10),"")&amp;IF(M286=0,"No constan líneas de medición."&amp;CHAR(10),"")&amp;IF(IF(ISNUMBER(H286),ROUND(ABS(H286),8)&gt;$F$6,FALSE),"Las líneas difieren del total en más de 0,01; confirmamos cantidad o exclusión."&amp;CHAR(10),"")&amp;IF(P286&gt;0,"Parece m³: encontramos tres dimensiones bajo m²."&amp;CHAR(10),"")&amp;IF(R286&gt;0,"Código repetido dentro del capítulo; mantenemos sus ID separados."&amp;CHAR(10),"")&amp;IF(S286&gt;0,"Código repetido en otro capítulo; no unimos las partidas."&amp;CHAR(10),"")&amp;IF(T286&gt;0,"Mismo código con unidades distintas; pedimos aclaración."&amp;CHAR(10),"")&amp;IF(Q286&gt;0,"Hay más precisión que los decimales indicados; cotejamos el formato original."&amp;CHAR(10),"")&amp;IF(U286&gt;0,"Unidad sin normalizar; cotejamos su significado antes de sumar unidades."&amp;CHAR(10),"")&amp;IF(V286&gt;0,"Revisamos dimensiones, cantidades directas, ceros o deducciones en PEGAR."&amp;CHAR(10),"")))</f>
      </c>
      <c r="K286" s="0">
        <f>IF(274&gt;'RESUMEN'!$E$6,"",MATCH(274,'PEGAR'!$W$13:$W$512,0))</f>
      </c>
      <c r="L286" s="0">
        <f>IF(K286="","",INDEX('PEGAR'!$R$13:$R$512,K286))</f>
      </c>
      <c r="M286" s="0">
        <f>IF(B286="","",COUNTIFS('PEGAR'!$O$13:$O$512,B286,'PEGAR'!$P$13:$P$512,"DIMENSIONES")+COUNTIFS('PEGAR'!$O$13:$O$512,B286,'PEGAR'!$P$13:$P$512,"DIRECTA"))</f>
      </c>
      <c r="N286" s="0">
        <f>IF(B286="","",COUNTIFS('PEGAR'!$O$13:$O$512,B286,'PEGAR'!$X$13:$X$512,2))</f>
      </c>
      <c r="O286" s="0">
        <f>IF(B286="","",COUNTIFS('PEGAR'!$O$13:$O$512,B286,'PEGAR'!$P$13:$P$512,"SIN LÍNEAS"))</f>
      </c>
      <c r="P286" s="0">
        <f>IF(B286="","",SUMIFS('PEGAR'!$Y$13:$Y$512,'PEGAR'!$O$13:$O$512,B286))</f>
      </c>
      <c r="Q286" s="0">
        <f>IF(B286="","",SUMIFS('PEGAR'!$Z$13:$Z$512,'PEGAR'!$O$13:$O$512,B286))</f>
      </c>
      <c r="R286" s="0" t="n">
        <f>IF(OR(B286="",D286=""),0,SUMPRODUCT(--($B$13:$B$512&lt;&gt;""),--($D$13:$D$512=D286),--($C$13:$C$512=C286))-1)</f>
        <v>0</v>
      </c>
      <c r="S286" s="0" t="n">
        <f>IF(OR(B286="",D286=""),0,SUMPRODUCT(--($B$13:$B$512&lt;&gt;""),--($D$13:$D$512=D286),--($C$13:$C$512&lt;&gt;C286)))</f>
        <v>0</v>
      </c>
      <c r="T286" s="0" t="n">
        <f>IF(OR(B286="",D286=""),0,SUMPRODUCT(--($B$13:$B$512&lt;&gt;""),--($D$13:$D$512=D286),--($E$13:$E$512&lt;&gt;E286)))</f>
        <v>0</v>
      </c>
      <c r="U286" s="0" t="n">
        <f>IF(B286="",0,IF(SUMPRODUCT(--('LÉEME'!$C$65:$C$86=E286))=0,1,0))</f>
        <v>0</v>
      </c>
      <c r="V286" s="0">
        <f>IF(B286="","",SUMIFS('PEGAR'!$AA$13:$AA$512,'PEGAR'!$O$13:$O$512,B286))</f>
      </c>
      <c r="W286" s="0">
        <f>IF(B286="","",IF(OR(L286=0,N286&gt;0,T286&gt;0,IF(ISNUMBER(H286),ROUND(ABS(H286),8)&gt;$F$6,FALSE)),2,IF(OR(M286=0,O286&gt;0,P286&gt;0,Q286&gt;0,R286&gt;0,S286&gt;0,U286&gt;0,V286&gt;0),1,0)))</f>
      </c>
      <c r="X286" s="0">
        <f>IF(B286="","",IF(ISNUMBER(G286),1,0))</f>
      </c>
      <c r="AB286" s="0">
        <f>IF(AND(ISNUMBER(W286),W286&gt;0),"ID "&amp;B286,"")</f>
      </c>
      <c r="AC286" s="0">
        <f>IF(AND(ISNUMBER(W286),W286&gt;0),C286,"")</f>
      </c>
      <c r="AD286" s="0">
        <f>IF(AND(ISNUMBER(W286),W286&gt;0),D286,"")</f>
      </c>
      <c r="AE286" s="0">
        <f>IF(AND(ISNUMBER(W286),W286&gt;0),IF(INDEX('PEGAR'!$D$13:$D$512,IF(L286&gt;0,L286,K286))="","Sin descripción",INDEX('PEGAR'!$D$13:$D$512,IF(L286&gt;0,L286,K286))),"")</f>
      </c>
      <c r="AF286" s="0">
        <f>IF(AND(ISNUMBER(W286),W286&gt;0),J286,"")</f>
      </c>
      <c r="AG286" s="0" t="n">
        <f>IF(AND(ISNUMBER(W286),W286&gt;0),W286,0)</f>
        <v>0</v>
      </c>
      <c r="AH286" s="0">
        <f>IF(AG286&gt;0,COUNTIFS($AG$13:AG286,"&gt;0"),"")</f>
      </c>
    </row>
    <row r="287" ht="22" customHeight="1">
      <c r="B287" s="27">
        <f>IF(K287="","",INDEX('PEGAR'!$O$13:$O$512,K287))</f>
      </c>
      <c r="C287" s="30">
        <f>IF(B287="","",IF(LEN(TRIM(INDEX('PEGAR'!$B$13:$B$512,IF(L287&gt;0,L287,K287))&amp;""))=0,"Sin capítulo",TRIM(INDEX('PEGAR'!$B$13:$B$512,IF(L287&gt;0,L287,K287))&amp;"")))</f>
      </c>
      <c r="D287" s="27">
        <f>IF(B287="","",IF(LEN(TRIM(INDEX('PEGAR'!$C$13:$C$512,IF(L287&gt;0,L287,K287))&amp;""))=0,"",TRIM(INDEX('PEGAR'!$C$13:$C$512,IF(L287&gt;0,L287,K287))&amp;"")))</f>
      </c>
      <c r="E287" s="27">
        <f>IF(B287="","",INDEX('PEGAR'!$S$13:$S$512,IF(L287&gt;0,L287,K287)))</f>
      </c>
      <c r="F287" s="39">
        <f>IF(B287="","",IF(L287&gt;0,INDEX('PEGAR'!$F$13:$F$512,L287),""))</f>
      </c>
      <c r="G287" s="39">
        <f>IF(B287="","",IF(OR(M287=0,N287&gt;0,O287&gt;0),"",SUMIFS('PEGAR'!$M$13:$M$512,'PEGAR'!$O$13:$O$512,B287)))</f>
      </c>
      <c r="H287" s="39">
        <f>IF(AND(ISNUMBER(F287),ISNUMBER(G287)),G287-F287,"")</f>
      </c>
      <c r="I287" s="27">
        <f>IF(B287="","",IF(W287=2,"ROJO",IF(W287=1,"ÁMBAR","VERDE")))</f>
      </c>
      <c r="J287" s="30">
        <f>IF(B287="","",IF(W287=0,"Sin avisos numéricos. Revisamos el alcance aparte.",IF(L287=0,"Faltan datos completos de partida; no elegimos un total por suposición."&amp;CHAR(10),"")&amp;IF(N287&gt;0,"Hay filas incompletas o contradictorias; las revisamos en PEGAR."&amp;CHAR(10),"")&amp;IF(O287&gt;0,"Faltan las medidas de alguna fila; no cerramos la suma."&amp;CHAR(10),"")&amp;IF(M287=0,"No constan líneas de medición."&amp;CHAR(10),"")&amp;IF(IF(ISNUMBER(H287),ROUND(ABS(H287),8)&gt;$F$6,FALSE),"Las líneas difieren del total en más de 0,01; confirmamos cantidad o exclusión."&amp;CHAR(10),"")&amp;IF(P287&gt;0,"Parece m³: encontramos tres dimensiones bajo m²."&amp;CHAR(10),"")&amp;IF(R287&gt;0,"Código repetido dentro del capítulo; mantenemos sus ID separados."&amp;CHAR(10),"")&amp;IF(S287&gt;0,"Código repetido en otro capítulo; no unimos las partidas."&amp;CHAR(10),"")&amp;IF(T287&gt;0,"Mismo código con unidades distintas; pedimos aclaración."&amp;CHAR(10),"")&amp;IF(Q287&gt;0,"Hay más precisión que los decimales indicados; cotejamos el formato original."&amp;CHAR(10),"")&amp;IF(U287&gt;0,"Unidad sin normalizar; cotejamos su significado antes de sumar unidades."&amp;CHAR(10),"")&amp;IF(V287&gt;0,"Revisamos dimensiones, cantidades directas, ceros o deducciones en PEGAR."&amp;CHAR(10),"")))</f>
      </c>
      <c r="K287" s="0">
        <f>IF(275&gt;'RESUMEN'!$E$6,"",MATCH(275,'PEGAR'!$W$13:$W$512,0))</f>
      </c>
      <c r="L287" s="0">
        <f>IF(K287="","",INDEX('PEGAR'!$R$13:$R$512,K287))</f>
      </c>
      <c r="M287" s="0">
        <f>IF(B287="","",COUNTIFS('PEGAR'!$O$13:$O$512,B287,'PEGAR'!$P$13:$P$512,"DIMENSIONES")+COUNTIFS('PEGAR'!$O$13:$O$512,B287,'PEGAR'!$P$13:$P$512,"DIRECTA"))</f>
      </c>
      <c r="N287" s="0">
        <f>IF(B287="","",COUNTIFS('PEGAR'!$O$13:$O$512,B287,'PEGAR'!$X$13:$X$512,2))</f>
      </c>
      <c r="O287" s="0">
        <f>IF(B287="","",COUNTIFS('PEGAR'!$O$13:$O$512,B287,'PEGAR'!$P$13:$P$512,"SIN LÍNEAS"))</f>
      </c>
      <c r="P287" s="0">
        <f>IF(B287="","",SUMIFS('PEGAR'!$Y$13:$Y$512,'PEGAR'!$O$13:$O$512,B287))</f>
      </c>
      <c r="Q287" s="0">
        <f>IF(B287="","",SUMIFS('PEGAR'!$Z$13:$Z$512,'PEGAR'!$O$13:$O$512,B287))</f>
      </c>
      <c r="R287" s="0" t="n">
        <f>IF(OR(B287="",D287=""),0,SUMPRODUCT(--($B$13:$B$512&lt;&gt;""),--($D$13:$D$512=D287),--($C$13:$C$512=C287))-1)</f>
        <v>0</v>
      </c>
      <c r="S287" s="0" t="n">
        <f>IF(OR(B287="",D287=""),0,SUMPRODUCT(--($B$13:$B$512&lt;&gt;""),--($D$13:$D$512=D287),--($C$13:$C$512&lt;&gt;C287)))</f>
        <v>0</v>
      </c>
      <c r="T287" s="0" t="n">
        <f>IF(OR(B287="",D287=""),0,SUMPRODUCT(--($B$13:$B$512&lt;&gt;""),--($D$13:$D$512=D287),--($E$13:$E$512&lt;&gt;E287)))</f>
        <v>0</v>
      </c>
      <c r="U287" s="0" t="n">
        <f>IF(B287="",0,IF(SUMPRODUCT(--('LÉEME'!$C$65:$C$86=E287))=0,1,0))</f>
        <v>0</v>
      </c>
      <c r="V287" s="0">
        <f>IF(B287="","",SUMIFS('PEGAR'!$AA$13:$AA$512,'PEGAR'!$O$13:$O$512,B287))</f>
      </c>
      <c r="W287" s="0">
        <f>IF(B287="","",IF(OR(L287=0,N287&gt;0,T287&gt;0,IF(ISNUMBER(H287),ROUND(ABS(H287),8)&gt;$F$6,FALSE)),2,IF(OR(M287=0,O287&gt;0,P287&gt;0,Q287&gt;0,R287&gt;0,S287&gt;0,U287&gt;0,V287&gt;0),1,0)))</f>
      </c>
      <c r="X287" s="0">
        <f>IF(B287="","",IF(ISNUMBER(G287),1,0))</f>
      </c>
      <c r="AB287" s="0">
        <f>IF(AND(ISNUMBER(W287),W287&gt;0),"ID "&amp;B287,"")</f>
      </c>
      <c r="AC287" s="0">
        <f>IF(AND(ISNUMBER(W287),W287&gt;0),C287,"")</f>
      </c>
      <c r="AD287" s="0">
        <f>IF(AND(ISNUMBER(W287),W287&gt;0),D287,"")</f>
      </c>
      <c r="AE287" s="0">
        <f>IF(AND(ISNUMBER(W287),W287&gt;0),IF(INDEX('PEGAR'!$D$13:$D$512,IF(L287&gt;0,L287,K287))="","Sin descripción",INDEX('PEGAR'!$D$13:$D$512,IF(L287&gt;0,L287,K287))),"")</f>
      </c>
      <c r="AF287" s="0">
        <f>IF(AND(ISNUMBER(W287),W287&gt;0),J287,"")</f>
      </c>
      <c r="AG287" s="0" t="n">
        <f>IF(AND(ISNUMBER(W287),W287&gt;0),W287,0)</f>
        <v>0</v>
      </c>
      <c r="AH287" s="0">
        <f>IF(AG287&gt;0,COUNTIFS($AG$13:AG287,"&gt;0"),"")</f>
      </c>
    </row>
    <row r="288" ht="22" customHeight="1">
      <c r="B288" s="27">
        <f>IF(K288="","",INDEX('PEGAR'!$O$13:$O$512,K288))</f>
      </c>
      <c r="C288" s="30">
        <f>IF(B288="","",IF(LEN(TRIM(INDEX('PEGAR'!$B$13:$B$512,IF(L288&gt;0,L288,K288))&amp;""))=0,"Sin capítulo",TRIM(INDEX('PEGAR'!$B$13:$B$512,IF(L288&gt;0,L288,K288))&amp;"")))</f>
      </c>
      <c r="D288" s="27">
        <f>IF(B288="","",IF(LEN(TRIM(INDEX('PEGAR'!$C$13:$C$512,IF(L288&gt;0,L288,K288))&amp;""))=0,"",TRIM(INDEX('PEGAR'!$C$13:$C$512,IF(L288&gt;0,L288,K288))&amp;"")))</f>
      </c>
      <c r="E288" s="27">
        <f>IF(B288="","",INDEX('PEGAR'!$S$13:$S$512,IF(L288&gt;0,L288,K288)))</f>
      </c>
      <c r="F288" s="39">
        <f>IF(B288="","",IF(L288&gt;0,INDEX('PEGAR'!$F$13:$F$512,L288),""))</f>
      </c>
      <c r="G288" s="39">
        <f>IF(B288="","",IF(OR(M288=0,N288&gt;0,O288&gt;0),"",SUMIFS('PEGAR'!$M$13:$M$512,'PEGAR'!$O$13:$O$512,B288)))</f>
      </c>
      <c r="H288" s="39">
        <f>IF(AND(ISNUMBER(F288),ISNUMBER(G288)),G288-F288,"")</f>
      </c>
      <c r="I288" s="27">
        <f>IF(B288="","",IF(W288=2,"ROJO",IF(W288=1,"ÁMBAR","VERDE")))</f>
      </c>
      <c r="J288" s="30">
        <f>IF(B288="","",IF(W288=0,"Sin avisos numéricos. Revisamos el alcance aparte.",IF(L288=0,"Faltan datos completos de partida; no elegimos un total por suposición."&amp;CHAR(10),"")&amp;IF(N288&gt;0,"Hay filas incompletas o contradictorias; las revisamos en PEGAR."&amp;CHAR(10),"")&amp;IF(O288&gt;0,"Faltan las medidas de alguna fila; no cerramos la suma."&amp;CHAR(10),"")&amp;IF(M288=0,"No constan líneas de medición."&amp;CHAR(10),"")&amp;IF(IF(ISNUMBER(H288),ROUND(ABS(H288),8)&gt;$F$6,FALSE),"Las líneas difieren del total en más de 0,01; confirmamos cantidad o exclusión."&amp;CHAR(10),"")&amp;IF(P288&gt;0,"Parece m³: encontramos tres dimensiones bajo m²."&amp;CHAR(10),"")&amp;IF(R288&gt;0,"Código repetido dentro del capítulo; mantenemos sus ID separados."&amp;CHAR(10),"")&amp;IF(S288&gt;0,"Código repetido en otro capítulo; no unimos las partidas."&amp;CHAR(10),"")&amp;IF(T288&gt;0,"Mismo código con unidades distintas; pedimos aclaración."&amp;CHAR(10),"")&amp;IF(Q288&gt;0,"Hay más precisión que los decimales indicados; cotejamos el formato original."&amp;CHAR(10),"")&amp;IF(U288&gt;0,"Unidad sin normalizar; cotejamos su significado antes de sumar unidades."&amp;CHAR(10),"")&amp;IF(V288&gt;0,"Revisamos dimensiones, cantidades directas, ceros o deducciones en PEGAR."&amp;CHAR(10),"")))</f>
      </c>
      <c r="K288" s="0">
        <f>IF(276&gt;'RESUMEN'!$E$6,"",MATCH(276,'PEGAR'!$W$13:$W$512,0))</f>
      </c>
      <c r="L288" s="0">
        <f>IF(K288="","",INDEX('PEGAR'!$R$13:$R$512,K288))</f>
      </c>
      <c r="M288" s="0">
        <f>IF(B288="","",COUNTIFS('PEGAR'!$O$13:$O$512,B288,'PEGAR'!$P$13:$P$512,"DIMENSIONES")+COUNTIFS('PEGAR'!$O$13:$O$512,B288,'PEGAR'!$P$13:$P$512,"DIRECTA"))</f>
      </c>
      <c r="N288" s="0">
        <f>IF(B288="","",COUNTIFS('PEGAR'!$O$13:$O$512,B288,'PEGAR'!$X$13:$X$512,2))</f>
      </c>
      <c r="O288" s="0">
        <f>IF(B288="","",COUNTIFS('PEGAR'!$O$13:$O$512,B288,'PEGAR'!$P$13:$P$512,"SIN LÍNEAS"))</f>
      </c>
      <c r="P288" s="0">
        <f>IF(B288="","",SUMIFS('PEGAR'!$Y$13:$Y$512,'PEGAR'!$O$13:$O$512,B288))</f>
      </c>
      <c r="Q288" s="0">
        <f>IF(B288="","",SUMIFS('PEGAR'!$Z$13:$Z$512,'PEGAR'!$O$13:$O$512,B288))</f>
      </c>
      <c r="R288" s="0" t="n">
        <f>IF(OR(B288="",D288=""),0,SUMPRODUCT(--($B$13:$B$512&lt;&gt;""),--($D$13:$D$512=D288),--($C$13:$C$512=C288))-1)</f>
        <v>0</v>
      </c>
      <c r="S288" s="0" t="n">
        <f>IF(OR(B288="",D288=""),0,SUMPRODUCT(--($B$13:$B$512&lt;&gt;""),--($D$13:$D$512=D288),--($C$13:$C$512&lt;&gt;C288)))</f>
        <v>0</v>
      </c>
      <c r="T288" s="0" t="n">
        <f>IF(OR(B288="",D288=""),0,SUMPRODUCT(--($B$13:$B$512&lt;&gt;""),--($D$13:$D$512=D288),--($E$13:$E$512&lt;&gt;E288)))</f>
        <v>0</v>
      </c>
      <c r="U288" s="0" t="n">
        <f>IF(B288="",0,IF(SUMPRODUCT(--('LÉEME'!$C$65:$C$86=E288))=0,1,0))</f>
        <v>0</v>
      </c>
      <c r="V288" s="0">
        <f>IF(B288="","",SUMIFS('PEGAR'!$AA$13:$AA$512,'PEGAR'!$O$13:$O$512,B288))</f>
      </c>
      <c r="W288" s="0">
        <f>IF(B288="","",IF(OR(L288=0,N288&gt;0,T288&gt;0,IF(ISNUMBER(H288),ROUND(ABS(H288),8)&gt;$F$6,FALSE)),2,IF(OR(M288=0,O288&gt;0,P288&gt;0,Q288&gt;0,R288&gt;0,S288&gt;0,U288&gt;0,V288&gt;0),1,0)))</f>
      </c>
      <c r="X288" s="0">
        <f>IF(B288="","",IF(ISNUMBER(G288),1,0))</f>
      </c>
      <c r="AB288" s="0">
        <f>IF(AND(ISNUMBER(W288),W288&gt;0),"ID "&amp;B288,"")</f>
      </c>
      <c r="AC288" s="0">
        <f>IF(AND(ISNUMBER(W288),W288&gt;0),C288,"")</f>
      </c>
      <c r="AD288" s="0">
        <f>IF(AND(ISNUMBER(W288),W288&gt;0),D288,"")</f>
      </c>
      <c r="AE288" s="0">
        <f>IF(AND(ISNUMBER(W288),W288&gt;0),IF(INDEX('PEGAR'!$D$13:$D$512,IF(L288&gt;0,L288,K288))="","Sin descripción",INDEX('PEGAR'!$D$13:$D$512,IF(L288&gt;0,L288,K288))),"")</f>
      </c>
      <c r="AF288" s="0">
        <f>IF(AND(ISNUMBER(W288),W288&gt;0),J288,"")</f>
      </c>
      <c r="AG288" s="0" t="n">
        <f>IF(AND(ISNUMBER(W288),W288&gt;0),W288,0)</f>
        <v>0</v>
      </c>
      <c r="AH288" s="0">
        <f>IF(AG288&gt;0,COUNTIFS($AG$13:AG288,"&gt;0"),"")</f>
      </c>
    </row>
    <row r="289" ht="22" customHeight="1">
      <c r="B289" s="27">
        <f>IF(K289="","",INDEX('PEGAR'!$O$13:$O$512,K289))</f>
      </c>
      <c r="C289" s="30">
        <f>IF(B289="","",IF(LEN(TRIM(INDEX('PEGAR'!$B$13:$B$512,IF(L289&gt;0,L289,K289))&amp;""))=0,"Sin capítulo",TRIM(INDEX('PEGAR'!$B$13:$B$512,IF(L289&gt;0,L289,K289))&amp;"")))</f>
      </c>
      <c r="D289" s="27">
        <f>IF(B289="","",IF(LEN(TRIM(INDEX('PEGAR'!$C$13:$C$512,IF(L289&gt;0,L289,K289))&amp;""))=0,"",TRIM(INDEX('PEGAR'!$C$13:$C$512,IF(L289&gt;0,L289,K289))&amp;"")))</f>
      </c>
      <c r="E289" s="27">
        <f>IF(B289="","",INDEX('PEGAR'!$S$13:$S$512,IF(L289&gt;0,L289,K289)))</f>
      </c>
      <c r="F289" s="39">
        <f>IF(B289="","",IF(L289&gt;0,INDEX('PEGAR'!$F$13:$F$512,L289),""))</f>
      </c>
      <c r="G289" s="39">
        <f>IF(B289="","",IF(OR(M289=0,N289&gt;0,O289&gt;0),"",SUMIFS('PEGAR'!$M$13:$M$512,'PEGAR'!$O$13:$O$512,B289)))</f>
      </c>
      <c r="H289" s="39">
        <f>IF(AND(ISNUMBER(F289),ISNUMBER(G289)),G289-F289,"")</f>
      </c>
      <c r="I289" s="27">
        <f>IF(B289="","",IF(W289=2,"ROJO",IF(W289=1,"ÁMBAR","VERDE")))</f>
      </c>
      <c r="J289" s="30">
        <f>IF(B289="","",IF(W289=0,"Sin avisos numéricos. Revisamos el alcance aparte.",IF(L289=0,"Faltan datos completos de partida; no elegimos un total por suposición."&amp;CHAR(10),"")&amp;IF(N289&gt;0,"Hay filas incompletas o contradictorias; las revisamos en PEGAR."&amp;CHAR(10),"")&amp;IF(O289&gt;0,"Faltan las medidas de alguna fila; no cerramos la suma."&amp;CHAR(10),"")&amp;IF(M289=0,"No constan líneas de medición."&amp;CHAR(10),"")&amp;IF(IF(ISNUMBER(H289),ROUND(ABS(H289),8)&gt;$F$6,FALSE),"Las líneas difieren del total en más de 0,01; confirmamos cantidad o exclusión."&amp;CHAR(10),"")&amp;IF(P289&gt;0,"Parece m³: encontramos tres dimensiones bajo m²."&amp;CHAR(10),"")&amp;IF(R289&gt;0,"Código repetido dentro del capítulo; mantenemos sus ID separados."&amp;CHAR(10),"")&amp;IF(S289&gt;0,"Código repetido en otro capítulo; no unimos las partidas."&amp;CHAR(10),"")&amp;IF(T289&gt;0,"Mismo código con unidades distintas; pedimos aclaración."&amp;CHAR(10),"")&amp;IF(Q289&gt;0,"Hay más precisión que los decimales indicados; cotejamos el formato original."&amp;CHAR(10),"")&amp;IF(U289&gt;0,"Unidad sin normalizar; cotejamos su significado antes de sumar unidades."&amp;CHAR(10),"")&amp;IF(V289&gt;0,"Revisamos dimensiones, cantidades directas, ceros o deducciones en PEGAR."&amp;CHAR(10),"")))</f>
      </c>
      <c r="K289" s="0">
        <f>IF(277&gt;'RESUMEN'!$E$6,"",MATCH(277,'PEGAR'!$W$13:$W$512,0))</f>
      </c>
      <c r="L289" s="0">
        <f>IF(K289="","",INDEX('PEGAR'!$R$13:$R$512,K289))</f>
      </c>
      <c r="M289" s="0">
        <f>IF(B289="","",COUNTIFS('PEGAR'!$O$13:$O$512,B289,'PEGAR'!$P$13:$P$512,"DIMENSIONES")+COUNTIFS('PEGAR'!$O$13:$O$512,B289,'PEGAR'!$P$13:$P$512,"DIRECTA"))</f>
      </c>
      <c r="N289" s="0">
        <f>IF(B289="","",COUNTIFS('PEGAR'!$O$13:$O$512,B289,'PEGAR'!$X$13:$X$512,2))</f>
      </c>
      <c r="O289" s="0">
        <f>IF(B289="","",COUNTIFS('PEGAR'!$O$13:$O$512,B289,'PEGAR'!$P$13:$P$512,"SIN LÍNEAS"))</f>
      </c>
      <c r="P289" s="0">
        <f>IF(B289="","",SUMIFS('PEGAR'!$Y$13:$Y$512,'PEGAR'!$O$13:$O$512,B289))</f>
      </c>
      <c r="Q289" s="0">
        <f>IF(B289="","",SUMIFS('PEGAR'!$Z$13:$Z$512,'PEGAR'!$O$13:$O$512,B289))</f>
      </c>
      <c r="R289" s="0" t="n">
        <f>IF(OR(B289="",D289=""),0,SUMPRODUCT(--($B$13:$B$512&lt;&gt;""),--($D$13:$D$512=D289),--($C$13:$C$512=C289))-1)</f>
        <v>0</v>
      </c>
      <c r="S289" s="0" t="n">
        <f>IF(OR(B289="",D289=""),0,SUMPRODUCT(--($B$13:$B$512&lt;&gt;""),--($D$13:$D$512=D289),--($C$13:$C$512&lt;&gt;C289)))</f>
        <v>0</v>
      </c>
      <c r="T289" s="0" t="n">
        <f>IF(OR(B289="",D289=""),0,SUMPRODUCT(--($B$13:$B$512&lt;&gt;""),--($D$13:$D$512=D289),--($E$13:$E$512&lt;&gt;E289)))</f>
        <v>0</v>
      </c>
      <c r="U289" s="0" t="n">
        <f>IF(B289="",0,IF(SUMPRODUCT(--('LÉEME'!$C$65:$C$86=E289))=0,1,0))</f>
        <v>0</v>
      </c>
      <c r="V289" s="0">
        <f>IF(B289="","",SUMIFS('PEGAR'!$AA$13:$AA$512,'PEGAR'!$O$13:$O$512,B289))</f>
      </c>
      <c r="W289" s="0">
        <f>IF(B289="","",IF(OR(L289=0,N289&gt;0,T289&gt;0,IF(ISNUMBER(H289),ROUND(ABS(H289),8)&gt;$F$6,FALSE)),2,IF(OR(M289=0,O289&gt;0,P289&gt;0,Q289&gt;0,R289&gt;0,S289&gt;0,U289&gt;0,V289&gt;0),1,0)))</f>
      </c>
      <c r="X289" s="0">
        <f>IF(B289="","",IF(ISNUMBER(G289),1,0))</f>
      </c>
      <c r="AB289" s="0">
        <f>IF(AND(ISNUMBER(W289),W289&gt;0),"ID "&amp;B289,"")</f>
      </c>
      <c r="AC289" s="0">
        <f>IF(AND(ISNUMBER(W289),W289&gt;0),C289,"")</f>
      </c>
      <c r="AD289" s="0">
        <f>IF(AND(ISNUMBER(W289),W289&gt;0),D289,"")</f>
      </c>
      <c r="AE289" s="0">
        <f>IF(AND(ISNUMBER(W289),W289&gt;0),IF(INDEX('PEGAR'!$D$13:$D$512,IF(L289&gt;0,L289,K289))="","Sin descripción",INDEX('PEGAR'!$D$13:$D$512,IF(L289&gt;0,L289,K289))),"")</f>
      </c>
      <c r="AF289" s="0">
        <f>IF(AND(ISNUMBER(W289),W289&gt;0),J289,"")</f>
      </c>
      <c r="AG289" s="0" t="n">
        <f>IF(AND(ISNUMBER(W289),W289&gt;0),W289,0)</f>
        <v>0</v>
      </c>
      <c r="AH289" s="0">
        <f>IF(AG289&gt;0,COUNTIFS($AG$13:AG289,"&gt;0"),"")</f>
      </c>
    </row>
    <row r="290" ht="22" customHeight="1">
      <c r="B290" s="27">
        <f>IF(K290="","",INDEX('PEGAR'!$O$13:$O$512,K290))</f>
      </c>
      <c r="C290" s="30">
        <f>IF(B290="","",IF(LEN(TRIM(INDEX('PEGAR'!$B$13:$B$512,IF(L290&gt;0,L290,K290))&amp;""))=0,"Sin capítulo",TRIM(INDEX('PEGAR'!$B$13:$B$512,IF(L290&gt;0,L290,K290))&amp;"")))</f>
      </c>
      <c r="D290" s="27">
        <f>IF(B290="","",IF(LEN(TRIM(INDEX('PEGAR'!$C$13:$C$512,IF(L290&gt;0,L290,K290))&amp;""))=0,"",TRIM(INDEX('PEGAR'!$C$13:$C$512,IF(L290&gt;0,L290,K290))&amp;"")))</f>
      </c>
      <c r="E290" s="27">
        <f>IF(B290="","",INDEX('PEGAR'!$S$13:$S$512,IF(L290&gt;0,L290,K290)))</f>
      </c>
      <c r="F290" s="39">
        <f>IF(B290="","",IF(L290&gt;0,INDEX('PEGAR'!$F$13:$F$512,L290),""))</f>
      </c>
      <c r="G290" s="39">
        <f>IF(B290="","",IF(OR(M290=0,N290&gt;0,O290&gt;0),"",SUMIFS('PEGAR'!$M$13:$M$512,'PEGAR'!$O$13:$O$512,B290)))</f>
      </c>
      <c r="H290" s="39">
        <f>IF(AND(ISNUMBER(F290),ISNUMBER(G290)),G290-F290,"")</f>
      </c>
      <c r="I290" s="27">
        <f>IF(B290="","",IF(W290=2,"ROJO",IF(W290=1,"ÁMBAR","VERDE")))</f>
      </c>
      <c r="J290" s="30">
        <f>IF(B290="","",IF(W290=0,"Sin avisos numéricos. Revisamos el alcance aparte.",IF(L290=0,"Faltan datos completos de partida; no elegimos un total por suposición."&amp;CHAR(10),"")&amp;IF(N290&gt;0,"Hay filas incompletas o contradictorias; las revisamos en PEGAR."&amp;CHAR(10),"")&amp;IF(O290&gt;0,"Faltan las medidas de alguna fila; no cerramos la suma."&amp;CHAR(10),"")&amp;IF(M290=0,"No constan líneas de medición."&amp;CHAR(10),"")&amp;IF(IF(ISNUMBER(H290),ROUND(ABS(H290),8)&gt;$F$6,FALSE),"Las líneas difieren del total en más de 0,01; confirmamos cantidad o exclusión."&amp;CHAR(10),"")&amp;IF(P290&gt;0,"Parece m³: encontramos tres dimensiones bajo m²."&amp;CHAR(10),"")&amp;IF(R290&gt;0,"Código repetido dentro del capítulo; mantenemos sus ID separados."&amp;CHAR(10),"")&amp;IF(S290&gt;0,"Código repetido en otro capítulo; no unimos las partidas."&amp;CHAR(10),"")&amp;IF(T290&gt;0,"Mismo código con unidades distintas; pedimos aclaración."&amp;CHAR(10),"")&amp;IF(Q290&gt;0,"Hay más precisión que los decimales indicados; cotejamos el formato original."&amp;CHAR(10),"")&amp;IF(U290&gt;0,"Unidad sin normalizar; cotejamos su significado antes de sumar unidades."&amp;CHAR(10),"")&amp;IF(V290&gt;0,"Revisamos dimensiones, cantidades directas, ceros o deducciones en PEGAR."&amp;CHAR(10),"")))</f>
      </c>
      <c r="K290" s="0">
        <f>IF(278&gt;'RESUMEN'!$E$6,"",MATCH(278,'PEGAR'!$W$13:$W$512,0))</f>
      </c>
      <c r="L290" s="0">
        <f>IF(K290="","",INDEX('PEGAR'!$R$13:$R$512,K290))</f>
      </c>
      <c r="M290" s="0">
        <f>IF(B290="","",COUNTIFS('PEGAR'!$O$13:$O$512,B290,'PEGAR'!$P$13:$P$512,"DIMENSIONES")+COUNTIFS('PEGAR'!$O$13:$O$512,B290,'PEGAR'!$P$13:$P$512,"DIRECTA"))</f>
      </c>
      <c r="N290" s="0">
        <f>IF(B290="","",COUNTIFS('PEGAR'!$O$13:$O$512,B290,'PEGAR'!$X$13:$X$512,2))</f>
      </c>
      <c r="O290" s="0">
        <f>IF(B290="","",COUNTIFS('PEGAR'!$O$13:$O$512,B290,'PEGAR'!$P$13:$P$512,"SIN LÍNEAS"))</f>
      </c>
      <c r="P290" s="0">
        <f>IF(B290="","",SUMIFS('PEGAR'!$Y$13:$Y$512,'PEGAR'!$O$13:$O$512,B290))</f>
      </c>
      <c r="Q290" s="0">
        <f>IF(B290="","",SUMIFS('PEGAR'!$Z$13:$Z$512,'PEGAR'!$O$13:$O$512,B290))</f>
      </c>
      <c r="R290" s="0" t="n">
        <f>IF(OR(B290="",D290=""),0,SUMPRODUCT(--($B$13:$B$512&lt;&gt;""),--($D$13:$D$512=D290),--($C$13:$C$512=C290))-1)</f>
        <v>0</v>
      </c>
      <c r="S290" s="0" t="n">
        <f>IF(OR(B290="",D290=""),0,SUMPRODUCT(--($B$13:$B$512&lt;&gt;""),--($D$13:$D$512=D290),--($C$13:$C$512&lt;&gt;C290)))</f>
        <v>0</v>
      </c>
      <c r="T290" s="0" t="n">
        <f>IF(OR(B290="",D290=""),0,SUMPRODUCT(--($B$13:$B$512&lt;&gt;""),--($D$13:$D$512=D290),--($E$13:$E$512&lt;&gt;E290)))</f>
        <v>0</v>
      </c>
      <c r="U290" s="0" t="n">
        <f>IF(B290="",0,IF(SUMPRODUCT(--('LÉEME'!$C$65:$C$86=E290))=0,1,0))</f>
        <v>0</v>
      </c>
      <c r="V290" s="0">
        <f>IF(B290="","",SUMIFS('PEGAR'!$AA$13:$AA$512,'PEGAR'!$O$13:$O$512,B290))</f>
      </c>
      <c r="W290" s="0">
        <f>IF(B290="","",IF(OR(L290=0,N290&gt;0,T290&gt;0,IF(ISNUMBER(H290),ROUND(ABS(H290),8)&gt;$F$6,FALSE)),2,IF(OR(M290=0,O290&gt;0,P290&gt;0,Q290&gt;0,R290&gt;0,S290&gt;0,U290&gt;0,V290&gt;0),1,0)))</f>
      </c>
      <c r="X290" s="0">
        <f>IF(B290="","",IF(ISNUMBER(G290),1,0))</f>
      </c>
      <c r="AB290" s="0">
        <f>IF(AND(ISNUMBER(W290),W290&gt;0),"ID "&amp;B290,"")</f>
      </c>
      <c r="AC290" s="0">
        <f>IF(AND(ISNUMBER(W290),W290&gt;0),C290,"")</f>
      </c>
      <c r="AD290" s="0">
        <f>IF(AND(ISNUMBER(W290),W290&gt;0),D290,"")</f>
      </c>
      <c r="AE290" s="0">
        <f>IF(AND(ISNUMBER(W290),W290&gt;0),IF(INDEX('PEGAR'!$D$13:$D$512,IF(L290&gt;0,L290,K290))="","Sin descripción",INDEX('PEGAR'!$D$13:$D$512,IF(L290&gt;0,L290,K290))),"")</f>
      </c>
      <c r="AF290" s="0">
        <f>IF(AND(ISNUMBER(W290),W290&gt;0),J290,"")</f>
      </c>
      <c r="AG290" s="0" t="n">
        <f>IF(AND(ISNUMBER(W290),W290&gt;0),W290,0)</f>
        <v>0</v>
      </c>
      <c r="AH290" s="0">
        <f>IF(AG290&gt;0,COUNTIFS($AG$13:AG290,"&gt;0"),"")</f>
      </c>
    </row>
    <row r="291" ht="22" customHeight="1">
      <c r="B291" s="27">
        <f>IF(K291="","",INDEX('PEGAR'!$O$13:$O$512,K291))</f>
      </c>
      <c r="C291" s="30">
        <f>IF(B291="","",IF(LEN(TRIM(INDEX('PEGAR'!$B$13:$B$512,IF(L291&gt;0,L291,K291))&amp;""))=0,"Sin capítulo",TRIM(INDEX('PEGAR'!$B$13:$B$512,IF(L291&gt;0,L291,K291))&amp;"")))</f>
      </c>
      <c r="D291" s="27">
        <f>IF(B291="","",IF(LEN(TRIM(INDEX('PEGAR'!$C$13:$C$512,IF(L291&gt;0,L291,K291))&amp;""))=0,"",TRIM(INDEX('PEGAR'!$C$13:$C$512,IF(L291&gt;0,L291,K291))&amp;"")))</f>
      </c>
      <c r="E291" s="27">
        <f>IF(B291="","",INDEX('PEGAR'!$S$13:$S$512,IF(L291&gt;0,L291,K291)))</f>
      </c>
      <c r="F291" s="39">
        <f>IF(B291="","",IF(L291&gt;0,INDEX('PEGAR'!$F$13:$F$512,L291),""))</f>
      </c>
      <c r="G291" s="39">
        <f>IF(B291="","",IF(OR(M291=0,N291&gt;0,O291&gt;0),"",SUMIFS('PEGAR'!$M$13:$M$512,'PEGAR'!$O$13:$O$512,B291)))</f>
      </c>
      <c r="H291" s="39">
        <f>IF(AND(ISNUMBER(F291),ISNUMBER(G291)),G291-F291,"")</f>
      </c>
      <c r="I291" s="27">
        <f>IF(B291="","",IF(W291=2,"ROJO",IF(W291=1,"ÁMBAR","VERDE")))</f>
      </c>
      <c r="J291" s="30">
        <f>IF(B291="","",IF(W291=0,"Sin avisos numéricos. Revisamos el alcance aparte.",IF(L291=0,"Faltan datos completos de partida; no elegimos un total por suposición."&amp;CHAR(10),"")&amp;IF(N291&gt;0,"Hay filas incompletas o contradictorias; las revisamos en PEGAR."&amp;CHAR(10),"")&amp;IF(O291&gt;0,"Faltan las medidas de alguna fila; no cerramos la suma."&amp;CHAR(10),"")&amp;IF(M291=0,"No constan líneas de medición."&amp;CHAR(10),"")&amp;IF(IF(ISNUMBER(H291),ROUND(ABS(H291),8)&gt;$F$6,FALSE),"Las líneas difieren del total en más de 0,01; confirmamos cantidad o exclusión."&amp;CHAR(10),"")&amp;IF(P291&gt;0,"Parece m³: encontramos tres dimensiones bajo m²."&amp;CHAR(10),"")&amp;IF(R291&gt;0,"Código repetido dentro del capítulo; mantenemos sus ID separados."&amp;CHAR(10),"")&amp;IF(S291&gt;0,"Código repetido en otro capítulo; no unimos las partidas."&amp;CHAR(10),"")&amp;IF(T291&gt;0,"Mismo código con unidades distintas; pedimos aclaración."&amp;CHAR(10),"")&amp;IF(Q291&gt;0,"Hay más precisión que los decimales indicados; cotejamos el formato original."&amp;CHAR(10),"")&amp;IF(U291&gt;0,"Unidad sin normalizar; cotejamos su significado antes de sumar unidades."&amp;CHAR(10),"")&amp;IF(V291&gt;0,"Revisamos dimensiones, cantidades directas, ceros o deducciones en PEGAR."&amp;CHAR(10),"")))</f>
      </c>
      <c r="K291" s="0">
        <f>IF(279&gt;'RESUMEN'!$E$6,"",MATCH(279,'PEGAR'!$W$13:$W$512,0))</f>
      </c>
      <c r="L291" s="0">
        <f>IF(K291="","",INDEX('PEGAR'!$R$13:$R$512,K291))</f>
      </c>
      <c r="M291" s="0">
        <f>IF(B291="","",COUNTIFS('PEGAR'!$O$13:$O$512,B291,'PEGAR'!$P$13:$P$512,"DIMENSIONES")+COUNTIFS('PEGAR'!$O$13:$O$512,B291,'PEGAR'!$P$13:$P$512,"DIRECTA"))</f>
      </c>
      <c r="N291" s="0">
        <f>IF(B291="","",COUNTIFS('PEGAR'!$O$13:$O$512,B291,'PEGAR'!$X$13:$X$512,2))</f>
      </c>
      <c r="O291" s="0">
        <f>IF(B291="","",COUNTIFS('PEGAR'!$O$13:$O$512,B291,'PEGAR'!$P$13:$P$512,"SIN LÍNEAS"))</f>
      </c>
      <c r="P291" s="0">
        <f>IF(B291="","",SUMIFS('PEGAR'!$Y$13:$Y$512,'PEGAR'!$O$13:$O$512,B291))</f>
      </c>
      <c r="Q291" s="0">
        <f>IF(B291="","",SUMIFS('PEGAR'!$Z$13:$Z$512,'PEGAR'!$O$13:$O$512,B291))</f>
      </c>
      <c r="R291" s="0" t="n">
        <f>IF(OR(B291="",D291=""),0,SUMPRODUCT(--($B$13:$B$512&lt;&gt;""),--($D$13:$D$512=D291),--($C$13:$C$512=C291))-1)</f>
        <v>0</v>
      </c>
      <c r="S291" s="0" t="n">
        <f>IF(OR(B291="",D291=""),0,SUMPRODUCT(--($B$13:$B$512&lt;&gt;""),--($D$13:$D$512=D291),--($C$13:$C$512&lt;&gt;C291)))</f>
        <v>0</v>
      </c>
      <c r="T291" s="0" t="n">
        <f>IF(OR(B291="",D291=""),0,SUMPRODUCT(--($B$13:$B$512&lt;&gt;""),--($D$13:$D$512=D291),--($E$13:$E$512&lt;&gt;E291)))</f>
        <v>0</v>
      </c>
      <c r="U291" s="0" t="n">
        <f>IF(B291="",0,IF(SUMPRODUCT(--('LÉEME'!$C$65:$C$86=E291))=0,1,0))</f>
        <v>0</v>
      </c>
      <c r="V291" s="0">
        <f>IF(B291="","",SUMIFS('PEGAR'!$AA$13:$AA$512,'PEGAR'!$O$13:$O$512,B291))</f>
      </c>
      <c r="W291" s="0">
        <f>IF(B291="","",IF(OR(L291=0,N291&gt;0,T291&gt;0,IF(ISNUMBER(H291),ROUND(ABS(H291),8)&gt;$F$6,FALSE)),2,IF(OR(M291=0,O291&gt;0,P291&gt;0,Q291&gt;0,R291&gt;0,S291&gt;0,U291&gt;0,V291&gt;0),1,0)))</f>
      </c>
      <c r="X291" s="0">
        <f>IF(B291="","",IF(ISNUMBER(G291),1,0))</f>
      </c>
      <c r="AB291" s="0">
        <f>IF(AND(ISNUMBER(W291),W291&gt;0),"ID "&amp;B291,"")</f>
      </c>
      <c r="AC291" s="0">
        <f>IF(AND(ISNUMBER(W291),W291&gt;0),C291,"")</f>
      </c>
      <c r="AD291" s="0">
        <f>IF(AND(ISNUMBER(W291),W291&gt;0),D291,"")</f>
      </c>
      <c r="AE291" s="0">
        <f>IF(AND(ISNUMBER(W291),W291&gt;0),IF(INDEX('PEGAR'!$D$13:$D$512,IF(L291&gt;0,L291,K291))="","Sin descripción",INDEX('PEGAR'!$D$13:$D$512,IF(L291&gt;0,L291,K291))),"")</f>
      </c>
      <c r="AF291" s="0">
        <f>IF(AND(ISNUMBER(W291),W291&gt;0),J291,"")</f>
      </c>
      <c r="AG291" s="0" t="n">
        <f>IF(AND(ISNUMBER(W291),W291&gt;0),W291,0)</f>
        <v>0</v>
      </c>
      <c r="AH291" s="0">
        <f>IF(AG291&gt;0,COUNTIFS($AG$13:AG291,"&gt;0"),"")</f>
      </c>
    </row>
    <row r="292" ht="22" customHeight="1">
      <c r="B292" s="27">
        <f>IF(K292="","",INDEX('PEGAR'!$O$13:$O$512,K292))</f>
      </c>
      <c r="C292" s="30">
        <f>IF(B292="","",IF(LEN(TRIM(INDEX('PEGAR'!$B$13:$B$512,IF(L292&gt;0,L292,K292))&amp;""))=0,"Sin capítulo",TRIM(INDEX('PEGAR'!$B$13:$B$512,IF(L292&gt;0,L292,K292))&amp;"")))</f>
      </c>
      <c r="D292" s="27">
        <f>IF(B292="","",IF(LEN(TRIM(INDEX('PEGAR'!$C$13:$C$512,IF(L292&gt;0,L292,K292))&amp;""))=0,"",TRIM(INDEX('PEGAR'!$C$13:$C$512,IF(L292&gt;0,L292,K292))&amp;"")))</f>
      </c>
      <c r="E292" s="27">
        <f>IF(B292="","",INDEX('PEGAR'!$S$13:$S$512,IF(L292&gt;0,L292,K292)))</f>
      </c>
      <c r="F292" s="39">
        <f>IF(B292="","",IF(L292&gt;0,INDEX('PEGAR'!$F$13:$F$512,L292),""))</f>
      </c>
      <c r="G292" s="39">
        <f>IF(B292="","",IF(OR(M292=0,N292&gt;0,O292&gt;0),"",SUMIFS('PEGAR'!$M$13:$M$512,'PEGAR'!$O$13:$O$512,B292)))</f>
      </c>
      <c r="H292" s="39">
        <f>IF(AND(ISNUMBER(F292),ISNUMBER(G292)),G292-F292,"")</f>
      </c>
      <c r="I292" s="27">
        <f>IF(B292="","",IF(W292=2,"ROJO",IF(W292=1,"ÁMBAR","VERDE")))</f>
      </c>
      <c r="J292" s="30">
        <f>IF(B292="","",IF(W292=0,"Sin avisos numéricos. Revisamos el alcance aparte.",IF(L292=0,"Faltan datos completos de partida; no elegimos un total por suposición."&amp;CHAR(10),"")&amp;IF(N292&gt;0,"Hay filas incompletas o contradictorias; las revisamos en PEGAR."&amp;CHAR(10),"")&amp;IF(O292&gt;0,"Faltan las medidas de alguna fila; no cerramos la suma."&amp;CHAR(10),"")&amp;IF(M292=0,"No constan líneas de medición."&amp;CHAR(10),"")&amp;IF(IF(ISNUMBER(H292),ROUND(ABS(H292),8)&gt;$F$6,FALSE),"Las líneas difieren del total en más de 0,01; confirmamos cantidad o exclusión."&amp;CHAR(10),"")&amp;IF(P292&gt;0,"Parece m³: encontramos tres dimensiones bajo m²."&amp;CHAR(10),"")&amp;IF(R292&gt;0,"Código repetido dentro del capítulo; mantenemos sus ID separados."&amp;CHAR(10),"")&amp;IF(S292&gt;0,"Código repetido en otro capítulo; no unimos las partidas."&amp;CHAR(10),"")&amp;IF(T292&gt;0,"Mismo código con unidades distintas; pedimos aclaración."&amp;CHAR(10),"")&amp;IF(Q292&gt;0,"Hay más precisión que los decimales indicados; cotejamos el formato original."&amp;CHAR(10),"")&amp;IF(U292&gt;0,"Unidad sin normalizar; cotejamos su significado antes de sumar unidades."&amp;CHAR(10),"")&amp;IF(V292&gt;0,"Revisamos dimensiones, cantidades directas, ceros o deducciones en PEGAR."&amp;CHAR(10),"")))</f>
      </c>
      <c r="K292" s="0">
        <f>IF(280&gt;'RESUMEN'!$E$6,"",MATCH(280,'PEGAR'!$W$13:$W$512,0))</f>
      </c>
      <c r="L292" s="0">
        <f>IF(K292="","",INDEX('PEGAR'!$R$13:$R$512,K292))</f>
      </c>
      <c r="M292" s="0">
        <f>IF(B292="","",COUNTIFS('PEGAR'!$O$13:$O$512,B292,'PEGAR'!$P$13:$P$512,"DIMENSIONES")+COUNTIFS('PEGAR'!$O$13:$O$512,B292,'PEGAR'!$P$13:$P$512,"DIRECTA"))</f>
      </c>
      <c r="N292" s="0">
        <f>IF(B292="","",COUNTIFS('PEGAR'!$O$13:$O$512,B292,'PEGAR'!$X$13:$X$512,2))</f>
      </c>
      <c r="O292" s="0">
        <f>IF(B292="","",COUNTIFS('PEGAR'!$O$13:$O$512,B292,'PEGAR'!$P$13:$P$512,"SIN LÍNEAS"))</f>
      </c>
      <c r="P292" s="0">
        <f>IF(B292="","",SUMIFS('PEGAR'!$Y$13:$Y$512,'PEGAR'!$O$13:$O$512,B292))</f>
      </c>
      <c r="Q292" s="0">
        <f>IF(B292="","",SUMIFS('PEGAR'!$Z$13:$Z$512,'PEGAR'!$O$13:$O$512,B292))</f>
      </c>
      <c r="R292" s="0" t="n">
        <f>IF(OR(B292="",D292=""),0,SUMPRODUCT(--($B$13:$B$512&lt;&gt;""),--($D$13:$D$512=D292),--($C$13:$C$512=C292))-1)</f>
        <v>0</v>
      </c>
      <c r="S292" s="0" t="n">
        <f>IF(OR(B292="",D292=""),0,SUMPRODUCT(--($B$13:$B$512&lt;&gt;""),--($D$13:$D$512=D292),--($C$13:$C$512&lt;&gt;C292)))</f>
        <v>0</v>
      </c>
      <c r="T292" s="0" t="n">
        <f>IF(OR(B292="",D292=""),0,SUMPRODUCT(--($B$13:$B$512&lt;&gt;""),--($D$13:$D$512=D292),--($E$13:$E$512&lt;&gt;E292)))</f>
        <v>0</v>
      </c>
      <c r="U292" s="0" t="n">
        <f>IF(B292="",0,IF(SUMPRODUCT(--('LÉEME'!$C$65:$C$86=E292))=0,1,0))</f>
        <v>0</v>
      </c>
      <c r="V292" s="0">
        <f>IF(B292="","",SUMIFS('PEGAR'!$AA$13:$AA$512,'PEGAR'!$O$13:$O$512,B292))</f>
      </c>
      <c r="W292" s="0">
        <f>IF(B292="","",IF(OR(L292=0,N292&gt;0,T292&gt;0,IF(ISNUMBER(H292),ROUND(ABS(H292),8)&gt;$F$6,FALSE)),2,IF(OR(M292=0,O292&gt;0,P292&gt;0,Q292&gt;0,R292&gt;0,S292&gt;0,U292&gt;0,V292&gt;0),1,0)))</f>
      </c>
      <c r="X292" s="0">
        <f>IF(B292="","",IF(ISNUMBER(G292),1,0))</f>
      </c>
      <c r="AB292" s="0">
        <f>IF(AND(ISNUMBER(W292),W292&gt;0),"ID "&amp;B292,"")</f>
      </c>
      <c r="AC292" s="0">
        <f>IF(AND(ISNUMBER(W292),W292&gt;0),C292,"")</f>
      </c>
      <c r="AD292" s="0">
        <f>IF(AND(ISNUMBER(W292),W292&gt;0),D292,"")</f>
      </c>
      <c r="AE292" s="0">
        <f>IF(AND(ISNUMBER(W292),W292&gt;0),IF(INDEX('PEGAR'!$D$13:$D$512,IF(L292&gt;0,L292,K292))="","Sin descripción",INDEX('PEGAR'!$D$13:$D$512,IF(L292&gt;0,L292,K292))),"")</f>
      </c>
      <c r="AF292" s="0">
        <f>IF(AND(ISNUMBER(W292),W292&gt;0),J292,"")</f>
      </c>
      <c r="AG292" s="0" t="n">
        <f>IF(AND(ISNUMBER(W292),W292&gt;0),W292,0)</f>
        <v>0</v>
      </c>
      <c r="AH292" s="0">
        <f>IF(AG292&gt;0,COUNTIFS($AG$13:AG292,"&gt;0"),"")</f>
      </c>
    </row>
    <row r="293" ht="22" customHeight="1">
      <c r="B293" s="27">
        <f>IF(K293="","",INDEX('PEGAR'!$O$13:$O$512,K293))</f>
      </c>
      <c r="C293" s="30">
        <f>IF(B293="","",IF(LEN(TRIM(INDEX('PEGAR'!$B$13:$B$512,IF(L293&gt;0,L293,K293))&amp;""))=0,"Sin capítulo",TRIM(INDEX('PEGAR'!$B$13:$B$512,IF(L293&gt;0,L293,K293))&amp;"")))</f>
      </c>
      <c r="D293" s="27">
        <f>IF(B293="","",IF(LEN(TRIM(INDEX('PEGAR'!$C$13:$C$512,IF(L293&gt;0,L293,K293))&amp;""))=0,"",TRIM(INDEX('PEGAR'!$C$13:$C$512,IF(L293&gt;0,L293,K293))&amp;"")))</f>
      </c>
      <c r="E293" s="27">
        <f>IF(B293="","",INDEX('PEGAR'!$S$13:$S$512,IF(L293&gt;0,L293,K293)))</f>
      </c>
      <c r="F293" s="39">
        <f>IF(B293="","",IF(L293&gt;0,INDEX('PEGAR'!$F$13:$F$512,L293),""))</f>
      </c>
      <c r="G293" s="39">
        <f>IF(B293="","",IF(OR(M293=0,N293&gt;0,O293&gt;0),"",SUMIFS('PEGAR'!$M$13:$M$512,'PEGAR'!$O$13:$O$512,B293)))</f>
      </c>
      <c r="H293" s="39">
        <f>IF(AND(ISNUMBER(F293),ISNUMBER(G293)),G293-F293,"")</f>
      </c>
      <c r="I293" s="27">
        <f>IF(B293="","",IF(W293=2,"ROJO",IF(W293=1,"ÁMBAR","VERDE")))</f>
      </c>
      <c r="J293" s="30">
        <f>IF(B293="","",IF(W293=0,"Sin avisos numéricos. Revisamos el alcance aparte.",IF(L293=0,"Faltan datos completos de partida; no elegimos un total por suposición."&amp;CHAR(10),"")&amp;IF(N293&gt;0,"Hay filas incompletas o contradictorias; las revisamos en PEGAR."&amp;CHAR(10),"")&amp;IF(O293&gt;0,"Faltan las medidas de alguna fila; no cerramos la suma."&amp;CHAR(10),"")&amp;IF(M293=0,"No constan líneas de medición."&amp;CHAR(10),"")&amp;IF(IF(ISNUMBER(H293),ROUND(ABS(H293),8)&gt;$F$6,FALSE),"Las líneas difieren del total en más de 0,01; confirmamos cantidad o exclusión."&amp;CHAR(10),"")&amp;IF(P293&gt;0,"Parece m³: encontramos tres dimensiones bajo m²."&amp;CHAR(10),"")&amp;IF(R293&gt;0,"Código repetido dentro del capítulo; mantenemos sus ID separados."&amp;CHAR(10),"")&amp;IF(S293&gt;0,"Código repetido en otro capítulo; no unimos las partidas."&amp;CHAR(10),"")&amp;IF(T293&gt;0,"Mismo código con unidades distintas; pedimos aclaración."&amp;CHAR(10),"")&amp;IF(Q293&gt;0,"Hay más precisión que los decimales indicados; cotejamos el formato original."&amp;CHAR(10),"")&amp;IF(U293&gt;0,"Unidad sin normalizar; cotejamos su significado antes de sumar unidades."&amp;CHAR(10),"")&amp;IF(V293&gt;0,"Revisamos dimensiones, cantidades directas, ceros o deducciones en PEGAR."&amp;CHAR(10),"")))</f>
      </c>
      <c r="K293" s="0">
        <f>IF(281&gt;'RESUMEN'!$E$6,"",MATCH(281,'PEGAR'!$W$13:$W$512,0))</f>
      </c>
      <c r="L293" s="0">
        <f>IF(K293="","",INDEX('PEGAR'!$R$13:$R$512,K293))</f>
      </c>
      <c r="M293" s="0">
        <f>IF(B293="","",COUNTIFS('PEGAR'!$O$13:$O$512,B293,'PEGAR'!$P$13:$P$512,"DIMENSIONES")+COUNTIFS('PEGAR'!$O$13:$O$512,B293,'PEGAR'!$P$13:$P$512,"DIRECTA"))</f>
      </c>
      <c r="N293" s="0">
        <f>IF(B293="","",COUNTIFS('PEGAR'!$O$13:$O$512,B293,'PEGAR'!$X$13:$X$512,2))</f>
      </c>
      <c r="O293" s="0">
        <f>IF(B293="","",COUNTIFS('PEGAR'!$O$13:$O$512,B293,'PEGAR'!$P$13:$P$512,"SIN LÍNEAS"))</f>
      </c>
      <c r="P293" s="0">
        <f>IF(B293="","",SUMIFS('PEGAR'!$Y$13:$Y$512,'PEGAR'!$O$13:$O$512,B293))</f>
      </c>
      <c r="Q293" s="0">
        <f>IF(B293="","",SUMIFS('PEGAR'!$Z$13:$Z$512,'PEGAR'!$O$13:$O$512,B293))</f>
      </c>
      <c r="R293" s="0" t="n">
        <f>IF(OR(B293="",D293=""),0,SUMPRODUCT(--($B$13:$B$512&lt;&gt;""),--($D$13:$D$512=D293),--($C$13:$C$512=C293))-1)</f>
        <v>0</v>
      </c>
      <c r="S293" s="0" t="n">
        <f>IF(OR(B293="",D293=""),0,SUMPRODUCT(--($B$13:$B$512&lt;&gt;""),--($D$13:$D$512=D293),--($C$13:$C$512&lt;&gt;C293)))</f>
        <v>0</v>
      </c>
      <c r="T293" s="0" t="n">
        <f>IF(OR(B293="",D293=""),0,SUMPRODUCT(--($B$13:$B$512&lt;&gt;""),--($D$13:$D$512=D293),--($E$13:$E$512&lt;&gt;E293)))</f>
        <v>0</v>
      </c>
      <c r="U293" s="0" t="n">
        <f>IF(B293="",0,IF(SUMPRODUCT(--('LÉEME'!$C$65:$C$86=E293))=0,1,0))</f>
        <v>0</v>
      </c>
      <c r="V293" s="0">
        <f>IF(B293="","",SUMIFS('PEGAR'!$AA$13:$AA$512,'PEGAR'!$O$13:$O$512,B293))</f>
      </c>
      <c r="W293" s="0">
        <f>IF(B293="","",IF(OR(L293=0,N293&gt;0,T293&gt;0,IF(ISNUMBER(H293),ROUND(ABS(H293),8)&gt;$F$6,FALSE)),2,IF(OR(M293=0,O293&gt;0,P293&gt;0,Q293&gt;0,R293&gt;0,S293&gt;0,U293&gt;0,V293&gt;0),1,0)))</f>
      </c>
      <c r="X293" s="0">
        <f>IF(B293="","",IF(ISNUMBER(G293),1,0))</f>
      </c>
      <c r="AB293" s="0">
        <f>IF(AND(ISNUMBER(W293),W293&gt;0),"ID "&amp;B293,"")</f>
      </c>
      <c r="AC293" s="0">
        <f>IF(AND(ISNUMBER(W293),W293&gt;0),C293,"")</f>
      </c>
      <c r="AD293" s="0">
        <f>IF(AND(ISNUMBER(W293),W293&gt;0),D293,"")</f>
      </c>
      <c r="AE293" s="0">
        <f>IF(AND(ISNUMBER(W293),W293&gt;0),IF(INDEX('PEGAR'!$D$13:$D$512,IF(L293&gt;0,L293,K293))="","Sin descripción",INDEX('PEGAR'!$D$13:$D$512,IF(L293&gt;0,L293,K293))),"")</f>
      </c>
      <c r="AF293" s="0">
        <f>IF(AND(ISNUMBER(W293),W293&gt;0),J293,"")</f>
      </c>
      <c r="AG293" s="0" t="n">
        <f>IF(AND(ISNUMBER(W293),W293&gt;0),W293,0)</f>
        <v>0</v>
      </c>
      <c r="AH293" s="0">
        <f>IF(AG293&gt;0,COUNTIFS($AG$13:AG293,"&gt;0"),"")</f>
      </c>
    </row>
    <row r="294" ht="22" customHeight="1">
      <c r="B294" s="27">
        <f>IF(K294="","",INDEX('PEGAR'!$O$13:$O$512,K294))</f>
      </c>
      <c r="C294" s="30">
        <f>IF(B294="","",IF(LEN(TRIM(INDEX('PEGAR'!$B$13:$B$512,IF(L294&gt;0,L294,K294))&amp;""))=0,"Sin capítulo",TRIM(INDEX('PEGAR'!$B$13:$B$512,IF(L294&gt;0,L294,K294))&amp;"")))</f>
      </c>
      <c r="D294" s="27">
        <f>IF(B294="","",IF(LEN(TRIM(INDEX('PEGAR'!$C$13:$C$512,IF(L294&gt;0,L294,K294))&amp;""))=0,"",TRIM(INDEX('PEGAR'!$C$13:$C$512,IF(L294&gt;0,L294,K294))&amp;"")))</f>
      </c>
      <c r="E294" s="27">
        <f>IF(B294="","",INDEX('PEGAR'!$S$13:$S$512,IF(L294&gt;0,L294,K294)))</f>
      </c>
      <c r="F294" s="39">
        <f>IF(B294="","",IF(L294&gt;0,INDEX('PEGAR'!$F$13:$F$512,L294),""))</f>
      </c>
      <c r="G294" s="39">
        <f>IF(B294="","",IF(OR(M294=0,N294&gt;0,O294&gt;0),"",SUMIFS('PEGAR'!$M$13:$M$512,'PEGAR'!$O$13:$O$512,B294)))</f>
      </c>
      <c r="H294" s="39">
        <f>IF(AND(ISNUMBER(F294),ISNUMBER(G294)),G294-F294,"")</f>
      </c>
      <c r="I294" s="27">
        <f>IF(B294="","",IF(W294=2,"ROJO",IF(W294=1,"ÁMBAR","VERDE")))</f>
      </c>
      <c r="J294" s="30">
        <f>IF(B294="","",IF(W294=0,"Sin avisos numéricos. Revisamos el alcance aparte.",IF(L294=0,"Faltan datos completos de partida; no elegimos un total por suposición."&amp;CHAR(10),"")&amp;IF(N294&gt;0,"Hay filas incompletas o contradictorias; las revisamos en PEGAR."&amp;CHAR(10),"")&amp;IF(O294&gt;0,"Faltan las medidas de alguna fila; no cerramos la suma."&amp;CHAR(10),"")&amp;IF(M294=0,"No constan líneas de medición."&amp;CHAR(10),"")&amp;IF(IF(ISNUMBER(H294),ROUND(ABS(H294),8)&gt;$F$6,FALSE),"Las líneas difieren del total en más de 0,01; confirmamos cantidad o exclusión."&amp;CHAR(10),"")&amp;IF(P294&gt;0,"Parece m³: encontramos tres dimensiones bajo m²."&amp;CHAR(10),"")&amp;IF(R294&gt;0,"Código repetido dentro del capítulo; mantenemos sus ID separados."&amp;CHAR(10),"")&amp;IF(S294&gt;0,"Código repetido en otro capítulo; no unimos las partidas."&amp;CHAR(10),"")&amp;IF(T294&gt;0,"Mismo código con unidades distintas; pedimos aclaración."&amp;CHAR(10),"")&amp;IF(Q294&gt;0,"Hay más precisión que los decimales indicados; cotejamos el formato original."&amp;CHAR(10),"")&amp;IF(U294&gt;0,"Unidad sin normalizar; cotejamos su significado antes de sumar unidades."&amp;CHAR(10),"")&amp;IF(V294&gt;0,"Revisamos dimensiones, cantidades directas, ceros o deducciones en PEGAR."&amp;CHAR(10),"")))</f>
      </c>
      <c r="K294" s="0">
        <f>IF(282&gt;'RESUMEN'!$E$6,"",MATCH(282,'PEGAR'!$W$13:$W$512,0))</f>
      </c>
      <c r="L294" s="0">
        <f>IF(K294="","",INDEX('PEGAR'!$R$13:$R$512,K294))</f>
      </c>
      <c r="M294" s="0">
        <f>IF(B294="","",COUNTIFS('PEGAR'!$O$13:$O$512,B294,'PEGAR'!$P$13:$P$512,"DIMENSIONES")+COUNTIFS('PEGAR'!$O$13:$O$512,B294,'PEGAR'!$P$13:$P$512,"DIRECTA"))</f>
      </c>
      <c r="N294" s="0">
        <f>IF(B294="","",COUNTIFS('PEGAR'!$O$13:$O$512,B294,'PEGAR'!$X$13:$X$512,2))</f>
      </c>
      <c r="O294" s="0">
        <f>IF(B294="","",COUNTIFS('PEGAR'!$O$13:$O$512,B294,'PEGAR'!$P$13:$P$512,"SIN LÍNEAS"))</f>
      </c>
      <c r="P294" s="0">
        <f>IF(B294="","",SUMIFS('PEGAR'!$Y$13:$Y$512,'PEGAR'!$O$13:$O$512,B294))</f>
      </c>
      <c r="Q294" s="0">
        <f>IF(B294="","",SUMIFS('PEGAR'!$Z$13:$Z$512,'PEGAR'!$O$13:$O$512,B294))</f>
      </c>
      <c r="R294" s="0" t="n">
        <f>IF(OR(B294="",D294=""),0,SUMPRODUCT(--($B$13:$B$512&lt;&gt;""),--($D$13:$D$512=D294),--($C$13:$C$512=C294))-1)</f>
        <v>0</v>
      </c>
      <c r="S294" s="0" t="n">
        <f>IF(OR(B294="",D294=""),0,SUMPRODUCT(--($B$13:$B$512&lt;&gt;""),--($D$13:$D$512=D294),--($C$13:$C$512&lt;&gt;C294)))</f>
        <v>0</v>
      </c>
      <c r="T294" s="0" t="n">
        <f>IF(OR(B294="",D294=""),0,SUMPRODUCT(--($B$13:$B$512&lt;&gt;""),--($D$13:$D$512=D294),--($E$13:$E$512&lt;&gt;E294)))</f>
        <v>0</v>
      </c>
      <c r="U294" s="0" t="n">
        <f>IF(B294="",0,IF(SUMPRODUCT(--('LÉEME'!$C$65:$C$86=E294))=0,1,0))</f>
        <v>0</v>
      </c>
      <c r="V294" s="0">
        <f>IF(B294="","",SUMIFS('PEGAR'!$AA$13:$AA$512,'PEGAR'!$O$13:$O$512,B294))</f>
      </c>
      <c r="W294" s="0">
        <f>IF(B294="","",IF(OR(L294=0,N294&gt;0,T294&gt;0,IF(ISNUMBER(H294),ROUND(ABS(H294),8)&gt;$F$6,FALSE)),2,IF(OR(M294=0,O294&gt;0,P294&gt;0,Q294&gt;0,R294&gt;0,S294&gt;0,U294&gt;0,V294&gt;0),1,0)))</f>
      </c>
      <c r="X294" s="0">
        <f>IF(B294="","",IF(ISNUMBER(G294),1,0))</f>
      </c>
      <c r="AB294" s="0">
        <f>IF(AND(ISNUMBER(W294),W294&gt;0),"ID "&amp;B294,"")</f>
      </c>
      <c r="AC294" s="0">
        <f>IF(AND(ISNUMBER(W294),W294&gt;0),C294,"")</f>
      </c>
      <c r="AD294" s="0">
        <f>IF(AND(ISNUMBER(W294),W294&gt;0),D294,"")</f>
      </c>
      <c r="AE294" s="0">
        <f>IF(AND(ISNUMBER(W294),W294&gt;0),IF(INDEX('PEGAR'!$D$13:$D$512,IF(L294&gt;0,L294,K294))="","Sin descripción",INDEX('PEGAR'!$D$13:$D$512,IF(L294&gt;0,L294,K294))),"")</f>
      </c>
      <c r="AF294" s="0">
        <f>IF(AND(ISNUMBER(W294),W294&gt;0),J294,"")</f>
      </c>
      <c r="AG294" s="0" t="n">
        <f>IF(AND(ISNUMBER(W294),W294&gt;0),W294,0)</f>
        <v>0</v>
      </c>
      <c r="AH294" s="0">
        <f>IF(AG294&gt;0,COUNTIFS($AG$13:AG294,"&gt;0"),"")</f>
      </c>
    </row>
    <row r="295" ht="22" customHeight="1">
      <c r="B295" s="27">
        <f>IF(K295="","",INDEX('PEGAR'!$O$13:$O$512,K295))</f>
      </c>
      <c r="C295" s="30">
        <f>IF(B295="","",IF(LEN(TRIM(INDEX('PEGAR'!$B$13:$B$512,IF(L295&gt;0,L295,K295))&amp;""))=0,"Sin capítulo",TRIM(INDEX('PEGAR'!$B$13:$B$512,IF(L295&gt;0,L295,K295))&amp;"")))</f>
      </c>
      <c r="D295" s="27">
        <f>IF(B295="","",IF(LEN(TRIM(INDEX('PEGAR'!$C$13:$C$512,IF(L295&gt;0,L295,K295))&amp;""))=0,"",TRIM(INDEX('PEGAR'!$C$13:$C$512,IF(L295&gt;0,L295,K295))&amp;"")))</f>
      </c>
      <c r="E295" s="27">
        <f>IF(B295="","",INDEX('PEGAR'!$S$13:$S$512,IF(L295&gt;0,L295,K295)))</f>
      </c>
      <c r="F295" s="39">
        <f>IF(B295="","",IF(L295&gt;0,INDEX('PEGAR'!$F$13:$F$512,L295),""))</f>
      </c>
      <c r="G295" s="39">
        <f>IF(B295="","",IF(OR(M295=0,N295&gt;0,O295&gt;0),"",SUMIFS('PEGAR'!$M$13:$M$512,'PEGAR'!$O$13:$O$512,B295)))</f>
      </c>
      <c r="H295" s="39">
        <f>IF(AND(ISNUMBER(F295),ISNUMBER(G295)),G295-F295,"")</f>
      </c>
      <c r="I295" s="27">
        <f>IF(B295="","",IF(W295=2,"ROJO",IF(W295=1,"ÁMBAR","VERDE")))</f>
      </c>
      <c r="J295" s="30">
        <f>IF(B295="","",IF(W295=0,"Sin avisos numéricos. Revisamos el alcance aparte.",IF(L295=0,"Faltan datos completos de partida; no elegimos un total por suposición."&amp;CHAR(10),"")&amp;IF(N295&gt;0,"Hay filas incompletas o contradictorias; las revisamos en PEGAR."&amp;CHAR(10),"")&amp;IF(O295&gt;0,"Faltan las medidas de alguna fila; no cerramos la suma."&amp;CHAR(10),"")&amp;IF(M295=0,"No constan líneas de medición."&amp;CHAR(10),"")&amp;IF(IF(ISNUMBER(H295),ROUND(ABS(H295),8)&gt;$F$6,FALSE),"Las líneas difieren del total en más de 0,01; confirmamos cantidad o exclusión."&amp;CHAR(10),"")&amp;IF(P295&gt;0,"Parece m³: encontramos tres dimensiones bajo m²."&amp;CHAR(10),"")&amp;IF(R295&gt;0,"Código repetido dentro del capítulo; mantenemos sus ID separados."&amp;CHAR(10),"")&amp;IF(S295&gt;0,"Código repetido en otro capítulo; no unimos las partidas."&amp;CHAR(10),"")&amp;IF(T295&gt;0,"Mismo código con unidades distintas; pedimos aclaración."&amp;CHAR(10),"")&amp;IF(Q295&gt;0,"Hay más precisión que los decimales indicados; cotejamos el formato original."&amp;CHAR(10),"")&amp;IF(U295&gt;0,"Unidad sin normalizar; cotejamos su significado antes de sumar unidades."&amp;CHAR(10),"")&amp;IF(V295&gt;0,"Revisamos dimensiones, cantidades directas, ceros o deducciones en PEGAR."&amp;CHAR(10),"")))</f>
      </c>
      <c r="K295" s="0">
        <f>IF(283&gt;'RESUMEN'!$E$6,"",MATCH(283,'PEGAR'!$W$13:$W$512,0))</f>
      </c>
      <c r="L295" s="0">
        <f>IF(K295="","",INDEX('PEGAR'!$R$13:$R$512,K295))</f>
      </c>
      <c r="M295" s="0">
        <f>IF(B295="","",COUNTIFS('PEGAR'!$O$13:$O$512,B295,'PEGAR'!$P$13:$P$512,"DIMENSIONES")+COUNTIFS('PEGAR'!$O$13:$O$512,B295,'PEGAR'!$P$13:$P$512,"DIRECTA"))</f>
      </c>
      <c r="N295" s="0">
        <f>IF(B295="","",COUNTIFS('PEGAR'!$O$13:$O$512,B295,'PEGAR'!$X$13:$X$512,2))</f>
      </c>
      <c r="O295" s="0">
        <f>IF(B295="","",COUNTIFS('PEGAR'!$O$13:$O$512,B295,'PEGAR'!$P$13:$P$512,"SIN LÍNEAS"))</f>
      </c>
      <c r="P295" s="0">
        <f>IF(B295="","",SUMIFS('PEGAR'!$Y$13:$Y$512,'PEGAR'!$O$13:$O$512,B295))</f>
      </c>
      <c r="Q295" s="0">
        <f>IF(B295="","",SUMIFS('PEGAR'!$Z$13:$Z$512,'PEGAR'!$O$13:$O$512,B295))</f>
      </c>
      <c r="R295" s="0" t="n">
        <f>IF(OR(B295="",D295=""),0,SUMPRODUCT(--($B$13:$B$512&lt;&gt;""),--($D$13:$D$512=D295),--($C$13:$C$512=C295))-1)</f>
        <v>0</v>
      </c>
      <c r="S295" s="0" t="n">
        <f>IF(OR(B295="",D295=""),0,SUMPRODUCT(--($B$13:$B$512&lt;&gt;""),--($D$13:$D$512=D295),--($C$13:$C$512&lt;&gt;C295)))</f>
        <v>0</v>
      </c>
      <c r="T295" s="0" t="n">
        <f>IF(OR(B295="",D295=""),0,SUMPRODUCT(--($B$13:$B$512&lt;&gt;""),--($D$13:$D$512=D295),--($E$13:$E$512&lt;&gt;E295)))</f>
        <v>0</v>
      </c>
      <c r="U295" s="0" t="n">
        <f>IF(B295="",0,IF(SUMPRODUCT(--('LÉEME'!$C$65:$C$86=E295))=0,1,0))</f>
        <v>0</v>
      </c>
      <c r="V295" s="0">
        <f>IF(B295="","",SUMIFS('PEGAR'!$AA$13:$AA$512,'PEGAR'!$O$13:$O$512,B295))</f>
      </c>
      <c r="W295" s="0">
        <f>IF(B295="","",IF(OR(L295=0,N295&gt;0,T295&gt;0,IF(ISNUMBER(H295),ROUND(ABS(H295),8)&gt;$F$6,FALSE)),2,IF(OR(M295=0,O295&gt;0,P295&gt;0,Q295&gt;0,R295&gt;0,S295&gt;0,U295&gt;0,V295&gt;0),1,0)))</f>
      </c>
      <c r="X295" s="0">
        <f>IF(B295="","",IF(ISNUMBER(G295),1,0))</f>
      </c>
      <c r="AB295" s="0">
        <f>IF(AND(ISNUMBER(W295),W295&gt;0),"ID "&amp;B295,"")</f>
      </c>
      <c r="AC295" s="0">
        <f>IF(AND(ISNUMBER(W295),W295&gt;0),C295,"")</f>
      </c>
      <c r="AD295" s="0">
        <f>IF(AND(ISNUMBER(W295),W295&gt;0),D295,"")</f>
      </c>
      <c r="AE295" s="0">
        <f>IF(AND(ISNUMBER(W295),W295&gt;0),IF(INDEX('PEGAR'!$D$13:$D$512,IF(L295&gt;0,L295,K295))="","Sin descripción",INDEX('PEGAR'!$D$13:$D$512,IF(L295&gt;0,L295,K295))),"")</f>
      </c>
      <c r="AF295" s="0">
        <f>IF(AND(ISNUMBER(W295),W295&gt;0),J295,"")</f>
      </c>
      <c r="AG295" s="0" t="n">
        <f>IF(AND(ISNUMBER(W295),W295&gt;0),W295,0)</f>
        <v>0</v>
      </c>
      <c r="AH295" s="0">
        <f>IF(AG295&gt;0,COUNTIFS($AG$13:AG295,"&gt;0"),"")</f>
      </c>
    </row>
    <row r="296" ht="22" customHeight="1">
      <c r="B296" s="27">
        <f>IF(K296="","",INDEX('PEGAR'!$O$13:$O$512,K296))</f>
      </c>
      <c r="C296" s="30">
        <f>IF(B296="","",IF(LEN(TRIM(INDEX('PEGAR'!$B$13:$B$512,IF(L296&gt;0,L296,K296))&amp;""))=0,"Sin capítulo",TRIM(INDEX('PEGAR'!$B$13:$B$512,IF(L296&gt;0,L296,K296))&amp;"")))</f>
      </c>
      <c r="D296" s="27">
        <f>IF(B296="","",IF(LEN(TRIM(INDEX('PEGAR'!$C$13:$C$512,IF(L296&gt;0,L296,K296))&amp;""))=0,"",TRIM(INDEX('PEGAR'!$C$13:$C$512,IF(L296&gt;0,L296,K296))&amp;"")))</f>
      </c>
      <c r="E296" s="27">
        <f>IF(B296="","",INDEX('PEGAR'!$S$13:$S$512,IF(L296&gt;0,L296,K296)))</f>
      </c>
      <c r="F296" s="39">
        <f>IF(B296="","",IF(L296&gt;0,INDEX('PEGAR'!$F$13:$F$512,L296),""))</f>
      </c>
      <c r="G296" s="39">
        <f>IF(B296="","",IF(OR(M296=0,N296&gt;0,O296&gt;0),"",SUMIFS('PEGAR'!$M$13:$M$512,'PEGAR'!$O$13:$O$512,B296)))</f>
      </c>
      <c r="H296" s="39">
        <f>IF(AND(ISNUMBER(F296),ISNUMBER(G296)),G296-F296,"")</f>
      </c>
      <c r="I296" s="27">
        <f>IF(B296="","",IF(W296=2,"ROJO",IF(W296=1,"ÁMBAR","VERDE")))</f>
      </c>
      <c r="J296" s="30">
        <f>IF(B296="","",IF(W296=0,"Sin avisos numéricos. Revisamos el alcance aparte.",IF(L296=0,"Faltan datos completos de partida; no elegimos un total por suposición."&amp;CHAR(10),"")&amp;IF(N296&gt;0,"Hay filas incompletas o contradictorias; las revisamos en PEGAR."&amp;CHAR(10),"")&amp;IF(O296&gt;0,"Faltan las medidas de alguna fila; no cerramos la suma."&amp;CHAR(10),"")&amp;IF(M296=0,"No constan líneas de medición."&amp;CHAR(10),"")&amp;IF(IF(ISNUMBER(H296),ROUND(ABS(H296),8)&gt;$F$6,FALSE),"Las líneas difieren del total en más de 0,01; confirmamos cantidad o exclusión."&amp;CHAR(10),"")&amp;IF(P296&gt;0,"Parece m³: encontramos tres dimensiones bajo m²."&amp;CHAR(10),"")&amp;IF(R296&gt;0,"Código repetido dentro del capítulo; mantenemos sus ID separados."&amp;CHAR(10),"")&amp;IF(S296&gt;0,"Código repetido en otro capítulo; no unimos las partidas."&amp;CHAR(10),"")&amp;IF(T296&gt;0,"Mismo código con unidades distintas; pedimos aclaración."&amp;CHAR(10),"")&amp;IF(Q296&gt;0,"Hay más precisión que los decimales indicados; cotejamos el formato original."&amp;CHAR(10),"")&amp;IF(U296&gt;0,"Unidad sin normalizar; cotejamos su significado antes de sumar unidades."&amp;CHAR(10),"")&amp;IF(V296&gt;0,"Revisamos dimensiones, cantidades directas, ceros o deducciones en PEGAR."&amp;CHAR(10),"")))</f>
      </c>
      <c r="K296" s="0">
        <f>IF(284&gt;'RESUMEN'!$E$6,"",MATCH(284,'PEGAR'!$W$13:$W$512,0))</f>
      </c>
      <c r="L296" s="0">
        <f>IF(K296="","",INDEX('PEGAR'!$R$13:$R$512,K296))</f>
      </c>
      <c r="M296" s="0">
        <f>IF(B296="","",COUNTIFS('PEGAR'!$O$13:$O$512,B296,'PEGAR'!$P$13:$P$512,"DIMENSIONES")+COUNTIFS('PEGAR'!$O$13:$O$512,B296,'PEGAR'!$P$13:$P$512,"DIRECTA"))</f>
      </c>
      <c r="N296" s="0">
        <f>IF(B296="","",COUNTIFS('PEGAR'!$O$13:$O$512,B296,'PEGAR'!$X$13:$X$512,2))</f>
      </c>
      <c r="O296" s="0">
        <f>IF(B296="","",COUNTIFS('PEGAR'!$O$13:$O$512,B296,'PEGAR'!$P$13:$P$512,"SIN LÍNEAS"))</f>
      </c>
      <c r="P296" s="0">
        <f>IF(B296="","",SUMIFS('PEGAR'!$Y$13:$Y$512,'PEGAR'!$O$13:$O$512,B296))</f>
      </c>
      <c r="Q296" s="0">
        <f>IF(B296="","",SUMIFS('PEGAR'!$Z$13:$Z$512,'PEGAR'!$O$13:$O$512,B296))</f>
      </c>
      <c r="R296" s="0" t="n">
        <f>IF(OR(B296="",D296=""),0,SUMPRODUCT(--($B$13:$B$512&lt;&gt;""),--($D$13:$D$512=D296),--($C$13:$C$512=C296))-1)</f>
        <v>0</v>
      </c>
      <c r="S296" s="0" t="n">
        <f>IF(OR(B296="",D296=""),0,SUMPRODUCT(--($B$13:$B$512&lt;&gt;""),--($D$13:$D$512=D296),--($C$13:$C$512&lt;&gt;C296)))</f>
        <v>0</v>
      </c>
      <c r="T296" s="0" t="n">
        <f>IF(OR(B296="",D296=""),0,SUMPRODUCT(--($B$13:$B$512&lt;&gt;""),--($D$13:$D$512=D296),--($E$13:$E$512&lt;&gt;E296)))</f>
        <v>0</v>
      </c>
      <c r="U296" s="0" t="n">
        <f>IF(B296="",0,IF(SUMPRODUCT(--('LÉEME'!$C$65:$C$86=E296))=0,1,0))</f>
        <v>0</v>
      </c>
      <c r="V296" s="0">
        <f>IF(B296="","",SUMIFS('PEGAR'!$AA$13:$AA$512,'PEGAR'!$O$13:$O$512,B296))</f>
      </c>
      <c r="W296" s="0">
        <f>IF(B296="","",IF(OR(L296=0,N296&gt;0,T296&gt;0,IF(ISNUMBER(H296),ROUND(ABS(H296),8)&gt;$F$6,FALSE)),2,IF(OR(M296=0,O296&gt;0,P296&gt;0,Q296&gt;0,R296&gt;0,S296&gt;0,U296&gt;0,V296&gt;0),1,0)))</f>
      </c>
      <c r="X296" s="0">
        <f>IF(B296="","",IF(ISNUMBER(G296),1,0))</f>
      </c>
      <c r="AB296" s="0">
        <f>IF(AND(ISNUMBER(W296),W296&gt;0),"ID "&amp;B296,"")</f>
      </c>
      <c r="AC296" s="0">
        <f>IF(AND(ISNUMBER(W296),W296&gt;0),C296,"")</f>
      </c>
      <c r="AD296" s="0">
        <f>IF(AND(ISNUMBER(W296),W296&gt;0),D296,"")</f>
      </c>
      <c r="AE296" s="0">
        <f>IF(AND(ISNUMBER(W296),W296&gt;0),IF(INDEX('PEGAR'!$D$13:$D$512,IF(L296&gt;0,L296,K296))="","Sin descripción",INDEX('PEGAR'!$D$13:$D$512,IF(L296&gt;0,L296,K296))),"")</f>
      </c>
      <c r="AF296" s="0">
        <f>IF(AND(ISNUMBER(W296),W296&gt;0),J296,"")</f>
      </c>
      <c r="AG296" s="0" t="n">
        <f>IF(AND(ISNUMBER(W296),W296&gt;0),W296,0)</f>
        <v>0</v>
      </c>
      <c r="AH296" s="0">
        <f>IF(AG296&gt;0,COUNTIFS($AG$13:AG296,"&gt;0"),"")</f>
      </c>
    </row>
    <row r="297" ht="22" customHeight="1">
      <c r="B297" s="27">
        <f>IF(K297="","",INDEX('PEGAR'!$O$13:$O$512,K297))</f>
      </c>
      <c r="C297" s="30">
        <f>IF(B297="","",IF(LEN(TRIM(INDEX('PEGAR'!$B$13:$B$512,IF(L297&gt;0,L297,K297))&amp;""))=0,"Sin capítulo",TRIM(INDEX('PEGAR'!$B$13:$B$512,IF(L297&gt;0,L297,K297))&amp;"")))</f>
      </c>
      <c r="D297" s="27">
        <f>IF(B297="","",IF(LEN(TRIM(INDEX('PEGAR'!$C$13:$C$512,IF(L297&gt;0,L297,K297))&amp;""))=0,"",TRIM(INDEX('PEGAR'!$C$13:$C$512,IF(L297&gt;0,L297,K297))&amp;"")))</f>
      </c>
      <c r="E297" s="27">
        <f>IF(B297="","",INDEX('PEGAR'!$S$13:$S$512,IF(L297&gt;0,L297,K297)))</f>
      </c>
      <c r="F297" s="39">
        <f>IF(B297="","",IF(L297&gt;0,INDEX('PEGAR'!$F$13:$F$512,L297),""))</f>
      </c>
      <c r="G297" s="39">
        <f>IF(B297="","",IF(OR(M297=0,N297&gt;0,O297&gt;0),"",SUMIFS('PEGAR'!$M$13:$M$512,'PEGAR'!$O$13:$O$512,B297)))</f>
      </c>
      <c r="H297" s="39">
        <f>IF(AND(ISNUMBER(F297),ISNUMBER(G297)),G297-F297,"")</f>
      </c>
      <c r="I297" s="27">
        <f>IF(B297="","",IF(W297=2,"ROJO",IF(W297=1,"ÁMBAR","VERDE")))</f>
      </c>
      <c r="J297" s="30">
        <f>IF(B297="","",IF(W297=0,"Sin avisos numéricos. Revisamos el alcance aparte.",IF(L297=0,"Faltan datos completos de partida; no elegimos un total por suposición."&amp;CHAR(10),"")&amp;IF(N297&gt;0,"Hay filas incompletas o contradictorias; las revisamos en PEGAR."&amp;CHAR(10),"")&amp;IF(O297&gt;0,"Faltan las medidas de alguna fila; no cerramos la suma."&amp;CHAR(10),"")&amp;IF(M297=0,"No constan líneas de medición."&amp;CHAR(10),"")&amp;IF(IF(ISNUMBER(H297),ROUND(ABS(H297),8)&gt;$F$6,FALSE),"Las líneas difieren del total en más de 0,01; confirmamos cantidad o exclusión."&amp;CHAR(10),"")&amp;IF(P297&gt;0,"Parece m³: encontramos tres dimensiones bajo m²."&amp;CHAR(10),"")&amp;IF(R297&gt;0,"Código repetido dentro del capítulo; mantenemos sus ID separados."&amp;CHAR(10),"")&amp;IF(S297&gt;0,"Código repetido en otro capítulo; no unimos las partidas."&amp;CHAR(10),"")&amp;IF(T297&gt;0,"Mismo código con unidades distintas; pedimos aclaración."&amp;CHAR(10),"")&amp;IF(Q297&gt;0,"Hay más precisión que los decimales indicados; cotejamos el formato original."&amp;CHAR(10),"")&amp;IF(U297&gt;0,"Unidad sin normalizar; cotejamos su significado antes de sumar unidades."&amp;CHAR(10),"")&amp;IF(V297&gt;0,"Revisamos dimensiones, cantidades directas, ceros o deducciones en PEGAR."&amp;CHAR(10),"")))</f>
      </c>
      <c r="K297" s="0">
        <f>IF(285&gt;'RESUMEN'!$E$6,"",MATCH(285,'PEGAR'!$W$13:$W$512,0))</f>
      </c>
      <c r="L297" s="0">
        <f>IF(K297="","",INDEX('PEGAR'!$R$13:$R$512,K297))</f>
      </c>
      <c r="M297" s="0">
        <f>IF(B297="","",COUNTIFS('PEGAR'!$O$13:$O$512,B297,'PEGAR'!$P$13:$P$512,"DIMENSIONES")+COUNTIFS('PEGAR'!$O$13:$O$512,B297,'PEGAR'!$P$13:$P$512,"DIRECTA"))</f>
      </c>
      <c r="N297" s="0">
        <f>IF(B297="","",COUNTIFS('PEGAR'!$O$13:$O$512,B297,'PEGAR'!$X$13:$X$512,2))</f>
      </c>
      <c r="O297" s="0">
        <f>IF(B297="","",COUNTIFS('PEGAR'!$O$13:$O$512,B297,'PEGAR'!$P$13:$P$512,"SIN LÍNEAS"))</f>
      </c>
      <c r="P297" s="0">
        <f>IF(B297="","",SUMIFS('PEGAR'!$Y$13:$Y$512,'PEGAR'!$O$13:$O$512,B297))</f>
      </c>
      <c r="Q297" s="0">
        <f>IF(B297="","",SUMIFS('PEGAR'!$Z$13:$Z$512,'PEGAR'!$O$13:$O$512,B297))</f>
      </c>
      <c r="R297" s="0" t="n">
        <f>IF(OR(B297="",D297=""),0,SUMPRODUCT(--($B$13:$B$512&lt;&gt;""),--($D$13:$D$512=D297),--($C$13:$C$512=C297))-1)</f>
        <v>0</v>
      </c>
      <c r="S297" s="0" t="n">
        <f>IF(OR(B297="",D297=""),0,SUMPRODUCT(--($B$13:$B$512&lt;&gt;""),--($D$13:$D$512=D297),--($C$13:$C$512&lt;&gt;C297)))</f>
        <v>0</v>
      </c>
      <c r="T297" s="0" t="n">
        <f>IF(OR(B297="",D297=""),0,SUMPRODUCT(--($B$13:$B$512&lt;&gt;""),--($D$13:$D$512=D297),--($E$13:$E$512&lt;&gt;E297)))</f>
        <v>0</v>
      </c>
      <c r="U297" s="0" t="n">
        <f>IF(B297="",0,IF(SUMPRODUCT(--('LÉEME'!$C$65:$C$86=E297))=0,1,0))</f>
        <v>0</v>
      </c>
      <c r="V297" s="0">
        <f>IF(B297="","",SUMIFS('PEGAR'!$AA$13:$AA$512,'PEGAR'!$O$13:$O$512,B297))</f>
      </c>
      <c r="W297" s="0">
        <f>IF(B297="","",IF(OR(L297=0,N297&gt;0,T297&gt;0,IF(ISNUMBER(H297),ROUND(ABS(H297),8)&gt;$F$6,FALSE)),2,IF(OR(M297=0,O297&gt;0,P297&gt;0,Q297&gt;0,R297&gt;0,S297&gt;0,U297&gt;0,V297&gt;0),1,0)))</f>
      </c>
      <c r="X297" s="0">
        <f>IF(B297="","",IF(ISNUMBER(G297),1,0))</f>
      </c>
      <c r="AB297" s="0">
        <f>IF(AND(ISNUMBER(W297),W297&gt;0),"ID "&amp;B297,"")</f>
      </c>
      <c r="AC297" s="0">
        <f>IF(AND(ISNUMBER(W297),W297&gt;0),C297,"")</f>
      </c>
      <c r="AD297" s="0">
        <f>IF(AND(ISNUMBER(W297),W297&gt;0),D297,"")</f>
      </c>
      <c r="AE297" s="0">
        <f>IF(AND(ISNUMBER(W297),W297&gt;0),IF(INDEX('PEGAR'!$D$13:$D$512,IF(L297&gt;0,L297,K297))="","Sin descripción",INDEX('PEGAR'!$D$13:$D$512,IF(L297&gt;0,L297,K297))),"")</f>
      </c>
      <c r="AF297" s="0">
        <f>IF(AND(ISNUMBER(W297),W297&gt;0),J297,"")</f>
      </c>
      <c r="AG297" s="0" t="n">
        <f>IF(AND(ISNUMBER(W297),W297&gt;0),W297,0)</f>
        <v>0</v>
      </c>
      <c r="AH297" s="0">
        <f>IF(AG297&gt;0,COUNTIFS($AG$13:AG297,"&gt;0"),"")</f>
      </c>
    </row>
    <row r="298" ht="22" customHeight="1">
      <c r="B298" s="27">
        <f>IF(K298="","",INDEX('PEGAR'!$O$13:$O$512,K298))</f>
      </c>
      <c r="C298" s="30">
        <f>IF(B298="","",IF(LEN(TRIM(INDEX('PEGAR'!$B$13:$B$512,IF(L298&gt;0,L298,K298))&amp;""))=0,"Sin capítulo",TRIM(INDEX('PEGAR'!$B$13:$B$512,IF(L298&gt;0,L298,K298))&amp;"")))</f>
      </c>
      <c r="D298" s="27">
        <f>IF(B298="","",IF(LEN(TRIM(INDEX('PEGAR'!$C$13:$C$512,IF(L298&gt;0,L298,K298))&amp;""))=0,"",TRIM(INDEX('PEGAR'!$C$13:$C$512,IF(L298&gt;0,L298,K298))&amp;"")))</f>
      </c>
      <c r="E298" s="27">
        <f>IF(B298="","",INDEX('PEGAR'!$S$13:$S$512,IF(L298&gt;0,L298,K298)))</f>
      </c>
      <c r="F298" s="39">
        <f>IF(B298="","",IF(L298&gt;0,INDEX('PEGAR'!$F$13:$F$512,L298),""))</f>
      </c>
      <c r="G298" s="39">
        <f>IF(B298="","",IF(OR(M298=0,N298&gt;0,O298&gt;0),"",SUMIFS('PEGAR'!$M$13:$M$512,'PEGAR'!$O$13:$O$512,B298)))</f>
      </c>
      <c r="H298" s="39">
        <f>IF(AND(ISNUMBER(F298),ISNUMBER(G298)),G298-F298,"")</f>
      </c>
      <c r="I298" s="27">
        <f>IF(B298="","",IF(W298=2,"ROJO",IF(W298=1,"ÁMBAR","VERDE")))</f>
      </c>
      <c r="J298" s="30">
        <f>IF(B298="","",IF(W298=0,"Sin avisos numéricos. Revisamos el alcance aparte.",IF(L298=0,"Faltan datos completos de partida; no elegimos un total por suposición."&amp;CHAR(10),"")&amp;IF(N298&gt;0,"Hay filas incompletas o contradictorias; las revisamos en PEGAR."&amp;CHAR(10),"")&amp;IF(O298&gt;0,"Faltan las medidas de alguna fila; no cerramos la suma."&amp;CHAR(10),"")&amp;IF(M298=0,"No constan líneas de medición."&amp;CHAR(10),"")&amp;IF(IF(ISNUMBER(H298),ROUND(ABS(H298),8)&gt;$F$6,FALSE),"Las líneas difieren del total en más de 0,01; confirmamos cantidad o exclusión."&amp;CHAR(10),"")&amp;IF(P298&gt;0,"Parece m³: encontramos tres dimensiones bajo m²."&amp;CHAR(10),"")&amp;IF(R298&gt;0,"Código repetido dentro del capítulo; mantenemos sus ID separados."&amp;CHAR(10),"")&amp;IF(S298&gt;0,"Código repetido en otro capítulo; no unimos las partidas."&amp;CHAR(10),"")&amp;IF(T298&gt;0,"Mismo código con unidades distintas; pedimos aclaración."&amp;CHAR(10),"")&amp;IF(Q298&gt;0,"Hay más precisión que los decimales indicados; cotejamos el formato original."&amp;CHAR(10),"")&amp;IF(U298&gt;0,"Unidad sin normalizar; cotejamos su significado antes de sumar unidades."&amp;CHAR(10),"")&amp;IF(V298&gt;0,"Revisamos dimensiones, cantidades directas, ceros o deducciones en PEGAR."&amp;CHAR(10),"")))</f>
      </c>
      <c r="K298" s="0">
        <f>IF(286&gt;'RESUMEN'!$E$6,"",MATCH(286,'PEGAR'!$W$13:$W$512,0))</f>
      </c>
      <c r="L298" s="0">
        <f>IF(K298="","",INDEX('PEGAR'!$R$13:$R$512,K298))</f>
      </c>
      <c r="M298" s="0">
        <f>IF(B298="","",COUNTIFS('PEGAR'!$O$13:$O$512,B298,'PEGAR'!$P$13:$P$512,"DIMENSIONES")+COUNTIFS('PEGAR'!$O$13:$O$512,B298,'PEGAR'!$P$13:$P$512,"DIRECTA"))</f>
      </c>
      <c r="N298" s="0">
        <f>IF(B298="","",COUNTIFS('PEGAR'!$O$13:$O$512,B298,'PEGAR'!$X$13:$X$512,2))</f>
      </c>
      <c r="O298" s="0">
        <f>IF(B298="","",COUNTIFS('PEGAR'!$O$13:$O$512,B298,'PEGAR'!$P$13:$P$512,"SIN LÍNEAS"))</f>
      </c>
      <c r="P298" s="0">
        <f>IF(B298="","",SUMIFS('PEGAR'!$Y$13:$Y$512,'PEGAR'!$O$13:$O$512,B298))</f>
      </c>
      <c r="Q298" s="0">
        <f>IF(B298="","",SUMIFS('PEGAR'!$Z$13:$Z$512,'PEGAR'!$O$13:$O$512,B298))</f>
      </c>
      <c r="R298" s="0" t="n">
        <f>IF(OR(B298="",D298=""),0,SUMPRODUCT(--($B$13:$B$512&lt;&gt;""),--($D$13:$D$512=D298),--($C$13:$C$512=C298))-1)</f>
        <v>0</v>
      </c>
      <c r="S298" s="0" t="n">
        <f>IF(OR(B298="",D298=""),0,SUMPRODUCT(--($B$13:$B$512&lt;&gt;""),--($D$13:$D$512=D298),--($C$13:$C$512&lt;&gt;C298)))</f>
        <v>0</v>
      </c>
      <c r="T298" s="0" t="n">
        <f>IF(OR(B298="",D298=""),0,SUMPRODUCT(--($B$13:$B$512&lt;&gt;""),--($D$13:$D$512=D298),--($E$13:$E$512&lt;&gt;E298)))</f>
        <v>0</v>
      </c>
      <c r="U298" s="0" t="n">
        <f>IF(B298="",0,IF(SUMPRODUCT(--('LÉEME'!$C$65:$C$86=E298))=0,1,0))</f>
        <v>0</v>
      </c>
      <c r="V298" s="0">
        <f>IF(B298="","",SUMIFS('PEGAR'!$AA$13:$AA$512,'PEGAR'!$O$13:$O$512,B298))</f>
      </c>
      <c r="W298" s="0">
        <f>IF(B298="","",IF(OR(L298=0,N298&gt;0,T298&gt;0,IF(ISNUMBER(H298),ROUND(ABS(H298),8)&gt;$F$6,FALSE)),2,IF(OR(M298=0,O298&gt;0,P298&gt;0,Q298&gt;0,R298&gt;0,S298&gt;0,U298&gt;0,V298&gt;0),1,0)))</f>
      </c>
      <c r="X298" s="0">
        <f>IF(B298="","",IF(ISNUMBER(G298),1,0))</f>
      </c>
      <c r="AB298" s="0">
        <f>IF(AND(ISNUMBER(W298),W298&gt;0),"ID "&amp;B298,"")</f>
      </c>
      <c r="AC298" s="0">
        <f>IF(AND(ISNUMBER(W298),W298&gt;0),C298,"")</f>
      </c>
      <c r="AD298" s="0">
        <f>IF(AND(ISNUMBER(W298),W298&gt;0),D298,"")</f>
      </c>
      <c r="AE298" s="0">
        <f>IF(AND(ISNUMBER(W298),W298&gt;0),IF(INDEX('PEGAR'!$D$13:$D$512,IF(L298&gt;0,L298,K298))="","Sin descripción",INDEX('PEGAR'!$D$13:$D$512,IF(L298&gt;0,L298,K298))),"")</f>
      </c>
      <c r="AF298" s="0">
        <f>IF(AND(ISNUMBER(W298),W298&gt;0),J298,"")</f>
      </c>
      <c r="AG298" s="0" t="n">
        <f>IF(AND(ISNUMBER(W298),W298&gt;0),W298,0)</f>
        <v>0</v>
      </c>
      <c r="AH298" s="0">
        <f>IF(AG298&gt;0,COUNTIFS($AG$13:AG298,"&gt;0"),"")</f>
      </c>
    </row>
    <row r="299" ht="22" customHeight="1">
      <c r="B299" s="27">
        <f>IF(K299="","",INDEX('PEGAR'!$O$13:$O$512,K299))</f>
      </c>
      <c r="C299" s="30">
        <f>IF(B299="","",IF(LEN(TRIM(INDEX('PEGAR'!$B$13:$B$512,IF(L299&gt;0,L299,K299))&amp;""))=0,"Sin capítulo",TRIM(INDEX('PEGAR'!$B$13:$B$512,IF(L299&gt;0,L299,K299))&amp;"")))</f>
      </c>
      <c r="D299" s="27">
        <f>IF(B299="","",IF(LEN(TRIM(INDEX('PEGAR'!$C$13:$C$512,IF(L299&gt;0,L299,K299))&amp;""))=0,"",TRIM(INDEX('PEGAR'!$C$13:$C$512,IF(L299&gt;0,L299,K299))&amp;"")))</f>
      </c>
      <c r="E299" s="27">
        <f>IF(B299="","",INDEX('PEGAR'!$S$13:$S$512,IF(L299&gt;0,L299,K299)))</f>
      </c>
      <c r="F299" s="39">
        <f>IF(B299="","",IF(L299&gt;0,INDEX('PEGAR'!$F$13:$F$512,L299),""))</f>
      </c>
      <c r="G299" s="39">
        <f>IF(B299="","",IF(OR(M299=0,N299&gt;0,O299&gt;0),"",SUMIFS('PEGAR'!$M$13:$M$512,'PEGAR'!$O$13:$O$512,B299)))</f>
      </c>
      <c r="H299" s="39">
        <f>IF(AND(ISNUMBER(F299),ISNUMBER(G299)),G299-F299,"")</f>
      </c>
      <c r="I299" s="27">
        <f>IF(B299="","",IF(W299=2,"ROJO",IF(W299=1,"ÁMBAR","VERDE")))</f>
      </c>
      <c r="J299" s="30">
        <f>IF(B299="","",IF(W299=0,"Sin avisos numéricos. Revisamos el alcance aparte.",IF(L299=0,"Faltan datos completos de partida; no elegimos un total por suposición."&amp;CHAR(10),"")&amp;IF(N299&gt;0,"Hay filas incompletas o contradictorias; las revisamos en PEGAR."&amp;CHAR(10),"")&amp;IF(O299&gt;0,"Faltan las medidas de alguna fila; no cerramos la suma."&amp;CHAR(10),"")&amp;IF(M299=0,"No constan líneas de medición."&amp;CHAR(10),"")&amp;IF(IF(ISNUMBER(H299),ROUND(ABS(H299),8)&gt;$F$6,FALSE),"Las líneas difieren del total en más de 0,01; confirmamos cantidad o exclusión."&amp;CHAR(10),"")&amp;IF(P299&gt;0,"Parece m³: encontramos tres dimensiones bajo m²."&amp;CHAR(10),"")&amp;IF(R299&gt;0,"Código repetido dentro del capítulo; mantenemos sus ID separados."&amp;CHAR(10),"")&amp;IF(S299&gt;0,"Código repetido en otro capítulo; no unimos las partidas."&amp;CHAR(10),"")&amp;IF(T299&gt;0,"Mismo código con unidades distintas; pedimos aclaración."&amp;CHAR(10),"")&amp;IF(Q299&gt;0,"Hay más precisión que los decimales indicados; cotejamos el formato original."&amp;CHAR(10),"")&amp;IF(U299&gt;0,"Unidad sin normalizar; cotejamos su significado antes de sumar unidades."&amp;CHAR(10),"")&amp;IF(V299&gt;0,"Revisamos dimensiones, cantidades directas, ceros o deducciones en PEGAR."&amp;CHAR(10),"")))</f>
      </c>
      <c r="K299" s="0">
        <f>IF(287&gt;'RESUMEN'!$E$6,"",MATCH(287,'PEGAR'!$W$13:$W$512,0))</f>
      </c>
      <c r="L299" s="0">
        <f>IF(K299="","",INDEX('PEGAR'!$R$13:$R$512,K299))</f>
      </c>
      <c r="M299" s="0">
        <f>IF(B299="","",COUNTIFS('PEGAR'!$O$13:$O$512,B299,'PEGAR'!$P$13:$P$512,"DIMENSIONES")+COUNTIFS('PEGAR'!$O$13:$O$512,B299,'PEGAR'!$P$13:$P$512,"DIRECTA"))</f>
      </c>
      <c r="N299" s="0">
        <f>IF(B299="","",COUNTIFS('PEGAR'!$O$13:$O$512,B299,'PEGAR'!$X$13:$X$512,2))</f>
      </c>
      <c r="O299" s="0">
        <f>IF(B299="","",COUNTIFS('PEGAR'!$O$13:$O$512,B299,'PEGAR'!$P$13:$P$512,"SIN LÍNEAS"))</f>
      </c>
      <c r="P299" s="0">
        <f>IF(B299="","",SUMIFS('PEGAR'!$Y$13:$Y$512,'PEGAR'!$O$13:$O$512,B299))</f>
      </c>
      <c r="Q299" s="0">
        <f>IF(B299="","",SUMIFS('PEGAR'!$Z$13:$Z$512,'PEGAR'!$O$13:$O$512,B299))</f>
      </c>
      <c r="R299" s="0" t="n">
        <f>IF(OR(B299="",D299=""),0,SUMPRODUCT(--($B$13:$B$512&lt;&gt;""),--($D$13:$D$512=D299),--($C$13:$C$512=C299))-1)</f>
        <v>0</v>
      </c>
      <c r="S299" s="0" t="n">
        <f>IF(OR(B299="",D299=""),0,SUMPRODUCT(--($B$13:$B$512&lt;&gt;""),--($D$13:$D$512=D299),--($C$13:$C$512&lt;&gt;C299)))</f>
        <v>0</v>
      </c>
      <c r="T299" s="0" t="n">
        <f>IF(OR(B299="",D299=""),0,SUMPRODUCT(--($B$13:$B$512&lt;&gt;""),--($D$13:$D$512=D299),--($E$13:$E$512&lt;&gt;E299)))</f>
        <v>0</v>
      </c>
      <c r="U299" s="0" t="n">
        <f>IF(B299="",0,IF(SUMPRODUCT(--('LÉEME'!$C$65:$C$86=E299))=0,1,0))</f>
        <v>0</v>
      </c>
      <c r="V299" s="0">
        <f>IF(B299="","",SUMIFS('PEGAR'!$AA$13:$AA$512,'PEGAR'!$O$13:$O$512,B299))</f>
      </c>
      <c r="W299" s="0">
        <f>IF(B299="","",IF(OR(L299=0,N299&gt;0,T299&gt;0,IF(ISNUMBER(H299),ROUND(ABS(H299),8)&gt;$F$6,FALSE)),2,IF(OR(M299=0,O299&gt;0,P299&gt;0,Q299&gt;0,R299&gt;0,S299&gt;0,U299&gt;0,V299&gt;0),1,0)))</f>
      </c>
      <c r="X299" s="0">
        <f>IF(B299="","",IF(ISNUMBER(G299),1,0))</f>
      </c>
      <c r="AB299" s="0">
        <f>IF(AND(ISNUMBER(W299),W299&gt;0),"ID "&amp;B299,"")</f>
      </c>
      <c r="AC299" s="0">
        <f>IF(AND(ISNUMBER(W299),W299&gt;0),C299,"")</f>
      </c>
      <c r="AD299" s="0">
        <f>IF(AND(ISNUMBER(W299),W299&gt;0),D299,"")</f>
      </c>
      <c r="AE299" s="0">
        <f>IF(AND(ISNUMBER(W299),W299&gt;0),IF(INDEX('PEGAR'!$D$13:$D$512,IF(L299&gt;0,L299,K299))="","Sin descripción",INDEX('PEGAR'!$D$13:$D$512,IF(L299&gt;0,L299,K299))),"")</f>
      </c>
      <c r="AF299" s="0">
        <f>IF(AND(ISNUMBER(W299),W299&gt;0),J299,"")</f>
      </c>
      <c r="AG299" s="0" t="n">
        <f>IF(AND(ISNUMBER(W299),W299&gt;0),W299,0)</f>
        <v>0</v>
      </c>
      <c r="AH299" s="0">
        <f>IF(AG299&gt;0,COUNTIFS($AG$13:AG299,"&gt;0"),"")</f>
      </c>
    </row>
    <row r="300" ht="22" customHeight="1">
      <c r="B300" s="27">
        <f>IF(K300="","",INDEX('PEGAR'!$O$13:$O$512,K300))</f>
      </c>
      <c r="C300" s="30">
        <f>IF(B300="","",IF(LEN(TRIM(INDEX('PEGAR'!$B$13:$B$512,IF(L300&gt;0,L300,K300))&amp;""))=0,"Sin capítulo",TRIM(INDEX('PEGAR'!$B$13:$B$512,IF(L300&gt;0,L300,K300))&amp;"")))</f>
      </c>
      <c r="D300" s="27">
        <f>IF(B300="","",IF(LEN(TRIM(INDEX('PEGAR'!$C$13:$C$512,IF(L300&gt;0,L300,K300))&amp;""))=0,"",TRIM(INDEX('PEGAR'!$C$13:$C$512,IF(L300&gt;0,L300,K300))&amp;"")))</f>
      </c>
      <c r="E300" s="27">
        <f>IF(B300="","",INDEX('PEGAR'!$S$13:$S$512,IF(L300&gt;0,L300,K300)))</f>
      </c>
      <c r="F300" s="39">
        <f>IF(B300="","",IF(L300&gt;0,INDEX('PEGAR'!$F$13:$F$512,L300),""))</f>
      </c>
      <c r="G300" s="39">
        <f>IF(B300="","",IF(OR(M300=0,N300&gt;0,O300&gt;0),"",SUMIFS('PEGAR'!$M$13:$M$512,'PEGAR'!$O$13:$O$512,B300)))</f>
      </c>
      <c r="H300" s="39">
        <f>IF(AND(ISNUMBER(F300),ISNUMBER(G300)),G300-F300,"")</f>
      </c>
      <c r="I300" s="27">
        <f>IF(B300="","",IF(W300=2,"ROJO",IF(W300=1,"ÁMBAR","VERDE")))</f>
      </c>
      <c r="J300" s="30">
        <f>IF(B300="","",IF(W300=0,"Sin avisos numéricos. Revisamos el alcance aparte.",IF(L300=0,"Faltan datos completos de partida; no elegimos un total por suposición."&amp;CHAR(10),"")&amp;IF(N300&gt;0,"Hay filas incompletas o contradictorias; las revisamos en PEGAR."&amp;CHAR(10),"")&amp;IF(O300&gt;0,"Faltan las medidas de alguna fila; no cerramos la suma."&amp;CHAR(10),"")&amp;IF(M300=0,"No constan líneas de medición."&amp;CHAR(10),"")&amp;IF(IF(ISNUMBER(H300),ROUND(ABS(H300),8)&gt;$F$6,FALSE),"Las líneas difieren del total en más de 0,01; confirmamos cantidad o exclusión."&amp;CHAR(10),"")&amp;IF(P300&gt;0,"Parece m³: encontramos tres dimensiones bajo m²."&amp;CHAR(10),"")&amp;IF(R300&gt;0,"Código repetido dentro del capítulo; mantenemos sus ID separados."&amp;CHAR(10),"")&amp;IF(S300&gt;0,"Código repetido en otro capítulo; no unimos las partidas."&amp;CHAR(10),"")&amp;IF(T300&gt;0,"Mismo código con unidades distintas; pedimos aclaración."&amp;CHAR(10),"")&amp;IF(Q300&gt;0,"Hay más precisión que los decimales indicados; cotejamos el formato original."&amp;CHAR(10),"")&amp;IF(U300&gt;0,"Unidad sin normalizar; cotejamos su significado antes de sumar unidades."&amp;CHAR(10),"")&amp;IF(V300&gt;0,"Revisamos dimensiones, cantidades directas, ceros o deducciones en PEGAR."&amp;CHAR(10),"")))</f>
      </c>
      <c r="K300" s="0">
        <f>IF(288&gt;'RESUMEN'!$E$6,"",MATCH(288,'PEGAR'!$W$13:$W$512,0))</f>
      </c>
      <c r="L300" s="0">
        <f>IF(K300="","",INDEX('PEGAR'!$R$13:$R$512,K300))</f>
      </c>
      <c r="M300" s="0">
        <f>IF(B300="","",COUNTIFS('PEGAR'!$O$13:$O$512,B300,'PEGAR'!$P$13:$P$512,"DIMENSIONES")+COUNTIFS('PEGAR'!$O$13:$O$512,B300,'PEGAR'!$P$13:$P$512,"DIRECTA"))</f>
      </c>
      <c r="N300" s="0">
        <f>IF(B300="","",COUNTIFS('PEGAR'!$O$13:$O$512,B300,'PEGAR'!$X$13:$X$512,2))</f>
      </c>
      <c r="O300" s="0">
        <f>IF(B300="","",COUNTIFS('PEGAR'!$O$13:$O$512,B300,'PEGAR'!$P$13:$P$512,"SIN LÍNEAS"))</f>
      </c>
      <c r="P300" s="0">
        <f>IF(B300="","",SUMIFS('PEGAR'!$Y$13:$Y$512,'PEGAR'!$O$13:$O$512,B300))</f>
      </c>
      <c r="Q300" s="0">
        <f>IF(B300="","",SUMIFS('PEGAR'!$Z$13:$Z$512,'PEGAR'!$O$13:$O$512,B300))</f>
      </c>
      <c r="R300" s="0" t="n">
        <f>IF(OR(B300="",D300=""),0,SUMPRODUCT(--($B$13:$B$512&lt;&gt;""),--($D$13:$D$512=D300),--($C$13:$C$512=C300))-1)</f>
        <v>0</v>
      </c>
      <c r="S300" s="0" t="n">
        <f>IF(OR(B300="",D300=""),0,SUMPRODUCT(--($B$13:$B$512&lt;&gt;""),--($D$13:$D$512=D300),--($C$13:$C$512&lt;&gt;C300)))</f>
        <v>0</v>
      </c>
      <c r="T300" s="0" t="n">
        <f>IF(OR(B300="",D300=""),0,SUMPRODUCT(--($B$13:$B$512&lt;&gt;""),--($D$13:$D$512=D300),--($E$13:$E$512&lt;&gt;E300)))</f>
        <v>0</v>
      </c>
      <c r="U300" s="0" t="n">
        <f>IF(B300="",0,IF(SUMPRODUCT(--('LÉEME'!$C$65:$C$86=E300))=0,1,0))</f>
        <v>0</v>
      </c>
      <c r="V300" s="0">
        <f>IF(B300="","",SUMIFS('PEGAR'!$AA$13:$AA$512,'PEGAR'!$O$13:$O$512,B300))</f>
      </c>
      <c r="W300" s="0">
        <f>IF(B300="","",IF(OR(L300=0,N300&gt;0,T300&gt;0,IF(ISNUMBER(H300),ROUND(ABS(H300),8)&gt;$F$6,FALSE)),2,IF(OR(M300=0,O300&gt;0,P300&gt;0,Q300&gt;0,R300&gt;0,S300&gt;0,U300&gt;0,V300&gt;0),1,0)))</f>
      </c>
      <c r="X300" s="0">
        <f>IF(B300="","",IF(ISNUMBER(G300),1,0))</f>
      </c>
      <c r="AB300" s="0">
        <f>IF(AND(ISNUMBER(W300),W300&gt;0),"ID "&amp;B300,"")</f>
      </c>
      <c r="AC300" s="0">
        <f>IF(AND(ISNUMBER(W300),W300&gt;0),C300,"")</f>
      </c>
      <c r="AD300" s="0">
        <f>IF(AND(ISNUMBER(W300),W300&gt;0),D300,"")</f>
      </c>
      <c r="AE300" s="0">
        <f>IF(AND(ISNUMBER(W300),W300&gt;0),IF(INDEX('PEGAR'!$D$13:$D$512,IF(L300&gt;0,L300,K300))="","Sin descripción",INDEX('PEGAR'!$D$13:$D$512,IF(L300&gt;0,L300,K300))),"")</f>
      </c>
      <c r="AF300" s="0">
        <f>IF(AND(ISNUMBER(W300),W300&gt;0),J300,"")</f>
      </c>
      <c r="AG300" s="0" t="n">
        <f>IF(AND(ISNUMBER(W300),W300&gt;0),W300,0)</f>
        <v>0</v>
      </c>
      <c r="AH300" s="0">
        <f>IF(AG300&gt;0,COUNTIFS($AG$13:AG300,"&gt;0"),"")</f>
      </c>
    </row>
    <row r="301" ht="22" customHeight="1">
      <c r="B301" s="27">
        <f>IF(K301="","",INDEX('PEGAR'!$O$13:$O$512,K301))</f>
      </c>
      <c r="C301" s="30">
        <f>IF(B301="","",IF(LEN(TRIM(INDEX('PEGAR'!$B$13:$B$512,IF(L301&gt;0,L301,K301))&amp;""))=0,"Sin capítulo",TRIM(INDEX('PEGAR'!$B$13:$B$512,IF(L301&gt;0,L301,K301))&amp;"")))</f>
      </c>
      <c r="D301" s="27">
        <f>IF(B301="","",IF(LEN(TRIM(INDEX('PEGAR'!$C$13:$C$512,IF(L301&gt;0,L301,K301))&amp;""))=0,"",TRIM(INDEX('PEGAR'!$C$13:$C$512,IF(L301&gt;0,L301,K301))&amp;"")))</f>
      </c>
      <c r="E301" s="27">
        <f>IF(B301="","",INDEX('PEGAR'!$S$13:$S$512,IF(L301&gt;0,L301,K301)))</f>
      </c>
      <c r="F301" s="39">
        <f>IF(B301="","",IF(L301&gt;0,INDEX('PEGAR'!$F$13:$F$512,L301),""))</f>
      </c>
      <c r="G301" s="39">
        <f>IF(B301="","",IF(OR(M301=0,N301&gt;0,O301&gt;0),"",SUMIFS('PEGAR'!$M$13:$M$512,'PEGAR'!$O$13:$O$512,B301)))</f>
      </c>
      <c r="H301" s="39">
        <f>IF(AND(ISNUMBER(F301),ISNUMBER(G301)),G301-F301,"")</f>
      </c>
      <c r="I301" s="27">
        <f>IF(B301="","",IF(W301=2,"ROJO",IF(W301=1,"ÁMBAR","VERDE")))</f>
      </c>
      <c r="J301" s="30">
        <f>IF(B301="","",IF(W301=0,"Sin avisos numéricos. Revisamos el alcance aparte.",IF(L301=0,"Faltan datos completos de partida; no elegimos un total por suposición."&amp;CHAR(10),"")&amp;IF(N301&gt;0,"Hay filas incompletas o contradictorias; las revisamos en PEGAR."&amp;CHAR(10),"")&amp;IF(O301&gt;0,"Faltan las medidas de alguna fila; no cerramos la suma."&amp;CHAR(10),"")&amp;IF(M301=0,"No constan líneas de medición."&amp;CHAR(10),"")&amp;IF(IF(ISNUMBER(H301),ROUND(ABS(H301),8)&gt;$F$6,FALSE),"Las líneas difieren del total en más de 0,01; confirmamos cantidad o exclusión."&amp;CHAR(10),"")&amp;IF(P301&gt;0,"Parece m³: encontramos tres dimensiones bajo m²."&amp;CHAR(10),"")&amp;IF(R301&gt;0,"Código repetido dentro del capítulo; mantenemos sus ID separados."&amp;CHAR(10),"")&amp;IF(S301&gt;0,"Código repetido en otro capítulo; no unimos las partidas."&amp;CHAR(10),"")&amp;IF(T301&gt;0,"Mismo código con unidades distintas; pedimos aclaración."&amp;CHAR(10),"")&amp;IF(Q301&gt;0,"Hay más precisión que los decimales indicados; cotejamos el formato original."&amp;CHAR(10),"")&amp;IF(U301&gt;0,"Unidad sin normalizar; cotejamos su significado antes de sumar unidades."&amp;CHAR(10),"")&amp;IF(V301&gt;0,"Revisamos dimensiones, cantidades directas, ceros o deducciones en PEGAR."&amp;CHAR(10),"")))</f>
      </c>
      <c r="K301" s="0">
        <f>IF(289&gt;'RESUMEN'!$E$6,"",MATCH(289,'PEGAR'!$W$13:$W$512,0))</f>
      </c>
      <c r="L301" s="0">
        <f>IF(K301="","",INDEX('PEGAR'!$R$13:$R$512,K301))</f>
      </c>
      <c r="M301" s="0">
        <f>IF(B301="","",COUNTIFS('PEGAR'!$O$13:$O$512,B301,'PEGAR'!$P$13:$P$512,"DIMENSIONES")+COUNTIFS('PEGAR'!$O$13:$O$512,B301,'PEGAR'!$P$13:$P$512,"DIRECTA"))</f>
      </c>
      <c r="N301" s="0">
        <f>IF(B301="","",COUNTIFS('PEGAR'!$O$13:$O$512,B301,'PEGAR'!$X$13:$X$512,2))</f>
      </c>
      <c r="O301" s="0">
        <f>IF(B301="","",COUNTIFS('PEGAR'!$O$13:$O$512,B301,'PEGAR'!$P$13:$P$512,"SIN LÍNEAS"))</f>
      </c>
      <c r="P301" s="0">
        <f>IF(B301="","",SUMIFS('PEGAR'!$Y$13:$Y$512,'PEGAR'!$O$13:$O$512,B301))</f>
      </c>
      <c r="Q301" s="0">
        <f>IF(B301="","",SUMIFS('PEGAR'!$Z$13:$Z$512,'PEGAR'!$O$13:$O$512,B301))</f>
      </c>
      <c r="R301" s="0" t="n">
        <f>IF(OR(B301="",D301=""),0,SUMPRODUCT(--($B$13:$B$512&lt;&gt;""),--($D$13:$D$512=D301),--($C$13:$C$512=C301))-1)</f>
        <v>0</v>
      </c>
      <c r="S301" s="0" t="n">
        <f>IF(OR(B301="",D301=""),0,SUMPRODUCT(--($B$13:$B$512&lt;&gt;""),--($D$13:$D$512=D301),--($C$13:$C$512&lt;&gt;C301)))</f>
        <v>0</v>
      </c>
      <c r="T301" s="0" t="n">
        <f>IF(OR(B301="",D301=""),0,SUMPRODUCT(--($B$13:$B$512&lt;&gt;""),--($D$13:$D$512=D301),--($E$13:$E$512&lt;&gt;E301)))</f>
        <v>0</v>
      </c>
      <c r="U301" s="0" t="n">
        <f>IF(B301="",0,IF(SUMPRODUCT(--('LÉEME'!$C$65:$C$86=E301))=0,1,0))</f>
        <v>0</v>
      </c>
      <c r="V301" s="0">
        <f>IF(B301="","",SUMIFS('PEGAR'!$AA$13:$AA$512,'PEGAR'!$O$13:$O$512,B301))</f>
      </c>
      <c r="W301" s="0">
        <f>IF(B301="","",IF(OR(L301=0,N301&gt;0,T301&gt;0,IF(ISNUMBER(H301),ROUND(ABS(H301),8)&gt;$F$6,FALSE)),2,IF(OR(M301=0,O301&gt;0,P301&gt;0,Q301&gt;0,R301&gt;0,S301&gt;0,U301&gt;0,V301&gt;0),1,0)))</f>
      </c>
      <c r="X301" s="0">
        <f>IF(B301="","",IF(ISNUMBER(G301),1,0))</f>
      </c>
      <c r="AB301" s="0">
        <f>IF(AND(ISNUMBER(W301),W301&gt;0),"ID "&amp;B301,"")</f>
      </c>
      <c r="AC301" s="0">
        <f>IF(AND(ISNUMBER(W301),W301&gt;0),C301,"")</f>
      </c>
      <c r="AD301" s="0">
        <f>IF(AND(ISNUMBER(W301),W301&gt;0),D301,"")</f>
      </c>
      <c r="AE301" s="0">
        <f>IF(AND(ISNUMBER(W301),W301&gt;0),IF(INDEX('PEGAR'!$D$13:$D$512,IF(L301&gt;0,L301,K301))="","Sin descripción",INDEX('PEGAR'!$D$13:$D$512,IF(L301&gt;0,L301,K301))),"")</f>
      </c>
      <c r="AF301" s="0">
        <f>IF(AND(ISNUMBER(W301),W301&gt;0),J301,"")</f>
      </c>
      <c r="AG301" s="0" t="n">
        <f>IF(AND(ISNUMBER(W301),W301&gt;0),W301,0)</f>
        <v>0</v>
      </c>
      <c r="AH301" s="0">
        <f>IF(AG301&gt;0,COUNTIFS($AG$13:AG301,"&gt;0"),"")</f>
      </c>
    </row>
    <row r="302" ht="22" customHeight="1">
      <c r="B302" s="27">
        <f>IF(K302="","",INDEX('PEGAR'!$O$13:$O$512,K302))</f>
      </c>
      <c r="C302" s="30">
        <f>IF(B302="","",IF(LEN(TRIM(INDEX('PEGAR'!$B$13:$B$512,IF(L302&gt;0,L302,K302))&amp;""))=0,"Sin capítulo",TRIM(INDEX('PEGAR'!$B$13:$B$512,IF(L302&gt;0,L302,K302))&amp;"")))</f>
      </c>
      <c r="D302" s="27">
        <f>IF(B302="","",IF(LEN(TRIM(INDEX('PEGAR'!$C$13:$C$512,IF(L302&gt;0,L302,K302))&amp;""))=0,"",TRIM(INDEX('PEGAR'!$C$13:$C$512,IF(L302&gt;0,L302,K302))&amp;"")))</f>
      </c>
      <c r="E302" s="27">
        <f>IF(B302="","",INDEX('PEGAR'!$S$13:$S$512,IF(L302&gt;0,L302,K302)))</f>
      </c>
      <c r="F302" s="39">
        <f>IF(B302="","",IF(L302&gt;0,INDEX('PEGAR'!$F$13:$F$512,L302),""))</f>
      </c>
      <c r="G302" s="39">
        <f>IF(B302="","",IF(OR(M302=0,N302&gt;0,O302&gt;0),"",SUMIFS('PEGAR'!$M$13:$M$512,'PEGAR'!$O$13:$O$512,B302)))</f>
      </c>
      <c r="H302" s="39">
        <f>IF(AND(ISNUMBER(F302),ISNUMBER(G302)),G302-F302,"")</f>
      </c>
      <c r="I302" s="27">
        <f>IF(B302="","",IF(W302=2,"ROJO",IF(W302=1,"ÁMBAR","VERDE")))</f>
      </c>
      <c r="J302" s="30">
        <f>IF(B302="","",IF(W302=0,"Sin avisos numéricos. Revisamos el alcance aparte.",IF(L302=0,"Faltan datos completos de partida; no elegimos un total por suposición."&amp;CHAR(10),"")&amp;IF(N302&gt;0,"Hay filas incompletas o contradictorias; las revisamos en PEGAR."&amp;CHAR(10),"")&amp;IF(O302&gt;0,"Faltan las medidas de alguna fila; no cerramos la suma."&amp;CHAR(10),"")&amp;IF(M302=0,"No constan líneas de medición."&amp;CHAR(10),"")&amp;IF(IF(ISNUMBER(H302),ROUND(ABS(H302),8)&gt;$F$6,FALSE),"Las líneas difieren del total en más de 0,01; confirmamos cantidad o exclusión."&amp;CHAR(10),"")&amp;IF(P302&gt;0,"Parece m³: encontramos tres dimensiones bajo m²."&amp;CHAR(10),"")&amp;IF(R302&gt;0,"Código repetido dentro del capítulo; mantenemos sus ID separados."&amp;CHAR(10),"")&amp;IF(S302&gt;0,"Código repetido en otro capítulo; no unimos las partidas."&amp;CHAR(10),"")&amp;IF(T302&gt;0,"Mismo código con unidades distintas; pedimos aclaración."&amp;CHAR(10),"")&amp;IF(Q302&gt;0,"Hay más precisión que los decimales indicados; cotejamos el formato original."&amp;CHAR(10),"")&amp;IF(U302&gt;0,"Unidad sin normalizar; cotejamos su significado antes de sumar unidades."&amp;CHAR(10),"")&amp;IF(V302&gt;0,"Revisamos dimensiones, cantidades directas, ceros o deducciones en PEGAR."&amp;CHAR(10),"")))</f>
      </c>
      <c r="K302" s="0">
        <f>IF(290&gt;'RESUMEN'!$E$6,"",MATCH(290,'PEGAR'!$W$13:$W$512,0))</f>
      </c>
      <c r="L302" s="0">
        <f>IF(K302="","",INDEX('PEGAR'!$R$13:$R$512,K302))</f>
      </c>
      <c r="M302" s="0">
        <f>IF(B302="","",COUNTIFS('PEGAR'!$O$13:$O$512,B302,'PEGAR'!$P$13:$P$512,"DIMENSIONES")+COUNTIFS('PEGAR'!$O$13:$O$512,B302,'PEGAR'!$P$13:$P$512,"DIRECTA"))</f>
      </c>
      <c r="N302" s="0">
        <f>IF(B302="","",COUNTIFS('PEGAR'!$O$13:$O$512,B302,'PEGAR'!$X$13:$X$512,2))</f>
      </c>
      <c r="O302" s="0">
        <f>IF(B302="","",COUNTIFS('PEGAR'!$O$13:$O$512,B302,'PEGAR'!$P$13:$P$512,"SIN LÍNEAS"))</f>
      </c>
      <c r="P302" s="0">
        <f>IF(B302="","",SUMIFS('PEGAR'!$Y$13:$Y$512,'PEGAR'!$O$13:$O$512,B302))</f>
      </c>
      <c r="Q302" s="0">
        <f>IF(B302="","",SUMIFS('PEGAR'!$Z$13:$Z$512,'PEGAR'!$O$13:$O$512,B302))</f>
      </c>
      <c r="R302" s="0" t="n">
        <f>IF(OR(B302="",D302=""),0,SUMPRODUCT(--($B$13:$B$512&lt;&gt;""),--($D$13:$D$512=D302),--($C$13:$C$512=C302))-1)</f>
        <v>0</v>
      </c>
      <c r="S302" s="0" t="n">
        <f>IF(OR(B302="",D302=""),0,SUMPRODUCT(--($B$13:$B$512&lt;&gt;""),--($D$13:$D$512=D302),--($C$13:$C$512&lt;&gt;C302)))</f>
        <v>0</v>
      </c>
      <c r="T302" s="0" t="n">
        <f>IF(OR(B302="",D302=""),0,SUMPRODUCT(--($B$13:$B$512&lt;&gt;""),--($D$13:$D$512=D302),--($E$13:$E$512&lt;&gt;E302)))</f>
        <v>0</v>
      </c>
      <c r="U302" s="0" t="n">
        <f>IF(B302="",0,IF(SUMPRODUCT(--('LÉEME'!$C$65:$C$86=E302))=0,1,0))</f>
        <v>0</v>
      </c>
      <c r="V302" s="0">
        <f>IF(B302="","",SUMIFS('PEGAR'!$AA$13:$AA$512,'PEGAR'!$O$13:$O$512,B302))</f>
      </c>
      <c r="W302" s="0">
        <f>IF(B302="","",IF(OR(L302=0,N302&gt;0,T302&gt;0,IF(ISNUMBER(H302),ROUND(ABS(H302),8)&gt;$F$6,FALSE)),2,IF(OR(M302=0,O302&gt;0,P302&gt;0,Q302&gt;0,R302&gt;0,S302&gt;0,U302&gt;0,V302&gt;0),1,0)))</f>
      </c>
      <c r="X302" s="0">
        <f>IF(B302="","",IF(ISNUMBER(G302),1,0))</f>
      </c>
      <c r="AB302" s="0">
        <f>IF(AND(ISNUMBER(W302),W302&gt;0),"ID "&amp;B302,"")</f>
      </c>
      <c r="AC302" s="0">
        <f>IF(AND(ISNUMBER(W302),W302&gt;0),C302,"")</f>
      </c>
      <c r="AD302" s="0">
        <f>IF(AND(ISNUMBER(W302),W302&gt;0),D302,"")</f>
      </c>
      <c r="AE302" s="0">
        <f>IF(AND(ISNUMBER(W302),W302&gt;0),IF(INDEX('PEGAR'!$D$13:$D$512,IF(L302&gt;0,L302,K302))="","Sin descripción",INDEX('PEGAR'!$D$13:$D$512,IF(L302&gt;0,L302,K302))),"")</f>
      </c>
      <c r="AF302" s="0">
        <f>IF(AND(ISNUMBER(W302),W302&gt;0),J302,"")</f>
      </c>
      <c r="AG302" s="0" t="n">
        <f>IF(AND(ISNUMBER(W302),W302&gt;0),W302,0)</f>
        <v>0</v>
      </c>
      <c r="AH302" s="0">
        <f>IF(AG302&gt;0,COUNTIFS($AG$13:AG302,"&gt;0"),"")</f>
      </c>
    </row>
    <row r="303" ht="22" customHeight="1">
      <c r="B303" s="27">
        <f>IF(K303="","",INDEX('PEGAR'!$O$13:$O$512,K303))</f>
      </c>
      <c r="C303" s="30">
        <f>IF(B303="","",IF(LEN(TRIM(INDEX('PEGAR'!$B$13:$B$512,IF(L303&gt;0,L303,K303))&amp;""))=0,"Sin capítulo",TRIM(INDEX('PEGAR'!$B$13:$B$512,IF(L303&gt;0,L303,K303))&amp;"")))</f>
      </c>
      <c r="D303" s="27">
        <f>IF(B303="","",IF(LEN(TRIM(INDEX('PEGAR'!$C$13:$C$512,IF(L303&gt;0,L303,K303))&amp;""))=0,"",TRIM(INDEX('PEGAR'!$C$13:$C$512,IF(L303&gt;0,L303,K303))&amp;"")))</f>
      </c>
      <c r="E303" s="27">
        <f>IF(B303="","",INDEX('PEGAR'!$S$13:$S$512,IF(L303&gt;0,L303,K303)))</f>
      </c>
      <c r="F303" s="39">
        <f>IF(B303="","",IF(L303&gt;0,INDEX('PEGAR'!$F$13:$F$512,L303),""))</f>
      </c>
      <c r="G303" s="39">
        <f>IF(B303="","",IF(OR(M303=0,N303&gt;0,O303&gt;0),"",SUMIFS('PEGAR'!$M$13:$M$512,'PEGAR'!$O$13:$O$512,B303)))</f>
      </c>
      <c r="H303" s="39">
        <f>IF(AND(ISNUMBER(F303),ISNUMBER(G303)),G303-F303,"")</f>
      </c>
      <c r="I303" s="27">
        <f>IF(B303="","",IF(W303=2,"ROJO",IF(W303=1,"ÁMBAR","VERDE")))</f>
      </c>
      <c r="J303" s="30">
        <f>IF(B303="","",IF(W303=0,"Sin avisos numéricos. Revisamos el alcance aparte.",IF(L303=0,"Faltan datos completos de partida; no elegimos un total por suposición."&amp;CHAR(10),"")&amp;IF(N303&gt;0,"Hay filas incompletas o contradictorias; las revisamos en PEGAR."&amp;CHAR(10),"")&amp;IF(O303&gt;0,"Faltan las medidas de alguna fila; no cerramos la suma."&amp;CHAR(10),"")&amp;IF(M303=0,"No constan líneas de medición."&amp;CHAR(10),"")&amp;IF(IF(ISNUMBER(H303),ROUND(ABS(H303),8)&gt;$F$6,FALSE),"Las líneas difieren del total en más de 0,01; confirmamos cantidad o exclusión."&amp;CHAR(10),"")&amp;IF(P303&gt;0,"Parece m³: encontramos tres dimensiones bajo m²."&amp;CHAR(10),"")&amp;IF(R303&gt;0,"Código repetido dentro del capítulo; mantenemos sus ID separados."&amp;CHAR(10),"")&amp;IF(S303&gt;0,"Código repetido en otro capítulo; no unimos las partidas."&amp;CHAR(10),"")&amp;IF(T303&gt;0,"Mismo código con unidades distintas; pedimos aclaración."&amp;CHAR(10),"")&amp;IF(Q303&gt;0,"Hay más precisión que los decimales indicados; cotejamos el formato original."&amp;CHAR(10),"")&amp;IF(U303&gt;0,"Unidad sin normalizar; cotejamos su significado antes de sumar unidades."&amp;CHAR(10),"")&amp;IF(V303&gt;0,"Revisamos dimensiones, cantidades directas, ceros o deducciones en PEGAR."&amp;CHAR(10),"")))</f>
      </c>
      <c r="K303" s="0">
        <f>IF(291&gt;'RESUMEN'!$E$6,"",MATCH(291,'PEGAR'!$W$13:$W$512,0))</f>
      </c>
      <c r="L303" s="0">
        <f>IF(K303="","",INDEX('PEGAR'!$R$13:$R$512,K303))</f>
      </c>
      <c r="M303" s="0">
        <f>IF(B303="","",COUNTIFS('PEGAR'!$O$13:$O$512,B303,'PEGAR'!$P$13:$P$512,"DIMENSIONES")+COUNTIFS('PEGAR'!$O$13:$O$512,B303,'PEGAR'!$P$13:$P$512,"DIRECTA"))</f>
      </c>
      <c r="N303" s="0">
        <f>IF(B303="","",COUNTIFS('PEGAR'!$O$13:$O$512,B303,'PEGAR'!$X$13:$X$512,2))</f>
      </c>
      <c r="O303" s="0">
        <f>IF(B303="","",COUNTIFS('PEGAR'!$O$13:$O$512,B303,'PEGAR'!$P$13:$P$512,"SIN LÍNEAS"))</f>
      </c>
      <c r="P303" s="0">
        <f>IF(B303="","",SUMIFS('PEGAR'!$Y$13:$Y$512,'PEGAR'!$O$13:$O$512,B303))</f>
      </c>
      <c r="Q303" s="0">
        <f>IF(B303="","",SUMIFS('PEGAR'!$Z$13:$Z$512,'PEGAR'!$O$13:$O$512,B303))</f>
      </c>
      <c r="R303" s="0" t="n">
        <f>IF(OR(B303="",D303=""),0,SUMPRODUCT(--($B$13:$B$512&lt;&gt;""),--($D$13:$D$512=D303),--($C$13:$C$512=C303))-1)</f>
        <v>0</v>
      </c>
      <c r="S303" s="0" t="n">
        <f>IF(OR(B303="",D303=""),0,SUMPRODUCT(--($B$13:$B$512&lt;&gt;""),--($D$13:$D$512=D303),--($C$13:$C$512&lt;&gt;C303)))</f>
        <v>0</v>
      </c>
      <c r="T303" s="0" t="n">
        <f>IF(OR(B303="",D303=""),0,SUMPRODUCT(--($B$13:$B$512&lt;&gt;""),--($D$13:$D$512=D303),--($E$13:$E$512&lt;&gt;E303)))</f>
        <v>0</v>
      </c>
      <c r="U303" s="0" t="n">
        <f>IF(B303="",0,IF(SUMPRODUCT(--('LÉEME'!$C$65:$C$86=E303))=0,1,0))</f>
        <v>0</v>
      </c>
      <c r="V303" s="0">
        <f>IF(B303="","",SUMIFS('PEGAR'!$AA$13:$AA$512,'PEGAR'!$O$13:$O$512,B303))</f>
      </c>
      <c r="W303" s="0">
        <f>IF(B303="","",IF(OR(L303=0,N303&gt;0,T303&gt;0,IF(ISNUMBER(H303),ROUND(ABS(H303),8)&gt;$F$6,FALSE)),2,IF(OR(M303=0,O303&gt;0,P303&gt;0,Q303&gt;0,R303&gt;0,S303&gt;0,U303&gt;0,V303&gt;0),1,0)))</f>
      </c>
      <c r="X303" s="0">
        <f>IF(B303="","",IF(ISNUMBER(G303),1,0))</f>
      </c>
      <c r="AB303" s="0">
        <f>IF(AND(ISNUMBER(W303),W303&gt;0),"ID "&amp;B303,"")</f>
      </c>
      <c r="AC303" s="0">
        <f>IF(AND(ISNUMBER(W303),W303&gt;0),C303,"")</f>
      </c>
      <c r="AD303" s="0">
        <f>IF(AND(ISNUMBER(W303),W303&gt;0),D303,"")</f>
      </c>
      <c r="AE303" s="0">
        <f>IF(AND(ISNUMBER(W303),W303&gt;0),IF(INDEX('PEGAR'!$D$13:$D$512,IF(L303&gt;0,L303,K303))="","Sin descripción",INDEX('PEGAR'!$D$13:$D$512,IF(L303&gt;0,L303,K303))),"")</f>
      </c>
      <c r="AF303" s="0">
        <f>IF(AND(ISNUMBER(W303),W303&gt;0),J303,"")</f>
      </c>
      <c r="AG303" s="0" t="n">
        <f>IF(AND(ISNUMBER(W303),W303&gt;0),W303,0)</f>
        <v>0</v>
      </c>
      <c r="AH303" s="0">
        <f>IF(AG303&gt;0,COUNTIFS($AG$13:AG303,"&gt;0"),"")</f>
      </c>
    </row>
    <row r="304" ht="22" customHeight="1">
      <c r="B304" s="27">
        <f>IF(K304="","",INDEX('PEGAR'!$O$13:$O$512,K304))</f>
      </c>
      <c r="C304" s="30">
        <f>IF(B304="","",IF(LEN(TRIM(INDEX('PEGAR'!$B$13:$B$512,IF(L304&gt;0,L304,K304))&amp;""))=0,"Sin capítulo",TRIM(INDEX('PEGAR'!$B$13:$B$512,IF(L304&gt;0,L304,K304))&amp;"")))</f>
      </c>
      <c r="D304" s="27">
        <f>IF(B304="","",IF(LEN(TRIM(INDEX('PEGAR'!$C$13:$C$512,IF(L304&gt;0,L304,K304))&amp;""))=0,"",TRIM(INDEX('PEGAR'!$C$13:$C$512,IF(L304&gt;0,L304,K304))&amp;"")))</f>
      </c>
      <c r="E304" s="27">
        <f>IF(B304="","",INDEX('PEGAR'!$S$13:$S$512,IF(L304&gt;0,L304,K304)))</f>
      </c>
      <c r="F304" s="39">
        <f>IF(B304="","",IF(L304&gt;0,INDEX('PEGAR'!$F$13:$F$512,L304),""))</f>
      </c>
      <c r="G304" s="39">
        <f>IF(B304="","",IF(OR(M304=0,N304&gt;0,O304&gt;0),"",SUMIFS('PEGAR'!$M$13:$M$512,'PEGAR'!$O$13:$O$512,B304)))</f>
      </c>
      <c r="H304" s="39">
        <f>IF(AND(ISNUMBER(F304),ISNUMBER(G304)),G304-F304,"")</f>
      </c>
      <c r="I304" s="27">
        <f>IF(B304="","",IF(W304=2,"ROJO",IF(W304=1,"ÁMBAR","VERDE")))</f>
      </c>
      <c r="J304" s="30">
        <f>IF(B304="","",IF(W304=0,"Sin avisos numéricos. Revisamos el alcance aparte.",IF(L304=0,"Faltan datos completos de partida; no elegimos un total por suposición."&amp;CHAR(10),"")&amp;IF(N304&gt;0,"Hay filas incompletas o contradictorias; las revisamos en PEGAR."&amp;CHAR(10),"")&amp;IF(O304&gt;0,"Faltan las medidas de alguna fila; no cerramos la suma."&amp;CHAR(10),"")&amp;IF(M304=0,"No constan líneas de medición."&amp;CHAR(10),"")&amp;IF(IF(ISNUMBER(H304),ROUND(ABS(H304),8)&gt;$F$6,FALSE),"Las líneas difieren del total en más de 0,01; confirmamos cantidad o exclusión."&amp;CHAR(10),"")&amp;IF(P304&gt;0,"Parece m³: encontramos tres dimensiones bajo m²."&amp;CHAR(10),"")&amp;IF(R304&gt;0,"Código repetido dentro del capítulo; mantenemos sus ID separados."&amp;CHAR(10),"")&amp;IF(S304&gt;0,"Código repetido en otro capítulo; no unimos las partidas."&amp;CHAR(10),"")&amp;IF(T304&gt;0,"Mismo código con unidades distintas; pedimos aclaración."&amp;CHAR(10),"")&amp;IF(Q304&gt;0,"Hay más precisión que los decimales indicados; cotejamos el formato original."&amp;CHAR(10),"")&amp;IF(U304&gt;0,"Unidad sin normalizar; cotejamos su significado antes de sumar unidades."&amp;CHAR(10),"")&amp;IF(V304&gt;0,"Revisamos dimensiones, cantidades directas, ceros o deducciones en PEGAR."&amp;CHAR(10),"")))</f>
      </c>
      <c r="K304" s="0">
        <f>IF(292&gt;'RESUMEN'!$E$6,"",MATCH(292,'PEGAR'!$W$13:$W$512,0))</f>
      </c>
      <c r="L304" s="0">
        <f>IF(K304="","",INDEX('PEGAR'!$R$13:$R$512,K304))</f>
      </c>
      <c r="M304" s="0">
        <f>IF(B304="","",COUNTIFS('PEGAR'!$O$13:$O$512,B304,'PEGAR'!$P$13:$P$512,"DIMENSIONES")+COUNTIFS('PEGAR'!$O$13:$O$512,B304,'PEGAR'!$P$13:$P$512,"DIRECTA"))</f>
      </c>
      <c r="N304" s="0">
        <f>IF(B304="","",COUNTIFS('PEGAR'!$O$13:$O$512,B304,'PEGAR'!$X$13:$X$512,2))</f>
      </c>
      <c r="O304" s="0">
        <f>IF(B304="","",COUNTIFS('PEGAR'!$O$13:$O$512,B304,'PEGAR'!$P$13:$P$512,"SIN LÍNEAS"))</f>
      </c>
      <c r="P304" s="0">
        <f>IF(B304="","",SUMIFS('PEGAR'!$Y$13:$Y$512,'PEGAR'!$O$13:$O$512,B304))</f>
      </c>
      <c r="Q304" s="0">
        <f>IF(B304="","",SUMIFS('PEGAR'!$Z$13:$Z$512,'PEGAR'!$O$13:$O$512,B304))</f>
      </c>
      <c r="R304" s="0" t="n">
        <f>IF(OR(B304="",D304=""),0,SUMPRODUCT(--($B$13:$B$512&lt;&gt;""),--($D$13:$D$512=D304),--($C$13:$C$512=C304))-1)</f>
        <v>0</v>
      </c>
      <c r="S304" s="0" t="n">
        <f>IF(OR(B304="",D304=""),0,SUMPRODUCT(--($B$13:$B$512&lt;&gt;""),--($D$13:$D$512=D304),--($C$13:$C$512&lt;&gt;C304)))</f>
        <v>0</v>
      </c>
      <c r="T304" s="0" t="n">
        <f>IF(OR(B304="",D304=""),0,SUMPRODUCT(--($B$13:$B$512&lt;&gt;""),--($D$13:$D$512=D304),--($E$13:$E$512&lt;&gt;E304)))</f>
        <v>0</v>
      </c>
      <c r="U304" s="0" t="n">
        <f>IF(B304="",0,IF(SUMPRODUCT(--('LÉEME'!$C$65:$C$86=E304))=0,1,0))</f>
        <v>0</v>
      </c>
      <c r="V304" s="0">
        <f>IF(B304="","",SUMIFS('PEGAR'!$AA$13:$AA$512,'PEGAR'!$O$13:$O$512,B304))</f>
      </c>
      <c r="W304" s="0">
        <f>IF(B304="","",IF(OR(L304=0,N304&gt;0,T304&gt;0,IF(ISNUMBER(H304),ROUND(ABS(H304),8)&gt;$F$6,FALSE)),2,IF(OR(M304=0,O304&gt;0,P304&gt;0,Q304&gt;0,R304&gt;0,S304&gt;0,U304&gt;0,V304&gt;0),1,0)))</f>
      </c>
      <c r="X304" s="0">
        <f>IF(B304="","",IF(ISNUMBER(G304),1,0))</f>
      </c>
      <c r="AB304" s="0">
        <f>IF(AND(ISNUMBER(W304),W304&gt;0),"ID "&amp;B304,"")</f>
      </c>
      <c r="AC304" s="0">
        <f>IF(AND(ISNUMBER(W304),W304&gt;0),C304,"")</f>
      </c>
      <c r="AD304" s="0">
        <f>IF(AND(ISNUMBER(W304),W304&gt;0),D304,"")</f>
      </c>
      <c r="AE304" s="0">
        <f>IF(AND(ISNUMBER(W304),W304&gt;0),IF(INDEX('PEGAR'!$D$13:$D$512,IF(L304&gt;0,L304,K304))="","Sin descripción",INDEX('PEGAR'!$D$13:$D$512,IF(L304&gt;0,L304,K304))),"")</f>
      </c>
      <c r="AF304" s="0">
        <f>IF(AND(ISNUMBER(W304),W304&gt;0),J304,"")</f>
      </c>
      <c r="AG304" s="0" t="n">
        <f>IF(AND(ISNUMBER(W304),W304&gt;0),W304,0)</f>
        <v>0</v>
      </c>
      <c r="AH304" s="0">
        <f>IF(AG304&gt;0,COUNTIFS($AG$13:AG304,"&gt;0"),"")</f>
      </c>
    </row>
    <row r="305" ht="22" customHeight="1">
      <c r="B305" s="27">
        <f>IF(K305="","",INDEX('PEGAR'!$O$13:$O$512,K305))</f>
      </c>
      <c r="C305" s="30">
        <f>IF(B305="","",IF(LEN(TRIM(INDEX('PEGAR'!$B$13:$B$512,IF(L305&gt;0,L305,K305))&amp;""))=0,"Sin capítulo",TRIM(INDEX('PEGAR'!$B$13:$B$512,IF(L305&gt;0,L305,K305))&amp;"")))</f>
      </c>
      <c r="D305" s="27">
        <f>IF(B305="","",IF(LEN(TRIM(INDEX('PEGAR'!$C$13:$C$512,IF(L305&gt;0,L305,K305))&amp;""))=0,"",TRIM(INDEX('PEGAR'!$C$13:$C$512,IF(L305&gt;0,L305,K305))&amp;"")))</f>
      </c>
      <c r="E305" s="27">
        <f>IF(B305="","",INDEX('PEGAR'!$S$13:$S$512,IF(L305&gt;0,L305,K305)))</f>
      </c>
      <c r="F305" s="39">
        <f>IF(B305="","",IF(L305&gt;0,INDEX('PEGAR'!$F$13:$F$512,L305),""))</f>
      </c>
      <c r="G305" s="39">
        <f>IF(B305="","",IF(OR(M305=0,N305&gt;0,O305&gt;0),"",SUMIFS('PEGAR'!$M$13:$M$512,'PEGAR'!$O$13:$O$512,B305)))</f>
      </c>
      <c r="H305" s="39">
        <f>IF(AND(ISNUMBER(F305),ISNUMBER(G305)),G305-F305,"")</f>
      </c>
      <c r="I305" s="27">
        <f>IF(B305="","",IF(W305=2,"ROJO",IF(W305=1,"ÁMBAR","VERDE")))</f>
      </c>
      <c r="J305" s="30">
        <f>IF(B305="","",IF(W305=0,"Sin avisos numéricos. Revisamos el alcance aparte.",IF(L305=0,"Faltan datos completos de partida; no elegimos un total por suposición."&amp;CHAR(10),"")&amp;IF(N305&gt;0,"Hay filas incompletas o contradictorias; las revisamos en PEGAR."&amp;CHAR(10),"")&amp;IF(O305&gt;0,"Faltan las medidas de alguna fila; no cerramos la suma."&amp;CHAR(10),"")&amp;IF(M305=0,"No constan líneas de medición."&amp;CHAR(10),"")&amp;IF(IF(ISNUMBER(H305),ROUND(ABS(H305),8)&gt;$F$6,FALSE),"Las líneas difieren del total en más de 0,01; confirmamos cantidad o exclusión."&amp;CHAR(10),"")&amp;IF(P305&gt;0,"Parece m³: encontramos tres dimensiones bajo m²."&amp;CHAR(10),"")&amp;IF(R305&gt;0,"Código repetido dentro del capítulo; mantenemos sus ID separados."&amp;CHAR(10),"")&amp;IF(S305&gt;0,"Código repetido en otro capítulo; no unimos las partidas."&amp;CHAR(10),"")&amp;IF(T305&gt;0,"Mismo código con unidades distintas; pedimos aclaración."&amp;CHAR(10),"")&amp;IF(Q305&gt;0,"Hay más precisión que los decimales indicados; cotejamos el formato original."&amp;CHAR(10),"")&amp;IF(U305&gt;0,"Unidad sin normalizar; cotejamos su significado antes de sumar unidades."&amp;CHAR(10),"")&amp;IF(V305&gt;0,"Revisamos dimensiones, cantidades directas, ceros o deducciones en PEGAR."&amp;CHAR(10),"")))</f>
      </c>
      <c r="K305" s="0">
        <f>IF(293&gt;'RESUMEN'!$E$6,"",MATCH(293,'PEGAR'!$W$13:$W$512,0))</f>
      </c>
      <c r="L305" s="0">
        <f>IF(K305="","",INDEX('PEGAR'!$R$13:$R$512,K305))</f>
      </c>
      <c r="M305" s="0">
        <f>IF(B305="","",COUNTIFS('PEGAR'!$O$13:$O$512,B305,'PEGAR'!$P$13:$P$512,"DIMENSIONES")+COUNTIFS('PEGAR'!$O$13:$O$512,B305,'PEGAR'!$P$13:$P$512,"DIRECTA"))</f>
      </c>
      <c r="N305" s="0">
        <f>IF(B305="","",COUNTIFS('PEGAR'!$O$13:$O$512,B305,'PEGAR'!$X$13:$X$512,2))</f>
      </c>
      <c r="O305" s="0">
        <f>IF(B305="","",COUNTIFS('PEGAR'!$O$13:$O$512,B305,'PEGAR'!$P$13:$P$512,"SIN LÍNEAS"))</f>
      </c>
      <c r="P305" s="0">
        <f>IF(B305="","",SUMIFS('PEGAR'!$Y$13:$Y$512,'PEGAR'!$O$13:$O$512,B305))</f>
      </c>
      <c r="Q305" s="0">
        <f>IF(B305="","",SUMIFS('PEGAR'!$Z$13:$Z$512,'PEGAR'!$O$13:$O$512,B305))</f>
      </c>
      <c r="R305" s="0" t="n">
        <f>IF(OR(B305="",D305=""),0,SUMPRODUCT(--($B$13:$B$512&lt;&gt;""),--($D$13:$D$512=D305),--($C$13:$C$512=C305))-1)</f>
        <v>0</v>
      </c>
      <c r="S305" s="0" t="n">
        <f>IF(OR(B305="",D305=""),0,SUMPRODUCT(--($B$13:$B$512&lt;&gt;""),--($D$13:$D$512=D305),--($C$13:$C$512&lt;&gt;C305)))</f>
        <v>0</v>
      </c>
      <c r="T305" s="0" t="n">
        <f>IF(OR(B305="",D305=""),0,SUMPRODUCT(--($B$13:$B$512&lt;&gt;""),--($D$13:$D$512=D305),--($E$13:$E$512&lt;&gt;E305)))</f>
        <v>0</v>
      </c>
      <c r="U305" s="0" t="n">
        <f>IF(B305="",0,IF(SUMPRODUCT(--('LÉEME'!$C$65:$C$86=E305))=0,1,0))</f>
        <v>0</v>
      </c>
      <c r="V305" s="0">
        <f>IF(B305="","",SUMIFS('PEGAR'!$AA$13:$AA$512,'PEGAR'!$O$13:$O$512,B305))</f>
      </c>
      <c r="W305" s="0">
        <f>IF(B305="","",IF(OR(L305=0,N305&gt;0,T305&gt;0,IF(ISNUMBER(H305),ROUND(ABS(H305),8)&gt;$F$6,FALSE)),2,IF(OR(M305=0,O305&gt;0,P305&gt;0,Q305&gt;0,R305&gt;0,S305&gt;0,U305&gt;0,V305&gt;0),1,0)))</f>
      </c>
      <c r="X305" s="0">
        <f>IF(B305="","",IF(ISNUMBER(G305),1,0))</f>
      </c>
      <c r="AB305" s="0">
        <f>IF(AND(ISNUMBER(W305),W305&gt;0),"ID "&amp;B305,"")</f>
      </c>
      <c r="AC305" s="0">
        <f>IF(AND(ISNUMBER(W305),W305&gt;0),C305,"")</f>
      </c>
      <c r="AD305" s="0">
        <f>IF(AND(ISNUMBER(W305),W305&gt;0),D305,"")</f>
      </c>
      <c r="AE305" s="0">
        <f>IF(AND(ISNUMBER(W305),W305&gt;0),IF(INDEX('PEGAR'!$D$13:$D$512,IF(L305&gt;0,L305,K305))="","Sin descripción",INDEX('PEGAR'!$D$13:$D$512,IF(L305&gt;0,L305,K305))),"")</f>
      </c>
      <c r="AF305" s="0">
        <f>IF(AND(ISNUMBER(W305),W305&gt;0),J305,"")</f>
      </c>
      <c r="AG305" s="0" t="n">
        <f>IF(AND(ISNUMBER(W305),W305&gt;0),W305,0)</f>
        <v>0</v>
      </c>
      <c r="AH305" s="0">
        <f>IF(AG305&gt;0,COUNTIFS($AG$13:AG305,"&gt;0"),"")</f>
      </c>
    </row>
    <row r="306" ht="22" customHeight="1">
      <c r="B306" s="27">
        <f>IF(K306="","",INDEX('PEGAR'!$O$13:$O$512,K306))</f>
      </c>
      <c r="C306" s="30">
        <f>IF(B306="","",IF(LEN(TRIM(INDEX('PEGAR'!$B$13:$B$512,IF(L306&gt;0,L306,K306))&amp;""))=0,"Sin capítulo",TRIM(INDEX('PEGAR'!$B$13:$B$512,IF(L306&gt;0,L306,K306))&amp;"")))</f>
      </c>
      <c r="D306" s="27">
        <f>IF(B306="","",IF(LEN(TRIM(INDEX('PEGAR'!$C$13:$C$512,IF(L306&gt;0,L306,K306))&amp;""))=0,"",TRIM(INDEX('PEGAR'!$C$13:$C$512,IF(L306&gt;0,L306,K306))&amp;"")))</f>
      </c>
      <c r="E306" s="27">
        <f>IF(B306="","",INDEX('PEGAR'!$S$13:$S$512,IF(L306&gt;0,L306,K306)))</f>
      </c>
      <c r="F306" s="39">
        <f>IF(B306="","",IF(L306&gt;0,INDEX('PEGAR'!$F$13:$F$512,L306),""))</f>
      </c>
      <c r="G306" s="39">
        <f>IF(B306="","",IF(OR(M306=0,N306&gt;0,O306&gt;0),"",SUMIFS('PEGAR'!$M$13:$M$512,'PEGAR'!$O$13:$O$512,B306)))</f>
      </c>
      <c r="H306" s="39">
        <f>IF(AND(ISNUMBER(F306),ISNUMBER(G306)),G306-F306,"")</f>
      </c>
      <c r="I306" s="27">
        <f>IF(B306="","",IF(W306=2,"ROJO",IF(W306=1,"ÁMBAR","VERDE")))</f>
      </c>
      <c r="J306" s="30">
        <f>IF(B306="","",IF(W306=0,"Sin avisos numéricos. Revisamos el alcance aparte.",IF(L306=0,"Faltan datos completos de partida; no elegimos un total por suposición."&amp;CHAR(10),"")&amp;IF(N306&gt;0,"Hay filas incompletas o contradictorias; las revisamos en PEGAR."&amp;CHAR(10),"")&amp;IF(O306&gt;0,"Faltan las medidas de alguna fila; no cerramos la suma."&amp;CHAR(10),"")&amp;IF(M306=0,"No constan líneas de medición."&amp;CHAR(10),"")&amp;IF(IF(ISNUMBER(H306),ROUND(ABS(H306),8)&gt;$F$6,FALSE),"Las líneas difieren del total en más de 0,01; confirmamos cantidad o exclusión."&amp;CHAR(10),"")&amp;IF(P306&gt;0,"Parece m³: encontramos tres dimensiones bajo m²."&amp;CHAR(10),"")&amp;IF(R306&gt;0,"Código repetido dentro del capítulo; mantenemos sus ID separados."&amp;CHAR(10),"")&amp;IF(S306&gt;0,"Código repetido en otro capítulo; no unimos las partidas."&amp;CHAR(10),"")&amp;IF(T306&gt;0,"Mismo código con unidades distintas; pedimos aclaración."&amp;CHAR(10),"")&amp;IF(Q306&gt;0,"Hay más precisión que los decimales indicados; cotejamos el formato original."&amp;CHAR(10),"")&amp;IF(U306&gt;0,"Unidad sin normalizar; cotejamos su significado antes de sumar unidades."&amp;CHAR(10),"")&amp;IF(V306&gt;0,"Revisamos dimensiones, cantidades directas, ceros o deducciones en PEGAR."&amp;CHAR(10),"")))</f>
      </c>
      <c r="K306" s="0">
        <f>IF(294&gt;'RESUMEN'!$E$6,"",MATCH(294,'PEGAR'!$W$13:$W$512,0))</f>
      </c>
      <c r="L306" s="0">
        <f>IF(K306="","",INDEX('PEGAR'!$R$13:$R$512,K306))</f>
      </c>
      <c r="M306" s="0">
        <f>IF(B306="","",COUNTIFS('PEGAR'!$O$13:$O$512,B306,'PEGAR'!$P$13:$P$512,"DIMENSIONES")+COUNTIFS('PEGAR'!$O$13:$O$512,B306,'PEGAR'!$P$13:$P$512,"DIRECTA"))</f>
      </c>
      <c r="N306" s="0">
        <f>IF(B306="","",COUNTIFS('PEGAR'!$O$13:$O$512,B306,'PEGAR'!$X$13:$X$512,2))</f>
      </c>
      <c r="O306" s="0">
        <f>IF(B306="","",COUNTIFS('PEGAR'!$O$13:$O$512,B306,'PEGAR'!$P$13:$P$512,"SIN LÍNEAS"))</f>
      </c>
      <c r="P306" s="0">
        <f>IF(B306="","",SUMIFS('PEGAR'!$Y$13:$Y$512,'PEGAR'!$O$13:$O$512,B306))</f>
      </c>
      <c r="Q306" s="0">
        <f>IF(B306="","",SUMIFS('PEGAR'!$Z$13:$Z$512,'PEGAR'!$O$13:$O$512,B306))</f>
      </c>
      <c r="R306" s="0" t="n">
        <f>IF(OR(B306="",D306=""),0,SUMPRODUCT(--($B$13:$B$512&lt;&gt;""),--($D$13:$D$512=D306),--($C$13:$C$512=C306))-1)</f>
        <v>0</v>
      </c>
      <c r="S306" s="0" t="n">
        <f>IF(OR(B306="",D306=""),0,SUMPRODUCT(--($B$13:$B$512&lt;&gt;""),--($D$13:$D$512=D306),--($C$13:$C$512&lt;&gt;C306)))</f>
        <v>0</v>
      </c>
      <c r="T306" s="0" t="n">
        <f>IF(OR(B306="",D306=""),0,SUMPRODUCT(--($B$13:$B$512&lt;&gt;""),--($D$13:$D$512=D306),--($E$13:$E$512&lt;&gt;E306)))</f>
        <v>0</v>
      </c>
      <c r="U306" s="0" t="n">
        <f>IF(B306="",0,IF(SUMPRODUCT(--('LÉEME'!$C$65:$C$86=E306))=0,1,0))</f>
        <v>0</v>
      </c>
      <c r="V306" s="0">
        <f>IF(B306="","",SUMIFS('PEGAR'!$AA$13:$AA$512,'PEGAR'!$O$13:$O$512,B306))</f>
      </c>
      <c r="W306" s="0">
        <f>IF(B306="","",IF(OR(L306=0,N306&gt;0,T306&gt;0,IF(ISNUMBER(H306),ROUND(ABS(H306),8)&gt;$F$6,FALSE)),2,IF(OR(M306=0,O306&gt;0,P306&gt;0,Q306&gt;0,R306&gt;0,S306&gt;0,U306&gt;0,V306&gt;0),1,0)))</f>
      </c>
      <c r="X306" s="0">
        <f>IF(B306="","",IF(ISNUMBER(G306),1,0))</f>
      </c>
      <c r="AB306" s="0">
        <f>IF(AND(ISNUMBER(W306),W306&gt;0),"ID "&amp;B306,"")</f>
      </c>
      <c r="AC306" s="0">
        <f>IF(AND(ISNUMBER(W306),W306&gt;0),C306,"")</f>
      </c>
      <c r="AD306" s="0">
        <f>IF(AND(ISNUMBER(W306),W306&gt;0),D306,"")</f>
      </c>
      <c r="AE306" s="0">
        <f>IF(AND(ISNUMBER(W306),W306&gt;0),IF(INDEX('PEGAR'!$D$13:$D$512,IF(L306&gt;0,L306,K306))="","Sin descripción",INDEX('PEGAR'!$D$13:$D$512,IF(L306&gt;0,L306,K306))),"")</f>
      </c>
      <c r="AF306" s="0">
        <f>IF(AND(ISNUMBER(W306),W306&gt;0),J306,"")</f>
      </c>
      <c r="AG306" s="0" t="n">
        <f>IF(AND(ISNUMBER(W306),W306&gt;0),W306,0)</f>
        <v>0</v>
      </c>
      <c r="AH306" s="0">
        <f>IF(AG306&gt;0,COUNTIFS($AG$13:AG306,"&gt;0"),"")</f>
      </c>
    </row>
    <row r="307" ht="22" customHeight="1">
      <c r="B307" s="27">
        <f>IF(K307="","",INDEX('PEGAR'!$O$13:$O$512,K307))</f>
      </c>
      <c r="C307" s="30">
        <f>IF(B307="","",IF(LEN(TRIM(INDEX('PEGAR'!$B$13:$B$512,IF(L307&gt;0,L307,K307))&amp;""))=0,"Sin capítulo",TRIM(INDEX('PEGAR'!$B$13:$B$512,IF(L307&gt;0,L307,K307))&amp;"")))</f>
      </c>
      <c r="D307" s="27">
        <f>IF(B307="","",IF(LEN(TRIM(INDEX('PEGAR'!$C$13:$C$512,IF(L307&gt;0,L307,K307))&amp;""))=0,"",TRIM(INDEX('PEGAR'!$C$13:$C$512,IF(L307&gt;0,L307,K307))&amp;"")))</f>
      </c>
      <c r="E307" s="27">
        <f>IF(B307="","",INDEX('PEGAR'!$S$13:$S$512,IF(L307&gt;0,L307,K307)))</f>
      </c>
      <c r="F307" s="39">
        <f>IF(B307="","",IF(L307&gt;0,INDEX('PEGAR'!$F$13:$F$512,L307),""))</f>
      </c>
      <c r="G307" s="39">
        <f>IF(B307="","",IF(OR(M307=0,N307&gt;0,O307&gt;0),"",SUMIFS('PEGAR'!$M$13:$M$512,'PEGAR'!$O$13:$O$512,B307)))</f>
      </c>
      <c r="H307" s="39">
        <f>IF(AND(ISNUMBER(F307),ISNUMBER(G307)),G307-F307,"")</f>
      </c>
      <c r="I307" s="27">
        <f>IF(B307="","",IF(W307=2,"ROJO",IF(W307=1,"ÁMBAR","VERDE")))</f>
      </c>
      <c r="J307" s="30">
        <f>IF(B307="","",IF(W307=0,"Sin avisos numéricos. Revisamos el alcance aparte.",IF(L307=0,"Faltan datos completos de partida; no elegimos un total por suposición."&amp;CHAR(10),"")&amp;IF(N307&gt;0,"Hay filas incompletas o contradictorias; las revisamos en PEGAR."&amp;CHAR(10),"")&amp;IF(O307&gt;0,"Faltan las medidas de alguna fila; no cerramos la suma."&amp;CHAR(10),"")&amp;IF(M307=0,"No constan líneas de medición."&amp;CHAR(10),"")&amp;IF(IF(ISNUMBER(H307),ROUND(ABS(H307),8)&gt;$F$6,FALSE),"Las líneas difieren del total en más de 0,01; confirmamos cantidad o exclusión."&amp;CHAR(10),"")&amp;IF(P307&gt;0,"Parece m³: encontramos tres dimensiones bajo m²."&amp;CHAR(10),"")&amp;IF(R307&gt;0,"Código repetido dentro del capítulo; mantenemos sus ID separados."&amp;CHAR(10),"")&amp;IF(S307&gt;0,"Código repetido en otro capítulo; no unimos las partidas."&amp;CHAR(10),"")&amp;IF(T307&gt;0,"Mismo código con unidades distintas; pedimos aclaración."&amp;CHAR(10),"")&amp;IF(Q307&gt;0,"Hay más precisión que los decimales indicados; cotejamos el formato original."&amp;CHAR(10),"")&amp;IF(U307&gt;0,"Unidad sin normalizar; cotejamos su significado antes de sumar unidades."&amp;CHAR(10),"")&amp;IF(V307&gt;0,"Revisamos dimensiones, cantidades directas, ceros o deducciones en PEGAR."&amp;CHAR(10),"")))</f>
      </c>
      <c r="K307" s="0">
        <f>IF(295&gt;'RESUMEN'!$E$6,"",MATCH(295,'PEGAR'!$W$13:$W$512,0))</f>
      </c>
      <c r="L307" s="0">
        <f>IF(K307="","",INDEX('PEGAR'!$R$13:$R$512,K307))</f>
      </c>
      <c r="M307" s="0">
        <f>IF(B307="","",COUNTIFS('PEGAR'!$O$13:$O$512,B307,'PEGAR'!$P$13:$P$512,"DIMENSIONES")+COUNTIFS('PEGAR'!$O$13:$O$512,B307,'PEGAR'!$P$13:$P$512,"DIRECTA"))</f>
      </c>
      <c r="N307" s="0">
        <f>IF(B307="","",COUNTIFS('PEGAR'!$O$13:$O$512,B307,'PEGAR'!$X$13:$X$512,2))</f>
      </c>
      <c r="O307" s="0">
        <f>IF(B307="","",COUNTIFS('PEGAR'!$O$13:$O$512,B307,'PEGAR'!$P$13:$P$512,"SIN LÍNEAS"))</f>
      </c>
      <c r="P307" s="0">
        <f>IF(B307="","",SUMIFS('PEGAR'!$Y$13:$Y$512,'PEGAR'!$O$13:$O$512,B307))</f>
      </c>
      <c r="Q307" s="0">
        <f>IF(B307="","",SUMIFS('PEGAR'!$Z$13:$Z$512,'PEGAR'!$O$13:$O$512,B307))</f>
      </c>
      <c r="R307" s="0" t="n">
        <f>IF(OR(B307="",D307=""),0,SUMPRODUCT(--($B$13:$B$512&lt;&gt;""),--($D$13:$D$512=D307),--($C$13:$C$512=C307))-1)</f>
        <v>0</v>
      </c>
      <c r="S307" s="0" t="n">
        <f>IF(OR(B307="",D307=""),0,SUMPRODUCT(--($B$13:$B$512&lt;&gt;""),--($D$13:$D$512=D307),--($C$13:$C$512&lt;&gt;C307)))</f>
        <v>0</v>
      </c>
      <c r="T307" s="0" t="n">
        <f>IF(OR(B307="",D307=""),0,SUMPRODUCT(--($B$13:$B$512&lt;&gt;""),--($D$13:$D$512=D307),--($E$13:$E$512&lt;&gt;E307)))</f>
        <v>0</v>
      </c>
      <c r="U307" s="0" t="n">
        <f>IF(B307="",0,IF(SUMPRODUCT(--('LÉEME'!$C$65:$C$86=E307))=0,1,0))</f>
        <v>0</v>
      </c>
      <c r="V307" s="0">
        <f>IF(B307="","",SUMIFS('PEGAR'!$AA$13:$AA$512,'PEGAR'!$O$13:$O$512,B307))</f>
      </c>
      <c r="W307" s="0">
        <f>IF(B307="","",IF(OR(L307=0,N307&gt;0,T307&gt;0,IF(ISNUMBER(H307),ROUND(ABS(H307),8)&gt;$F$6,FALSE)),2,IF(OR(M307=0,O307&gt;0,P307&gt;0,Q307&gt;0,R307&gt;0,S307&gt;0,U307&gt;0,V307&gt;0),1,0)))</f>
      </c>
      <c r="X307" s="0">
        <f>IF(B307="","",IF(ISNUMBER(G307),1,0))</f>
      </c>
      <c r="AB307" s="0">
        <f>IF(AND(ISNUMBER(W307),W307&gt;0),"ID "&amp;B307,"")</f>
      </c>
      <c r="AC307" s="0">
        <f>IF(AND(ISNUMBER(W307),W307&gt;0),C307,"")</f>
      </c>
      <c r="AD307" s="0">
        <f>IF(AND(ISNUMBER(W307),W307&gt;0),D307,"")</f>
      </c>
      <c r="AE307" s="0">
        <f>IF(AND(ISNUMBER(W307),W307&gt;0),IF(INDEX('PEGAR'!$D$13:$D$512,IF(L307&gt;0,L307,K307))="","Sin descripción",INDEX('PEGAR'!$D$13:$D$512,IF(L307&gt;0,L307,K307))),"")</f>
      </c>
      <c r="AF307" s="0">
        <f>IF(AND(ISNUMBER(W307),W307&gt;0),J307,"")</f>
      </c>
      <c r="AG307" s="0" t="n">
        <f>IF(AND(ISNUMBER(W307),W307&gt;0),W307,0)</f>
        <v>0</v>
      </c>
      <c r="AH307" s="0">
        <f>IF(AG307&gt;0,COUNTIFS($AG$13:AG307,"&gt;0"),"")</f>
      </c>
    </row>
    <row r="308" ht="22" customHeight="1">
      <c r="B308" s="27">
        <f>IF(K308="","",INDEX('PEGAR'!$O$13:$O$512,K308))</f>
      </c>
      <c r="C308" s="30">
        <f>IF(B308="","",IF(LEN(TRIM(INDEX('PEGAR'!$B$13:$B$512,IF(L308&gt;0,L308,K308))&amp;""))=0,"Sin capítulo",TRIM(INDEX('PEGAR'!$B$13:$B$512,IF(L308&gt;0,L308,K308))&amp;"")))</f>
      </c>
      <c r="D308" s="27">
        <f>IF(B308="","",IF(LEN(TRIM(INDEX('PEGAR'!$C$13:$C$512,IF(L308&gt;0,L308,K308))&amp;""))=0,"",TRIM(INDEX('PEGAR'!$C$13:$C$512,IF(L308&gt;0,L308,K308))&amp;"")))</f>
      </c>
      <c r="E308" s="27">
        <f>IF(B308="","",INDEX('PEGAR'!$S$13:$S$512,IF(L308&gt;0,L308,K308)))</f>
      </c>
      <c r="F308" s="39">
        <f>IF(B308="","",IF(L308&gt;0,INDEX('PEGAR'!$F$13:$F$512,L308),""))</f>
      </c>
      <c r="G308" s="39">
        <f>IF(B308="","",IF(OR(M308=0,N308&gt;0,O308&gt;0),"",SUMIFS('PEGAR'!$M$13:$M$512,'PEGAR'!$O$13:$O$512,B308)))</f>
      </c>
      <c r="H308" s="39">
        <f>IF(AND(ISNUMBER(F308),ISNUMBER(G308)),G308-F308,"")</f>
      </c>
      <c r="I308" s="27">
        <f>IF(B308="","",IF(W308=2,"ROJO",IF(W308=1,"ÁMBAR","VERDE")))</f>
      </c>
      <c r="J308" s="30">
        <f>IF(B308="","",IF(W308=0,"Sin avisos numéricos. Revisamos el alcance aparte.",IF(L308=0,"Faltan datos completos de partida; no elegimos un total por suposición."&amp;CHAR(10),"")&amp;IF(N308&gt;0,"Hay filas incompletas o contradictorias; las revisamos en PEGAR."&amp;CHAR(10),"")&amp;IF(O308&gt;0,"Faltan las medidas de alguna fila; no cerramos la suma."&amp;CHAR(10),"")&amp;IF(M308=0,"No constan líneas de medición."&amp;CHAR(10),"")&amp;IF(IF(ISNUMBER(H308),ROUND(ABS(H308),8)&gt;$F$6,FALSE),"Las líneas difieren del total en más de 0,01; confirmamos cantidad o exclusión."&amp;CHAR(10),"")&amp;IF(P308&gt;0,"Parece m³: encontramos tres dimensiones bajo m²."&amp;CHAR(10),"")&amp;IF(R308&gt;0,"Código repetido dentro del capítulo; mantenemos sus ID separados."&amp;CHAR(10),"")&amp;IF(S308&gt;0,"Código repetido en otro capítulo; no unimos las partidas."&amp;CHAR(10),"")&amp;IF(T308&gt;0,"Mismo código con unidades distintas; pedimos aclaración."&amp;CHAR(10),"")&amp;IF(Q308&gt;0,"Hay más precisión que los decimales indicados; cotejamos el formato original."&amp;CHAR(10),"")&amp;IF(U308&gt;0,"Unidad sin normalizar; cotejamos su significado antes de sumar unidades."&amp;CHAR(10),"")&amp;IF(V308&gt;0,"Revisamos dimensiones, cantidades directas, ceros o deducciones en PEGAR."&amp;CHAR(10),"")))</f>
      </c>
      <c r="K308" s="0">
        <f>IF(296&gt;'RESUMEN'!$E$6,"",MATCH(296,'PEGAR'!$W$13:$W$512,0))</f>
      </c>
      <c r="L308" s="0">
        <f>IF(K308="","",INDEX('PEGAR'!$R$13:$R$512,K308))</f>
      </c>
      <c r="M308" s="0">
        <f>IF(B308="","",COUNTIFS('PEGAR'!$O$13:$O$512,B308,'PEGAR'!$P$13:$P$512,"DIMENSIONES")+COUNTIFS('PEGAR'!$O$13:$O$512,B308,'PEGAR'!$P$13:$P$512,"DIRECTA"))</f>
      </c>
      <c r="N308" s="0">
        <f>IF(B308="","",COUNTIFS('PEGAR'!$O$13:$O$512,B308,'PEGAR'!$X$13:$X$512,2))</f>
      </c>
      <c r="O308" s="0">
        <f>IF(B308="","",COUNTIFS('PEGAR'!$O$13:$O$512,B308,'PEGAR'!$P$13:$P$512,"SIN LÍNEAS"))</f>
      </c>
      <c r="P308" s="0">
        <f>IF(B308="","",SUMIFS('PEGAR'!$Y$13:$Y$512,'PEGAR'!$O$13:$O$512,B308))</f>
      </c>
      <c r="Q308" s="0">
        <f>IF(B308="","",SUMIFS('PEGAR'!$Z$13:$Z$512,'PEGAR'!$O$13:$O$512,B308))</f>
      </c>
      <c r="R308" s="0" t="n">
        <f>IF(OR(B308="",D308=""),0,SUMPRODUCT(--($B$13:$B$512&lt;&gt;""),--($D$13:$D$512=D308),--($C$13:$C$512=C308))-1)</f>
        <v>0</v>
      </c>
      <c r="S308" s="0" t="n">
        <f>IF(OR(B308="",D308=""),0,SUMPRODUCT(--($B$13:$B$512&lt;&gt;""),--($D$13:$D$512=D308),--($C$13:$C$512&lt;&gt;C308)))</f>
        <v>0</v>
      </c>
      <c r="T308" s="0" t="n">
        <f>IF(OR(B308="",D308=""),0,SUMPRODUCT(--($B$13:$B$512&lt;&gt;""),--($D$13:$D$512=D308),--($E$13:$E$512&lt;&gt;E308)))</f>
        <v>0</v>
      </c>
      <c r="U308" s="0" t="n">
        <f>IF(B308="",0,IF(SUMPRODUCT(--('LÉEME'!$C$65:$C$86=E308))=0,1,0))</f>
        <v>0</v>
      </c>
      <c r="V308" s="0">
        <f>IF(B308="","",SUMIFS('PEGAR'!$AA$13:$AA$512,'PEGAR'!$O$13:$O$512,B308))</f>
      </c>
      <c r="W308" s="0">
        <f>IF(B308="","",IF(OR(L308=0,N308&gt;0,T308&gt;0,IF(ISNUMBER(H308),ROUND(ABS(H308),8)&gt;$F$6,FALSE)),2,IF(OR(M308=0,O308&gt;0,P308&gt;0,Q308&gt;0,R308&gt;0,S308&gt;0,U308&gt;0,V308&gt;0),1,0)))</f>
      </c>
      <c r="X308" s="0">
        <f>IF(B308="","",IF(ISNUMBER(G308),1,0))</f>
      </c>
      <c r="AB308" s="0">
        <f>IF(AND(ISNUMBER(W308),W308&gt;0),"ID "&amp;B308,"")</f>
      </c>
      <c r="AC308" s="0">
        <f>IF(AND(ISNUMBER(W308),W308&gt;0),C308,"")</f>
      </c>
      <c r="AD308" s="0">
        <f>IF(AND(ISNUMBER(W308),W308&gt;0),D308,"")</f>
      </c>
      <c r="AE308" s="0">
        <f>IF(AND(ISNUMBER(W308),W308&gt;0),IF(INDEX('PEGAR'!$D$13:$D$512,IF(L308&gt;0,L308,K308))="","Sin descripción",INDEX('PEGAR'!$D$13:$D$512,IF(L308&gt;0,L308,K308))),"")</f>
      </c>
      <c r="AF308" s="0">
        <f>IF(AND(ISNUMBER(W308),W308&gt;0),J308,"")</f>
      </c>
      <c r="AG308" s="0" t="n">
        <f>IF(AND(ISNUMBER(W308),W308&gt;0),W308,0)</f>
        <v>0</v>
      </c>
      <c r="AH308" s="0">
        <f>IF(AG308&gt;0,COUNTIFS($AG$13:AG308,"&gt;0"),"")</f>
      </c>
    </row>
    <row r="309" ht="22" customHeight="1">
      <c r="B309" s="27">
        <f>IF(K309="","",INDEX('PEGAR'!$O$13:$O$512,K309))</f>
      </c>
      <c r="C309" s="30">
        <f>IF(B309="","",IF(LEN(TRIM(INDEX('PEGAR'!$B$13:$B$512,IF(L309&gt;0,L309,K309))&amp;""))=0,"Sin capítulo",TRIM(INDEX('PEGAR'!$B$13:$B$512,IF(L309&gt;0,L309,K309))&amp;"")))</f>
      </c>
      <c r="D309" s="27">
        <f>IF(B309="","",IF(LEN(TRIM(INDEX('PEGAR'!$C$13:$C$512,IF(L309&gt;0,L309,K309))&amp;""))=0,"",TRIM(INDEX('PEGAR'!$C$13:$C$512,IF(L309&gt;0,L309,K309))&amp;"")))</f>
      </c>
      <c r="E309" s="27">
        <f>IF(B309="","",INDEX('PEGAR'!$S$13:$S$512,IF(L309&gt;0,L309,K309)))</f>
      </c>
      <c r="F309" s="39">
        <f>IF(B309="","",IF(L309&gt;0,INDEX('PEGAR'!$F$13:$F$512,L309),""))</f>
      </c>
      <c r="G309" s="39">
        <f>IF(B309="","",IF(OR(M309=0,N309&gt;0,O309&gt;0),"",SUMIFS('PEGAR'!$M$13:$M$512,'PEGAR'!$O$13:$O$512,B309)))</f>
      </c>
      <c r="H309" s="39">
        <f>IF(AND(ISNUMBER(F309),ISNUMBER(G309)),G309-F309,"")</f>
      </c>
      <c r="I309" s="27">
        <f>IF(B309="","",IF(W309=2,"ROJO",IF(W309=1,"ÁMBAR","VERDE")))</f>
      </c>
      <c r="J309" s="30">
        <f>IF(B309="","",IF(W309=0,"Sin avisos numéricos. Revisamos el alcance aparte.",IF(L309=0,"Faltan datos completos de partida; no elegimos un total por suposición."&amp;CHAR(10),"")&amp;IF(N309&gt;0,"Hay filas incompletas o contradictorias; las revisamos en PEGAR."&amp;CHAR(10),"")&amp;IF(O309&gt;0,"Faltan las medidas de alguna fila; no cerramos la suma."&amp;CHAR(10),"")&amp;IF(M309=0,"No constan líneas de medición."&amp;CHAR(10),"")&amp;IF(IF(ISNUMBER(H309),ROUND(ABS(H309),8)&gt;$F$6,FALSE),"Las líneas difieren del total en más de 0,01; confirmamos cantidad o exclusión."&amp;CHAR(10),"")&amp;IF(P309&gt;0,"Parece m³: encontramos tres dimensiones bajo m²."&amp;CHAR(10),"")&amp;IF(R309&gt;0,"Código repetido dentro del capítulo; mantenemos sus ID separados."&amp;CHAR(10),"")&amp;IF(S309&gt;0,"Código repetido en otro capítulo; no unimos las partidas."&amp;CHAR(10),"")&amp;IF(T309&gt;0,"Mismo código con unidades distintas; pedimos aclaración."&amp;CHAR(10),"")&amp;IF(Q309&gt;0,"Hay más precisión que los decimales indicados; cotejamos el formato original."&amp;CHAR(10),"")&amp;IF(U309&gt;0,"Unidad sin normalizar; cotejamos su significado antes de sumar unidades."&amp;CHAR(10),"")&amp;IF(V309&gt;0,"Revisamos dimensiones, cantidades directas, ceros o deducciones en PEGAR."&amp;CHAR(10),"")))</f>
      </c>
      <c r="K309" s="0">
        <f>IF(297&gt;'RESUMEN'!$E$6,"",MATCH(297,'PEGAR'!$W$13:$W$512,0))</f>
      </c>
      <c r="L309" s="0">
        <f>IF(K309="","",INDEX('PEGAR'!$R$13:$R$512,K309))</f>
      </c>
      <c r="M309" s="0">
        <f>IF(B309="","",COUNTIFS('PEGAR'!$O$13:$O$512,B309,'PEGAR'!$P$13:$P$512,"DIMENSIONES")+COUNTIFS('PEGAR'!$O$13:$O$512,B309,'PEGAR'!$P$13:$P$512,"DIRECTA"))</f>
      </c>
      <c r="N309" s="0">
        <f>IF(B309="","",COUNTIFS('PEGAR'!$O$13:$O$512,B309,'PEGAR'!$X$13:$X$512,2))</f>
      </c>
      <c r="O309" s="0">
        <f>IF(B309="","",COUNTIFS('PEGAR'!$O$13:$O$512,B309,'PEGAR'!$P$13:$P$512,"SIN LÍNEAS"))</f>
      </c>
      <c r="P309" s="0">
        <f>IF(B309="","",SUMIFS('PEGAR'!$Y$13:$Y$512,'PEGAR'!$O$13:$O$512,B309))</f>
      </c>
      <c r="Q309" s="0">
        <f>IF(B309="","",SUMIFS('PEGAR'!$Z$13:$Z$512,'PEGAR'!$O$13:$O$512,B309))</f>
      </c>
      <c r="R309" s="0" t="n">
        <f>IF(OR(B309="",D309=""),0,SUMPRODUCT(--($B$13:$B$512&lt;&gt;""),--($D$13:$D$512=D309),--($C$13:$C$512=C309))-1)</f>
        <v>0</v>
      </c>
      <c r="S309" s="0" t="n">
        <f>IF(OR(B309="",D309=""),0,SUMPRODUCT(--($B$13:$B$512&lt;&gt;""),--($D$13:$D$512=D309),--($C$13:$C$512&lt;&gt;C309)))</f>
        <v>0</v>
      </c>
      <c r="T309" s="0" t="n">
        <f>IF(OR(B309="",D309=""),0,SUMPRODUCT(--($B$13:$B$512&lt;&gt;""),--($D$13:$D$512=D309),--($E$13:$E$512&lt;&gt;E309)))</f>
        <v>0</v>
      </c>
      <c r="U309" s="0" t="n">
        <f>IF(B309="",0,IF(SUMPRODUCT(--('LÉEME'!$C$65:$C$86=E309))=0,1,0))</f>
        <v>0</v>
      </c>
      <c r="V309" s="0">
        <f>IF(B309="","",SUMIFS('PEGAR'!$AA$13:$AA$512,'PEGAR'!$O$13:$O$512,B309))</f>
      </c>
      <c r="W309" s="0">
        <f>IF(B309="","",IF(OR(L309=0,N309&gt;0,T309&gt;0,IF(ISNUMBER(H309),ROUND(ABS(H309),8)&gt;$F$6,FALSE)),2,IF(OR(M309=0,O309&gt;0,P309&gt;0,Q309&gt;0,R309&gt;0,S309&gt;0,U309&gt;0,V309&gt;0),1,0)))</f>
      </c>
      <c r="X309" s="0">
        <f>IF(B309="","",IF(ISNUMBER(G309),1,0))</f>
      </c>
      <c r="AB309" s="0">
        <f>IF(AND(ISNUMBER(W309),W309&gt;0),"ID "&amp;B309,"")</f>
      </c>
      <c r="AC309" s="0">
        <f>IF(AND(ISNUMBER(W309),W309&gt;0),C309,"")</f>
      </c>
      <c r="AD309" s="0">
        <f>IF(AND(ISNUMBER(W309),W309&gt;0),D309,"")</f>
      </c>
      <c r="AE309" s="0">
        <f>IF(AND(ISNUMBER(W309),W309&gt;0),IF(INDEX('PEGAR'!$D$13:$D$512,IF(L309&gt;0,L309,K309))="","Sin descripción",INDEX('PEGAR'!$D$13:$D$512,IF(L309&gt;0,L309,K309))),"")</f>
      </c>
      <c r="AF309" s="0">
        <f>IF(AND(ISNUMBER(W309),W309&gt;0),J309,"")</f>
      </c>
      <c r="AG309" s="0" t="n">
        <f>IF(AND(ISNUMBER(W309),W309&gt;0),W309,0)</f>
        <v>0</v>
      </c>
      <c r="AH309" s="0">
        <f>IF(AG309&gt;0,COUNTIFS($AG$13:AG309,"&gt;0"),"")</f>
      </c>
    </row>
    <row r="310" ht="22" customHeight="1">
      <c r="B310" s="27">
        <f>IF(K310="","",INDEX('PEGAR'!$O$13:$O$512,K310))</f>
      </c>
      <c r="C310" s="30">
        <f>IF(B310="","",IF(LEN(TRIM(INDEX('PEGAR'!$B$13:$B$512,IF(L310&gt;0,L310,K310))&amp;""))=0,"Sin capítulo",TRIM(INDEX('PEGAR'!$B$13:$B$512,IF(L310&gt;0,L310,K310))&amp;"")))</f>
      </c>
      <c r="D310" s="27">
        <f>IF(B310="","",IF(LEN(TRIM(INDEX('PEGAR'!$C$13:$C$512,IF(L310&gt;0,L310,K310))&amp;""))=0,"",TRIM(INDEX('PEGAR'!$C$13:$C$512,IF(L310&gt;0,L310,K310))&amp;"")))</f>
      </c>
      <c r="E310" s="27">
        <f>IF(B310="","",INDEX('PEGAR'!$S$13:$S$512,IF(L310&gt;0,L310,K310)))</f>
      </c>
      <c r="F310" s="39">
        <f>IF(B310="","",IF(L310&gt;0,INDEX('PEGAR'!$F$13:$F$512,L310),""))</f>
      </c>
      <c r="G310" s="39">
        <f>IF(B310="","",IF(OR(M310=0,N310&gt;0,O310&gt;0),"",SUMIFS('PEGAR'!$M$13:$M$512,'PEGAR'!$O$13:$O$512,B310)))</f>
      </c>
      <c r="H310" s="39">
        <f>IF(AND(ISNUMBER(F310),ISNUMBER(G310)),G310-F310,"")</f>
      </c>
      <c r="I310" s="27">
        <f>IF(B310="","",IF(W310=2,"ROJO",IF(W310=1,"ÁMBAR","VERDE")))</f>
      </c>
      <c r="J310" s="30">
        <f>IF(B310="","",IF(W310=0,"Sin avisos numéricos. Revisamos el alcance aparte.",IF(L310=0,"Faltan datos completos de partida; no elegimos un total por suposición."&amp;CHAR(10),"")&amp;IF(N310&gt;0,"Hay filas incompletas o contradictorias; las revisamos en PEGAR."&amp;CHAR(10),"")&amp;IF(O310&gt;0,"Faltan las medidas de alguna fila; no cerramos la suma."&amp;CHAR(10),"")&amp;IF(M310=0,"No constan líneas de medición."&amp;CHAR(10),"")&amp;IF(IF(ISNUMBER(H310),ROUND(ABS(H310),8)&gt;$F$6,FALSE),"Las líneas difieren del total en más de 0,01; confirmamos cantidad o exclusión."&amp;CHAR(10),"")&amp;IF(P310&gt;0,"Parece m³: encontramos tres dimensiones bajo m²."&amp;CHAR(10),"")&amp;IF(R310&gt;0,"Código repetido dentro del capítulo; mantenemos sus ID separados."&amp;CHAR(10),"")&amp;IF(S310&gt;0,"Código repetido en otro capítulo; no unimos las partidas."&amp;CHAR(10),"")&amp;IF(T310&gt;0,"Mismo código con unidades distintas; pedimos aclaración."&amp;CHAR(10),"")&amp;IF(Q310&gt;0,"Hay más precisión que los decimales indicados; cotejamos el formato original."&amp;CHAR(10),"")&amp;IF(U310&gt;0,"Unidad sin normalizar; cotejamos su significado antes de sumar unidades."&amp;CHAR(10),"")&amp;IF(V310&gt;0,"Revisamos dimensiones, cantidades directas, ceros o deducciones en PEGAR."&amp;CHAR(10),"")))</f>
      </c>
      <c r="K310" s="0">
        <f>IF(298&gt;'RESUMEN'!$E$6,"",MATCH(298,'PEGAR'!$W$13:$W$512,0))</f>
      </c>
      <c r="L310" s="0">
        <f>IF(K310="","",INDEX('PEGAR'!$R$13:$R$512,K310))</f>
      </c>
      <c r="M310" s="0">
        <f>IF(B310="","",COUNTIFS('PEGAR'!$O$13:$O$512,B310,'PEGAR'!$P$13:$P$512,"DIMENSIONES")+COUNTIFS('PEGAR'!$O$13:$O$512,B310,'PEGAR'!$P$13:$P$512,"DIRECTA"))</f>
      </c>
      <c r="N310" s="0">
        <f>IF(B310="","",COUNTIFS('PEGAR'!$O$13:$O$512,B310,'PEGAR'!$X$13:$X$512,2))</f>
      </c>
      <c r="O310" s="0">
        <f>IF(B310="","",COUNTIFS('PEGAR'!$O$13:$O$512,B310,'PEGAR'!$P$13:$P$512,"SIN LÍNEAS"))</f>
      </c>
      <c r="P310" s="0">
        <f>IF(B310="","",SUMIFS('PEGAR'!$Y$13:$Y$512,'PEGAR'!$O$13:$O$512,B310))</f>
      </c>
      <c r="Q310" s="0">
        <f>IF(B310="","",SUMIFS('PEGAR'!$Z$13:$Z$512,'PEGAR'!$O$13:$O$512,B310))</f>
      </c>
      <c r="R310" s="0" t="n">
        <f>IF(OR(B310="",D310=""),0,SUMPRODUCT(--($B$13:$B$512&lt;&gt;""),--($D$13:$D$512=D310),--($C$13:$C$512=C310))-1)</f>
        <v>0</v>
      </c>
      <c r="S310" s="0" t="n">
        <f>IF(OR(B310="",D310=""),0,SUMPRODUCT(--($B$13:$B$512&lt;&gt;""),--($D$13:$D$512=D310),--($C$13:$C$512&lt;&gt;C310)))</f>
        <v>0</v>
      </c>
      <c r="T310" s="0" t="n">
        <f>IF(OR(B310="",D310=""),0,SUMPRODUCT(--($B$13:$B$512&lt;&gt;""),--($D$13:$D$512=D310),--($E$13:$E$512&lt;&gt;E310)))</f>
        <v>0</v>
      </c>
      <c r="U310" s="0" t="n">
        <f>IF(B310="",0,IF(SUMPRODUCT(--('LÉEME'!$C$65:$C$86=E310))=0,1,0))</f>
        <v>0</v>
      </c>
      <c r="V310" s="0">
        <f>IF(B310="","",SUMIFS('PEGAR'!$AA$13:$AA$512,'PEGAR'!$O$13:$O$512,B310))</f>
      </c>
      <c r="W310" s="0">
        <f>IF(B310="","",IF(OR(L310=0,N310&gt;0,T310&gt;0,IF(ISNUMBER(H310),ROUND(ABS(H310),8)&gt;$F$6,FALSE)),2,IF(OR(M310=0,O310&gt;0,P310&gt;0,Q310&gt;0,R310&gt;0,S310&gt;0,U310&gt;0,V310&gt;0),1,0)))</f>
      </c>
      <c r="X310" s="0">
        <f>IF(B310="","",IF(ISNUMBER(G310),1,0))</f>
      </c>
      <c r="AB310" s="0">
        <f>IF(AND(ISNUMBER(W310),W310&gt;0),"ID "&amp;B310,"")</f>
      </c>
      <c r="AC310" s="0">
        <f>IF(AND(ISNUMBER(W310),W310&gt;0),C310,"")</f>
      </c>
      <c r="AD310" s="0">
        <f>IF(AND(ISNUMBER(W310),W310&gt;0),D310,"")</f>
      </c>
      <c r="AE310" s="0">
        <f>IF(AND(ISNUMBER(W310),W310&gt;0),IF(INDEX('PEGAR'!$D$13:$D$512,IF(L310&gt;0,L310,K310))="","Sin descripción",INDEX('PEGAR'!$D$13:$D$512,IF(L310&gt;0,L310,K310))),"")</f>
      </c>
      <c r="AF310" s="0">
        <f>IF(AND(ISNUMBER(W310),W310&gt;0),J310,"")</f>
      </c>
      <c r="AG310" s="0" t="n">
        <f>IF(AND(ISNUMBER(W310),W310&gt;0),W310,0)</f>
        <v>0</v>
      </c>
      <c r="AH310" s="0">
        <f>IF(AG310&gt;0,COUNTIFS($AG$13:AG310,"&gt;0"),"")</f>
      </c>
    </row>
    <row r="311" ht="22" customHeight="1">
      <c r="B311" s="27">
        <f>IF(K311="","",INDEX('PEGAR'!$O$13:$O$512,K311))</f>
      </c>
      <c r="C311" s="30">
        <f>IF(B311="","",IF(LEN(TRIM(INDEX('PEGAR'!$B$13:$B$512,IF(L311&gt;0,L311,K311))&amp;""))=0,"Sin capítulo",TRIM(INDEX('PEGAR'!$B$13:$B$512,IF(L311&gt;0,L311,K311))&amp;"")))</f>
      </c>
      <c r="D311" s="27">
        <f>IF(B311="","",IF(LEN(TRIM(INDEX('PEGAR'!$C$13:$C$512,IF(L311&gt;0,L311,K311))&amp;""))=0,"",TRIM(INDEX('PEGAR'!$C$13:$C$512,IF(L311&gt;0,L311,K311))&amp;"")))</f>
      </c>
      <c r="E311" s="27">
        <f>IF(B311="","",INDEX('PEGAR'!$S$13:$S$512,IF(L311&gt;0,L311,K311)))</f>
      </c>
      <c r="F311" s="39">
        <f>IF(B311="","",IF(L311&gt;0,INDEX('PEGAR'!$F$13:$F$512,L311),""))</f>
      </c>
      <c r="G311" s="39">
        <f>IF(B311="","",IF(OR(M311=0,N311&gt;0,O311&gt;0),"",SUMIFS('PEGAR'!$M$13:$M$512,'PEGAR'!$O$13:$O$512,B311)))</f>
      </c>
      <c r="H311" s="39">
        <f>IF(AND(ISNUMBER(F311),ISNUMBER(G311)),G311-F311,"")</f>
      </c>
      <c r="I311" s="27">
        <f>IF(B311="","",IF(W311=2,"ROJO",IF(W311=1,"ÁMBAR","VERDE")))</f>
      </c>
      <c r="J311" s="30">
        <f>IF(B311="","",IF(W311=0,"Sin avisos numéricos. Revisamos el alcance aparte.",IF(L311=0,"Faltan datos completos de partida; no elegimos un total por suposición."&amp;CHAR(10),"")&amp;IF(N311&gt;0,"Hay filas incompletas o contradictorias; las revisamos en PEGAR."&amp;CHAR(10),"")&amp;IF(O311&gt;0,"Faltan las medidas de alguna fila; no cerramos la suma."&amp;CHAR(10),"")&amp;IF(M311=0,"No constan líneas de medición."&amp;CHAR(10),"")&amp;IF(IF(ISNUMBER(H311),ROUND(ABS(H311),8)&gt;$F$6,FALSE),"Las líneas difieren del total en más de 0,01; confirmamos cantidad o exclusión."&amp;CHAR(10),"")&amp;IF(P311&gt;0,"Parece m³: encontramos tres dimensiones bajo m²."&amp;CHAR(10),"")&amp;IF(R311&gt;0,"Código repetido dentro del capítulo; mantenemos sus ID separados."&amp;CHAR(10),"")&amp;IF(S311&gt;0,"Código repetido en otro capítulo; no unimos las partidas."&amp;CHAR(10),"")&amp;IF(T311&gt;0,"Mismo código con unidades distintas; pedimos aclaración."&amp;CHAR(10),"")&amp;IF(Q311&gt;0,"Hay más precisión que los decimales indicados; cotejamos el formato original."&amp;CHAR(10),"")&amp;IF(U311&gt;0,"Unidad sin normalizar; cotejamos su significado antes de sumar unidades."&amp;CHAR(10),"")&amp;IF(V311&gt;0,"Revisamos dimensiones, cantidades directas, ceros o deducciones en PEGAR."&amp;CHAR(10),"")))</f>
      </c>
      <c r="K311" s="0">
        <f>IF(299&gt;'RESUMEN'!$E$6,"",MATCH(299,'PEGAR'!$W$13:$W$512,0))</f>
      </c>
      <c r="L311" s="0">
        <f>IF(K311="","",INDEX('PEGAR'!$R$13:$R$512,K311))</f>
      </c>
      <c r="M311" s="0">
        <f>IF(B311="","",COUNTIFS('PEGAR'!$O$13:$O$512,B311,'PEGAR'!$P$13:$P$512,"DIMENSIONES")+COUNTIFS('PEGAR'!$O$13:$O$512,B311,'PEGAR'!$P$13:$P$512,"DIRECTA"))</f>
      </c>
      <c r="N311" s="0">
        <f>IF(B311="","",COUNTIFS('PEGAR'!$O$13:$O$512,B311,'PEGAR'!$X$13:$X$512,2))</f>
      </c>
      <c r="O311" s="0">
        <f>IF(B311="","",COUNTIFS('PEGAR'!$O$13:$O$512,B311,'PEGAR'!$P$13:$P$512,"SIN LÍNEAS"))</f>
      </c>
      <c r="P311" s="0">
        <f>IF(B311="","",SUMIFS('PEGAR'!$Y$13:$Y$512,'PEGAR'!$O$13:$O$512,B311))</f>
      </c>
      <c r="Q311" s="0">
        <f>IF(B311="","",SUMIFS('PEGAR'!$Z$13:$Z$512,'PEGAR'!$O$13:$O$512,B311))</f>
      </c>
      <c r="R311" s="0" t="n">
        <f>IF(OR(B311="",D311=""),0,SUMPRODUCT(--($B$13:$B$512&lt;&gt;""),--($D$13:$D$512=D311),--($C$13:$C$512=C311))-1)</f>
        <v>0</v>
      </c>
      <c r="S311" s="0" t="n">
        <f>IF(OR(B311="",D311=""),0,SUMPRODUCT(--($B$13:$B$512&lt;&gt;""),--($D$13:$D$512=D311),--($C$13:$C$512&lt;&gt;C311)))</f>
        <v>0</v>
      </c>
      <c r="T311" s="0" t="n">
        <f>IF(OR(B311="",D311=""),0,SUMPRODUCT(--($B$13:$B$512&lt;&gt;""),--($D$13:$D$512=D311),--($E$13:$E$512&lt;&gt;E311)))</f>
        <v>0</v>
      </c>
      <c r="U311" s="0" t="n">
        <f>IF(B311="",0,IF(SUMPRODUCT(--('LÉEME'!$C$65:$C$86=E311))=0,1,0))</f>
        <v>0</v>
      </c>
      <c r="V311" s="0">
        <f>IF(B311="","",SUMIFS('PEGAR'!$AA$13:$AA$512,'PEGAR'!$O$13:$O$512,B311))</f>
      </c>
      <c r="W311" s="0">
        <f>IF(B311="","",IF(OR(L311=0,N311&gt;0,T311&gt;0,IF(ISNUMBER(H311),ROUND(ABS(H311),8)&gt;$F$6,FALSE)),2,IF(OR(M311=0,O311&gt;0,P311&gt;0,Q311&gt;0,R311&gt;0,S311&gt;0,U311&gt;0,V311&gt;0),1,0)))</f>
      </c>
      <c r="X311" s="0">
        <f>IF(B311="","",IF(ISNUMBER(G311),1,0))</f>
      </c>
      <c r="AB311" s="0">
        <f>IF(AND(ISNUMBER(W311),W311&gt;0),"ID "&amp;B311,"")</f>
      </c>
      <c r="AC311" s="0">
        <f>IF(AND(ISNUMBER(W311),W311&gt;0),C311,"")</f>
      </c>
      <c r="AD311" s="0">
        <f>IF(AND(ISNUMBER(W311),W311&gt;0),D311,"")</f>
      </c>
      <c r="AE311" s="0">
        <f>IF(AND(ISNUMBER(W311),W311&gt;0),IF(INDEX('PEGAR'!$D$13:$D$512,IF(L311&gt;0,L311,K311))="","Sin descripción",INDEX('PEGAR'!$D$13:$D$512,IF(L311&gt;0,L311,K311))),"")</f>
      </c>
      <c r="AF311" s="0">
        <f>IF(AND(ISNUMBER(W311),W311&gt;0),J311,"")</f>
      </c>
      <c r="AG311" s="0" t="n">
        <f>IF(AND(ISNUMBER(W311),W311&gt;0),W311,0)</f>
        <v>0</v>
      </c>
      <c r="AH311" s="0">
        <f>IF(AG311&gt;0,COUNTIFS($AG$13:AG311,"&gt;0"),"")</f>
      </c>
    </row>
    <row r="312" ht="22" customHeight="1">
      <c r="B312" s="27">
        <f>IF(K312="","",INDEX('PEGAR'!$O$13:$O$512,K312))</f>
      </c>
      <c r="C312" s="30">
        <f>IF(B312="","",IF(LEN(TRIM(INDEX('PEGAR'!$B$13:$B$512,IF(L312&gt;0,L312,K312))&amp;""))=0,"Sin capítulo",TRIM(INDEX('PEGAR'!$B$13:$B$512,IF(L312&gt;0,L312,K312))&amp;"")))</f>
      </c>
      <c r="D312" s="27">
        <f>IF(B312="","",IF(LEN(TRIM(INDEX('PEGAR'!$C$13:$C$512,IF(L312&gt;0,L312,K312))&amp;""))=0,"",TRIM(INDEX('PEGAR'!$C$13:$C$512,IF(L312&gt;0,L312,K312))&amp;"")))</f>
      </c>
      <c r="E312" s="27">
        <f>IF(B312="","",INDEX('PEGAR'!$S$13:$S$512,IF(L312&gt;0,L312,K312)))</f>
      </c>
      <c r="F312" s="39">
        <f>IF(B312="","",IF(L312&gt;0,INDEX('PEGAR'!$F$13:$F$512,L312),""))</f>
      </c>
      <c r="G312" s="39">
        <f>IF(B312="","",IF(OR(M312=0,N312&gt;0,O312&gt;0),"",SUMIFS('PEGAR'!$M$13:$M$512,'PEGAR'!$O$13:$O$512,B312)))</f>
      </c>
      <c r="H312" s="39">
        <f>IF(AND(ISNUMBER(F312),ISNUMBER(G312)),G312-F312,"")</f>
      </c>
      <c r="I312" s="27">
        <f>IF(B312="","",IF(W312=2,"ROJO",IF(W312=1,"ÁMBAR","VERDE")))</f>
      </c>
      <c r="J312" s="30">
        <f>IF(B312="","",IF(W312=0,"Sin avisos numéricos. Revisamos el alcance aparte.",IF(L312=0,"Faltan datos completos de partida; no elegimos un total por suposición."&amp;CHAR(10),"")&amp;IF(N312&gt;0,"Hay filas incompletas o contradictorias; las revisamos en PEGAR."&amp;CHAR(10),"")&amp;IF(O312&gt;0,"Faltan las medidas de alguna fila; no cerramos la suma."&amp;CHAR(10),"")&amp;IF(M312=0,"No constan líneas de medición."&amp;CHAR(10),"")&amp;IF(IF(ISNUMBER(H312),ROUND(ABS(H312),8)&gt;$F$6,FALSE),"Las líneas difieren del total en más de 0,01; confirmamos cantidad o exclusión."&amp;CHAR(10),"")&amp;IF(P312&gt;0,"Parece m³: encontramos tres dimensiones bajo m²."&amp;CHAR(10),"")&amp;IF(R312&gt;0,"Código repetido dentro del capítulo; mantenemos sus ID separados."&amp;CHAR(10),"")&amp;IF(S312&gt;0,"Código repetido en otro capítulo; no unimos las partidas."&amp;CHAR(10),"")&amp;IF(T312&gt;0,"Mismo código con unidades distintas; pedimos aclaración."&amp;CHAR(10),"")&amp;IF(Q312&gt;0,"Hay más precisión que los decimales indicados; cotejamos el formato original."&amp;CHAR(10),"")&amp;IF(U312&gt;0,"Unidad sin normalizar; cotejamos su significado antes de sumar unidades."&amp;CHAR(10),"")&amp;IF(V312&gt;0,"Revisamos dimensiones, cantidades directas, ceros o deducciones en PEGAR."&amp;CHAR(10),"")))</f>
      </c>
      <c r="K312" s="0">
        <f>IF(300&gt;'RESUMEN'!$E$6,"",MATCH(300,'PEGAR'!$W$13:$W$512,0))</f>
      </c>
      <c r="L312" s="0">
        <f>IF(K312="","",INDEX('PEGAR'!$R$13:$R$512,K312))</f>
      </c>
      <c r="M312" s="0">
        <f>IF(B312="","",COUNTIFS('PEGAR'!$O$13:$O$512,B312,'PEGAR'!$P$13:$P$512,"DIMENSIONES")+COUNTIFS('PEGAR'!$O$13:$O$512,B312,'PEGAR'!$P$13:$P$512,"DIRECTA"))</f>
      </c>
      <c r="N312" s="0">
        <f>IF(B312="","",COUNTIFS('PEGAR'!$O$13:$O$512,B312,'PEGAR'!$X$13:$X$512,2))</f>
      </c>
      <c r="O312" s="0">
        <f>IF(B312="","",COUNTIFS('PEGAR'!$O$13:$O$512,B312,'PEGAR'!$P$13:$P$512,"SIN LÍNEAS"))</f>
      </c>
      <c r="P312" s="0">
        <f>IF(B312="","",SUMIFS('PEGAR'!$Y$13:$Y$512,'PEGAR'!$O$13:$O$512,B312))</f>
      </c>
      <c r="Q312" s="0">
        <f>IF(B312="","",SUMIFS('PEGAR'!$Z$13:$Z$512,'PEGAR'!$O$13:$O$512,B312))</f>
      </c>
      <c r="R312" s="0" t="n">
        <f>IF(OR(B312="",D312=""),0,SUMPRODUCT(--($B$13:$B$512&lt;&gt;""),--($D$13:$D$512=D312),--($C$13:$C$512=C312))-1)</f>
        <v>0</v>
      </c>
      <c r="S312" s="0" t="n">
        <f>IF(OR(B312="",D312=""),0,SUMPRODUCT(--($B$13:$B$512&lt;&gt;""),--($D$13:$D$512=D312),--($C$13:$C$512&lt;&gt;C312)))</f>
        <v>0</v>
      </c>
      <c r="T312" s="0" t="n">
        <f>IF(OR(B312="",D312=""),0,SUMPRODUCT(--($B$13:$B$512&lt;&gt;""),--($D$13:$D$512=D312),--($E$13:$E$512&lt;&gt;E312)))</f>
        <v>0</v>
      </c>
      <c r="U312" s="0" t="n">
        <f>IF(B312="",0,IF(SUMPRODUCT(--('LÉEME'!$C$65:$C$86=E312))=0,1,0))</f>
        <v>0</v>
      </c>
      <c r="V312" s="0">
        <f>IF(B312="","",SUMIFS('PEGAR'!$AA$13:$AA$512,'PEGAR'!$O$13:$O$512,B312))</f>
      </c>
      <c r="W312" s="0">
        <f>IF(B312="","",IF(OR(L312=0,N312&gt;0,T312&gt;0,IF(ISNUMBER(H312),ROUND(ABS(H312),8)&gt;$F$6,FALSE)),2,IF(OR(M312=0,O312&gt;0,P312&gt;0,Q312&gt;0,R312&gt;0,S312&gt;0,U312&gt;0,V312&gt;0),1,0)))</f>
      </c>
      <c r="X312" s="0">
        <f>IF(B312="","",IF(ISNUMBER(G312),1,0))</f>
      </c>
      <c r="AB312" s="0">
        <f>IF(AND(ISNUMBER(W312),W312&gt;0),"ID "&amp;B312,"")</f>
      </c>
      <c r="AC312" s="0">
        <f>IF(AND(ISNUMBER(W312),W312&gt;0),C312,"")</f>
      </c>
      <c r="AD312" s="0">
        <f>IF(AND(ISNUMBER(W312),W312&gt;0),D312,"")</f>
      </c>
      <c r="AE312" s="0">
        <f>IF(AND(ISNUMBER(W312),W312&gt;0),IF(INDEX('PEGAR'!$D$13:$D$512,IF(L312&gt;0,L312,K312))="","Sin descripción",INDEX('PEGAR'!$D$13:$D$512,IF(L312&gt;0,L312,K312))),"")</f>
      </c>
      <c r="AF312" s="0">
        <f>IF(AND(ISNUMBER(W312),W312&gt;0),J312,"")</f>
      </c>
      <c r="AG312" s="0" t="n">
        <f>IF(AND(ISNUMBER(W312),W312&gt;0),W312,0)</f>
        <v>0</v>
      </c>
      <c r="AH312" s="0">
        <f>IF(AG312&gt;0,COUNTIFS($AG$13:AG312,"&gt;0"),"")</f>
      </c>
    </row>
    <row r="313" ht="22" customHeight="1">
      <c r="B313" s="27">
        <f>IF(K313="","",INDEX('PEGAR'!$O$13:$O$512,K313))</f>
      </c>
      <c r="C313" s="30">
        <f>IF(B313="","",IF(LEN(TRIM(INDEX('PEGAR'!$B$13:$B$512,IF(L313&gt;0,L313,K313))&amp;""))=0,"Sin capítulo",TRIM(INDEX('PEGAR'!$B$13:$B$512,IF(L313&gt;0,L313,K313))&amp;"")))</f>
      </c>
      <c r="D313" s="27">
        <f>IF(B313="","",IF(LEN(TRIM(INDEX('PEGAR'!$C$13:$C$512,IF(L313&gt;0,L313,K313))&amp;""))=0,"",TRIM(INDEX('PEGAR'!$C$13:$C$512,IF(L313&gt;0,L313,K313))&amp;"")))</f>
      </c>
      <c r="E313" s="27">
        <f>IF(B313="","",INDEX('PEGAR'!$S$13:$S$512,IF(L313&gt;0,L313,K313)))</f>
      </c>
      <c r="F313" s="39">
        <f>IF(B313="","",IF(L313&gt;0,INDEX('PEGAR'!$F$13:$F$512,L313),""))</f>
      </c>
      <c r="G313" s="39">
        <f>IF(B313="","",IF(OR(M313=0,N313&gt;0,O313&gt;0),"",SUMIFS('PEGAR'!$M$13:$M$512,'PEGAR'!$O$13:$O$512,B313)))</f>
      </c>
      <c r="H313" s="39">
        <f>IF(AND(ISNUMBER(F313),ISNUMBER(G313)),G313-F313,"")</f>
      </c>
      <c r="I313" s="27">
        <f>IF(B313="","",IF(W313=2,"ROJO",IF(W313=1,"ÁMBAR","VERDE")))</f>
      </c>
      <c r="J313" s="30">
        <f>IF(B313="","",IF(W313=0,"Sin avisos numéricos. Revisamos el alcance aparte.",IF(L313=0,"Faltan datos completos de partida; no elegimos un total por suposición."&amp;CHAR(10),"")&amp;IF(N313&gt;0,"Hay filas incompletas o contradictorias; las revisamos en PEGAR."&amp;CHAR(10),"")&amp;IF(O313&gt;0,"Faltan las medidas de alguna fila; no cerramos la suma."&amp;CHAR(10),"")&amp;IF(M313=0,"No constan líneas de medición."&amp;CHAR(10),"")&amp;IF(IF(ISNUMBER(H313),ROUND(ABS(H313),8)&gt;$F$6,FALSE),"Las líneas difieren del total en más de 0,01; confirmamos cantidad o exclusión."&amp;CHAR(10),"")&amp;IF(P313&gt;0,"Parece m³: encontramos tres dimensiones bajo m²."&amp;CHAR(10),"")&amp;IF(R313&gt;0,"Código repetido dentro del capítulo; mantenemos sus ID separados."&amp;CHAR(10),"")&amp;IF(S313&gt;0,"Código repetido en otro capítulo; no unimos las partidas."&amp;CHAR(10),"")&amp;IF(T313&gt;0,"Mismo código con unidades distintas; pedimos aclaración."&amp;CHAR(10),"")&amp;IF(Q313&gt;0,"Hay más precisión que los decimales indicados; cotejamos el formato original."&amp;CHAR(10),"")&amp;IF(U313&gt;0,"Unidad sin normalizar; cotejamos su significado antes de sumar unidades."&amp;CHAR(10),"")&amp;IF(V313&gt;0,"Revisamos dimensiones, cantidades directas, ceros o deducciones en PEGAR."&amp;CHAR(10),"")))</f>
      </c>
      <c r="K313" s="0">
        <f>IF(301&gt;'RESUMEN'!$E$6,"",MATCH(301,'PEGAR'!$W$13:$W$512,0))</f>
      </c>
      <c r="L313" s="0">
        <f>IF(K313="","",INDEX('PEGAR'!$R$13:$R$512,K313))</f>
      </c>
      <c r="M313" s="0">
        <f>IF(B313="","",COUNTIFS('PEGAR'!$O$13:$O$512,B313,'PEGAR'!$P$13:$P$512,"DIMENSIONES")+COUNTIFS('PEGAR'!$O$13:$O$512,B313,'PEGAR'!$P$13:$P$512,"DIRECTA"))</f>
      </c>
      <c r="N313" s="0">
        <f>IF(B313="","",COUNTIFS('PEGAR'!$O$13:$O$512,B313,'PEGAR'!$X$13:$X$512,2))</f>
      </c>
      <c r="O313" s="0">
        <f>IF(B313="","",COUNTIFS('PEGAR'!$O$13:$O$512,B313,'PEGAR'!$P$13:$P$512,"SIN LÍNEAS"))</f>
      </c>
      <c r="P313" s="0">
        <f>IF(B313="","",SUMIFS('PEGAR'!$Y$13:$Y$512,'PEGAR'!$O$13:$O$512,B313))</f>
      </c>
      <c r="Q313" s="0">
        <f>IF(B313="","",SUMIFS('PEGAR'!$Z$13:$Z$512,'PEGAR'!$O$13:$O$512,B313))</f>
      </c>
      <c r="R313" s="0" t="n">
        <f>IF(OR(B313="",D313=""),0,SUMPRODUCT(--($B$13:$B$512&lt;&gt;""),--($D$13:$D$512=D313),--($C$13:$C$512=C313))-1)</f>
        <v>0</v>
      </c>
      <c r="S313" s="0" t="n">
        <f>IF(OR(B313="",D313=""),0,SUMPRODUCT(--($B$13:$B$512&lt;&gt;""),--($D$13:$D$512=D313),--($C$13:$C$512&lt;&gt;C313)))</f>
        <v>0</v>
      </c>
      <c r="T313" s="0" t="n">
        <f>IF(OR(B313="",D313=""),0,SUMPRODUCT(--($B$13:$B$512&lt;&gt;""),--($D$13:$D$512=D313),--($E$13:$E$512&lt;&gt;E313)))</f>
        <v>0</v>
      </c>
      <c r="U313" s="0" t="n">
        <f>IF(B313="",0,IF(SUMPRODUCT(--('LÉEME'!$C$65:$C$86=E313))=0,1,0))</f>
        <v>0</v>
      </c>
      <c r="V313" s="0">
        <f>IF(B313="","",SUMIFS('PEGAR'!$AA$13:$AA$512,'PEGAR'!$O$13:$O$512,B313))</f>
      </c>
      <c r="W313" s="0">
        <f>IF(B313="","",IF(OR(L313=0,N313&gt;0,T313&gt;0,IF(ISNUMBER(H313),ROUND(ABS(H313),8)&gt;$F$6,FALSE)),2,IF(OR(M313=0,O313&gt;0,P313&gt;0,Q313&gt;0,R313&gt;0,S313&gt;0,U313&gt;0,V313&gt;0),1,0)))</f>
      </c>
      <c r="X313" s="0">
        <f>IF(B313="","",IF(ISNUMBER(G313),1,0))</f>
      </c>
      <c r="AB313" s="0">
        <f>IF(AND(ISNUMBER(W313),W313&gt;0),"ID "&amp;B313,"")</f>
      </c>
      <c r="AC313" s="0">
        <f>IF(AND(ISNUMBER(W313),W313&gt;0),C313,"")</f>
      </c>
      <c r="AD313" s="0">
        <f>IF(AND(ISNUMBER(W313),W313&gt;0),D313,"")</f>
      </c>
      <c r="AE313" s="0">
        <f>IF(AND(ISNUMBER(W313),W313&gt;0),IF(INDEX('PEGAR'!$D$13:$D$512,IF(L313&gt;0,L313,K313))="","Sin descripción",INDEX('PEGAR'!$D$13:$D$512,IF(L313&gt;0,L313,K313))),"")</f>
      </c>
      <c r="AF313" s="0">
        <f>IF(AND(ISNUMBER(W313),W313&gt;0),J313,"")</f>
      </c>
      <c r="AG313" s="0" t="n">
        <f>IF(AND(ISNUMBER(W313),W313&gt;0),W313,0)</f>
        <v>0</v>
      </c>
      <c r="AH313" s="0">
        <f>IF(AG313&gt;0,COUNTIFS($AG$13:AG313,"&gt;0"),"")</f>
      </c>
    </row>
    <row r="314" ht="22" customHeight="1">
      <c r="B314" s="27">
        <f>IF(K314="","",INDEX('PEGAR'!$O$13:$O$512,K314))</f>
      </c>
      <c r="C314" s="30">
        <f>IF(B314="","",IF(LEN(TRIM(INDEX('PEGAR'!$B$13:$B$512,IF(L314&gt;0,L314,K314))&amp;""))=0,"Sin capítulo",TRIM(INDEX('PEGAR'!$B$13:$B$512,IF(L314&gt;0,L314,K314))&amp;"")))</f>
      </c>
      <c r="D314" s="27">
        <f>IF(B314="","",IF(LEN(TRIM(INDEX('PEGAR'!$C$13:$C$512,IF(L314&gt;0,L314,K314))&amp;""))=0,"",TRIM(INDEX('PEGAR'!$C$13:$C$512,IF(L314&gt;0,L314,K314))&amp;"")))</f>
      </c>
      <c r="E314" s="27">
        <f>IF(B314="","",INDEX('PEGAR'!$S$13:$S$512,IF(L314&gt;0,L314,K314)))</f>
      </c>
      <c r="F314" s="39">
        <f>IF(B314="","",IF(L314&gt;0,INDEX('PEGAR'!$F$13:$F$512,L314),""))</f>
      </c>
      <c r="G314" s="39">
        <f>IF(B314="","",IF(OR(M314=0,N314&gt;0,O314&gt;0),"",SUMIFS('PEGAR'!$M$13:$M$512,'PEGAR'!$O$13:$O$512,B314)))</f>
      </c>
      <c r="H314" s="39">
        <f>IF(AND(ISNUMBER(F314),ISNUMBER(G314)),G314-F314,"")</f>
      </c>
      <c r="I314" s="27">
        <f>IF(B314="","",IF(W314=2,"ROJO",IF(W314=1,"ÁMBAR","VERDE")))</f>
      </c>
      <c r="J314" s="30">
        <f>IF(B314="","",IF(W314=0,"Sin avisos numéricos. Revisamos el alcance aparte.",IF(L314=0,"Faltan datos completos de partida; no elegimos un total por suposición."&amp;CHAR(10),"")&amp;IF(N314&gt;0,"Hay filas incompletas o contradictorias; las revisamos en PEGAR."&amp;CHAR(10),"")&amp;IF(O314&gt;0,"Faltan las medidas de alguna fila; no cerramos la suma."&amp;CHAR(10),"")&amp;IF(M314=0,"No constan líneas de medición."&amp;CHAR(10),"")&amp;IF(IF(ISNUMBER(H314),ROUND(ABS(H314),8)&gt;$F$6,FALSE),"Las líneas difieren del total en más de 0,01; confirmamos cantidad o exclusión."&amp;CHAR(10),"")&amp;IF(P314&gt;0,"Parece m³: encontramos tres dimensiones bajo m²."&amp;CHAR(10),"")&amp;IF(R314&gt;0,"Código repetido dentro del capítulo; mantenemos sus ID separados."&amp;CHAR(10),"")&amp;IF(S314&gt;0,"Código repetido en otro capítulo; no unimos las partidas."&amp;CHAR(10),"")&amp;IF(T314&gt;0,"Mismo código con unidades distintas; pedimos aclaración."&amp;CHAR(10),"")&amp;IF(Q314&gt;0,"Hay más precisión que los decimales indicados; cotejamos el formato original."&amp;CHAR(10),"")&amp;IF(U314&gt;0,"Unidad sin normalizar; cotejamos su significado antes de sumar unidades."&amp;CHAR(10),"")&amp;IF(V314&gt;0,"Revisamos dimensiones, cantidades directas, ceros o deducciones en PEGAR."&amp;CHAR(10),"")))</f>
      </c>
      <c r="K314" s="0">
        <f>IF(302&gt;'RESUMEN'!$E$6,"",MATCH(302,'PEGAR'!$W$13:$W$512,0))</f>
      </c>
      <c r="L314" s="0">
        <f>IF(K314="","",INDEX('PEGAR'!$R$13:$R$512,K314))</f>
      </c>
      <c r="M314" s="0">
        <f>IF(B314="","",COUNTIFS('PEGAR'!$O$13:$O$512,B314,'PEGAR'!$P$13:$P$512,"DIMENSIONES")+COUNTIFS('PEGAR'!$O$13:$O$512,B314,'PEGAR'!$P$13:$P$512,"DIRECTA"))</f>
      </c>
      <c r="N314" s="0">
        <f>IF(B314="","",COUNTIFS('PEGAR'!$O$13:$O$512,B314,'PEGAR'!$X$13:$X$512,2))</f>
      </c>
      <c r="O314" s="0">
        <f>IF(B314="","",COUNTIFS('PEGAR'!$O$13:$O$512,B314,'PEGAR'!$P$13:$P$512,"SIN LÍNEAS"))</f>
      </c>
      <c r="P314" s="0">
        <f>IF(B314="","",SUMIFS('PEGAR'!$Y$13:$Y$512,'PEGAR'!$O$13:$O$512,B314))</f>
      </c>
      <c r="Q314" s="0">
        <f>IF(B314="","",SUMIFS('PEGAR'!$Z$13:$Z$512,'PEGAR'!$O$13:$O$512,B314))</f>
      </c>
      <c r="R314" s="0" t="n">
        <f>IF(OR(B314="",D314=""),0,SUMPRODUCT(--($B$13:$B$512&lt;&gt;""),--($D$13:$D$512=D314),--($C$13:$C$512=C314))-1)</f>
        <v>0</v>
      </c>
      <c r="S314" s="0" t="n">
        <f>IF(OR(B314="",D314=""),0,SUMPRODUCT(--($B$13:$B$512&lt;&gt;""),--($D$13:$D$512=D314),--($C$13:$C$512&lt;&gt;C314)))</f>
        <v>0</v>
      </c>
      <c r="T314" s="0" t="n">
        <f>IF(OR(B314="",D314=""),0,SUMPRODUCT(--($B$13:$B$512&lt;&gt;""),--($D$13:$D$512=D314),--($E$13:$E$512&lt;&gt;E314)))</f>
        <v>0</v>
      </c>
      <c r="U314" s="0" t="n">
        <f>IF(B314="",0,IF(SUMPRODUCT(--('LÉEME'!$C$65:$C$86=E314))=0,1,0))</f>
        <v>0</v>
      </c>
      <c r="V314" s="0">
        <f>IF(B314="","",SUMIFS('PEGAR'!$AA$13:$AA$512,'PEGAR'!$O$13:$O$512,B314))</f>
      </c>
      <c r="W314" s="0">
        <f>IF(B314="","",IF(OR(L314=0,N314&gt;0,T314&gt;0,IF(ISNUMBER(H314),ROUND(ABS(H314),8)&gt;$F$6,FALSE)),2,IF(OR(M314=0,O314&gt;0,P314&gt;0,Q314&gt;0,R314&gt;0,S314&gt;0,U314&gt;0,V314&gt;0),1,0)))</f>
      </c>
      <c r="X314" s="0">
        <f>IF(B314="","",IF(ISNUMBER(G314),1,0))</f>
      </c>
      <c r="AB314" s="0">
        <f>IF(AND(ISNUMBER(W314),W314&gt;0),"ID "&amp;B314,"")</f>
      </c>
      <c r="AC314" s="0">
        <f>IF(AND(ISNUMBER(W314),W314&gt;0),C314,"")</f>
      </c>
      <c r="AD314" s="0">
        <f>IF(AND(ISNUMBER(W314),W314&gt;0),D314,"")</f>
      </c>
      <c r="AE314" s="0">
        <f>IF(AND(ISNUMBER(W314),W314&gt;0),IF(INDEX('PEGAR'!$D$13:$D$512,IF(L314&gt;0,L314,K314))="","Sin descripción",INDEX('PEGAR'!$D$13:$D$512,IF(L314&gt;0,L314,K314))),"")</f>
      </c>
      <c r="AF314" s="0">
        <f>IF(AND(ISNUMBER(W314),W314&gt;0),J314,"")</f>
      </c>
      <c r="AG314" s="0" t="n">
        <f>IF(AND(ISNUMBER(W314),W314&gt;0),W314,0)</f>
        <v>0</v>
      </c>
      <c r="AH314" s="0">
        <f>IF(AG314&gt;0,COUNTIFS($AG$13:AG314,"&gt;0"),"")</f>
      </c>
    </row>
    <row r="315" ht="22" customHeight="1">
      <c r="B315" s="27">
        <f>IF(K315="","",INDEX('PEGAR'!$O$13:$O$512,K315))</f>
      </c>
      <c r="C315" s="30">
        <f>IF(B315="","",IF(LEN(TRIM(INDEX('PEGAR'!$B$13:$B$512,IF(L315&gt;0,L315,K315))&amp;""))=0,"Sin capítulo",TRIM(INDEX('PEGAR'!$B$13:$B$512,IF(L315&gt;0,L315,K315))&amp;"")))</f>
      </c>
      <c r="D315" s="27">
        <f>IF(B315="","",IF(LEN(TRIM(INDEX('PEGAR'!$C$13:$C$512,IF(L315&gt;0,L315,K315))&amp;""))=0,"",TRIM(INDEX('PEGAR'!$C$13:$C$512,IF(L315&gt;0,L315,K315))&amp;"")))</f>
      </c>
      <c r="E315" s="27">
        <f>IF(B315="","",INDEX('PEGAR'!$S$13:$S$512,IF(L315&gt;0,L315,K315)))</f>
      </c>
      <c r="F315" s="39">
        <f>IF(B315="","",IF(L315&gt;0,INDEX('PEGAR'!$F$13:$F$512,L315),""))</f>
      </c>
      <c r="G315" s="39">
        <f>IF(B315="","",IF(OR(M315=0,N315&gt;0,O315&gt;0),"",SUMIFS('PEGAR'!$M$13:$M$512,'PEGAR'!$O$13:$O$512,B315)))</f>
      </c>
      <c r="H315" s="39">
        <f>IF(AND(ISNUMBER(F315),ISNUMBER(G315)),G315-F315,"")</f>
      </c>
      <c r="I315" s="27">
        <f>IF(B315="","",IF(W315=2,"ROJO",IF(W315=1,"ÁMBAR","VERDE")))</f>
      </c>
      <c r="J315" s="30">
        <f>IF(B315="","",IF(W315=0,"Sin avisos numéricos. Revisamos el alcance aparte.",IF(L315=0,"Faltan datos completos de partida; no elegimos un total por suposición."&amp;CHAR(10),"")&amp;IF(N315&gt;0,"Hay filas incompletas o contradictorias; las revisamos en PEGAR."&amp;CHAR(10),"")&amp;IF(O315&gt;0,"Faltan las medidas de alguna fila; no cerramos la suma."&amp;CHAR(10),"")&amp;IF(M315=0,"No constan líneas de medición."&amp;CHAR(10),"")&amp;IF(IF(ISNUMBER(H315),ROUND(ABS(H315),8)&gt;$F$6,FALSE),"Las líneas difieren del total en más de 0,01; confirmamos cantidad o exclusión."&amp;CHAR(10),"")&amp;IF(P315&gt;0,"Parece m³: encontramos tres dimensiones bajo m²."&amp;CHAR(10),"")&amp;IF(R315&gt;0,"Código repetido dentro del capítulo; mantenemos sus ID separados."&amp;CHAR(10),"")&amp;IF(S315&gt;0,"Código repetido en otro capítulo; no unimos las partidas."&amp;CHAR(10),"")&amp;IF(T315&gt;0,"Mismo código con unidades distintas; pedimos aclaración."&amp;CHAR(10),"")&amp;IF(Q315&gt;0,"Hay más precisión que los decimales indicados; cotejamos el formato original."&amp;CHAR(10),"")&amp;IF(U315&gt;0,"Unidad sin normalizar; cotejamos su significado antes de sumar unidades."&amp;CHAR(10),"")&amp;IF(V315&gt;0,"Revisamos dimensiones, cantidades directas, ceros o deducciones en PEGAR."&amp;CHAR(10),"")))</f>
      </c>
      <c r="K315" s="0">
        <f>IF(303&gt;'RESUMEN'!$E$6,"",MATCH(303,'PEGAR'!$W$13:$W$512,0))</f>
      </c>
      <c r="L315" s="0">
        <f>IF(K315="","",INDEX('PEGAR'!$R$13:$R$512,K315))</f>
      </c>
      <c r="M315" s="0">
        <f>IF(B315="","",COUNTIFS('PEGAR'!$O$13:$O$512,B315,'PEGAR'!$P$13:$P$512,"DIMENSIONES")+COUNTIFS('PEGAR'!$O$13:$O$512,B315,'PEGAR'!$P$13:$P$512,"DIRECTA"))</f>
      </c>
      <c r="N315" s="0">
        <f>IF(B315="","",COUNTIFS('PEGAR'!$O$13:$O$512,B315,'PEGAR'!$X$13:$X$512,2))</f>
      </c>
      <c r="O315" s="0">
        <f>IF(B315="","",COUNTIFS('PEGAR'!$O$13:$O$512,B315,'PEGAR'!$P$13:$P$512,"SIN LÍNEAS"))</f>
      </c>
      <c r="P315" s="0">
        <f>IF(B315="","",SUMIFS('PEGAR'!$Y$13:$Y$512,'PEGAR'!$O$13:$O$512,B315))</f>
      </c>
      <c r="Q315" s="0">
        <f>IF(B315="","",SUMIFS('PEGAR'!$Z$13:$Z$512,'PEGAR'!$O$13:$O$512,B315))</f>
      </c>
      <c r="R315" s="0" t="n">
        <f>IF(OR(B315="",D315=""),0,SUMPRODUCT(--($B$13:$B$512&lt;&gt;""),--($D$13:$D$512=D315),--($C$13:$C$512=C315))-1)</f>
        <v>0</v>
      </c>
      <c r="S315" s="0" t="n">
        <f>IF(OR(B315="",D315=""),0,SUMPRODUCT(--($B$13:$B$512&lt;&gt;""),--($D$13:$D$512=D315),--($C$13:$C$512&lt;&gt;C315)))</f>
        <v>0</v>
      </c>
      <c r="T315" s="0" t="n">
        <f>IF(OR(B315="",D315=""),0,SUMPRODUCT(--($B$13:$B$512&lt;&gt;""),--($D$13:$D$512=D315),--($E$13:$E$512&lt;&gt;E315)))</f>
        <v>0</v>
      </c>
      <c r="U315" s="0" t="n">
        <f>IF(B315="",0,IF(SUMPRODUCT(--('LÉEME'!$C$65:$C$86=E315))=0,1,0))</f>
        <v>0</v>
      </c>
      <c r="V315" s="0">
        <f>IF(B315="","",SUMIFS('PEGAR'!$AA$13:$AA$512,'PEGAR'!$O$13:$O$512,B315))</f>
      </c>
      <c r="W315" s="0">
        <f>IF(B315="","",IF(OR(L315=0,N315&gt;0,T315&gt;0,IF(ISNUMBER(H315),ROUND(ABS(H315),8)&gt;$F$6,FALSE)),2,IF(OR(M315=0,O315&gt;0,P315&gt;0,Q315&gt;0,R315&gt;0,S315&gt;0,U315&gt;0,V315&gt;0),1,0)))</f>
      </c>
      <c r="X315" s="0">
        <f>IF(B315="","",IF(ISNUMBER(G315),1,0))</f>
      </c>
      <c r="AB315" s="0">
        <f>IF(AND(ISNUMBER(W315),W315&gt;0),"ID "&amp;B315,"")</f>
      </c>
      <c r="AC315" s="0">
        <f>IF(AND(ISNUMBER(W315),W315&gt;0),C315,"")</f>
      </c>
      <c r="AD315" s="0">
        <f>IF(AND(ISNUMBER(W315),W315&gt;0),D315,"")</f>
      </c>
      <c r="AE315" s="0">
        <f>IF(AND(ISNUMBER(W315),W315&gt;0),IF(INDEX('PEGAR'!$D$13:$D$512,IF(L315&gt;0,L315,K315))="","Sin descripción",INDEX('PEGAR'!$D$13:$D$512,IF(L315&gt;0,L315,K315))),"")</f>
      </c>
      <c r="AF315" s="0">
        <f>IF(AND(ISNUMBER(W315),W315&gt;0),J315,"")</f>
      </c>
      <c r="AG315" s="0" t="n">
        <f>IF(AND(ISNUMBER(W315),W315&gt;0),W315,0)</f>
        <v>0</v>
      </c>
      <c r="AH315" s="0">
        <f>IF(AG315&gt;0,COUNTIFS($AG$13:AG315,"&gt;0"),"")</f>
      </c>
    </row>
    <row r="316" ht="22" customHeight="1">
      <c r="B316" s="27">
        <f>IF(K316="","",INDEX('PEGAR'!$O$13:$O$512,K316))</f>
      </c>
      <c r="C316" s="30">
        <f>IF(B316="","",IF(LEN(TRIM(INDEX('PEGAR'!$B$13:$B$512,IF(L316&gt;0,L316,K316))&amp;""))=0,"Sin capítulo",TRIM(INDEX('PEGAR'!$B$13:$B$512,IF(L316&gt;0,L316,K316))&amp;"")))</f>
      </c>
      <c r="D316" s="27">
        <f>IF(B316="","",IF(LEN(TRIM(INDEX('PEGAR'!$C$13:$C$512,IF(L316&gt;0,L316,K316))&amp;""))=0,"",TRIM(INDEX('PEGAR'!$C$13:$C$512,IF(L316&gt;0,L316,K316))&amp;"")))</f>
      </c>
      <c r="E316" s="27">
        <f>IF(B316="","",INDEX('PEGAR'!$S$13:$S$512,IF(L316&gt;0,L316,K316)))</f>
      </c>
      <c r="F316" s="39">
        <f>IF(B316="","",IF(L316&gt;0,INDEX('PEGAR'!$F$13:$F$512,L316),""))</f>
      </c>
      <c r="G316" s="39">
        <f>IF(B316="","",IF(OR(M316=0,N316&gt;0,O316&gt;0),"",SUMIFS('PEGAR'!$M$13:$M$512,'PEGAR'!$O$13:$O$512,B316)))</f>
      </c>
      <c r="H316" s="39">
        <f>IF(AND(ISNUMBER(F316),ISNUMBER(G316)),G316-F316,"")</f>
      </c>
      <c r="I316" s="27">
        <f>IF(B316="","",IF(W316=2,"ROJO",IF(W316=1,"ÁMBAR","VERDE")))</f>
      </c>
      <c r="J316" s="30">
        <f>IF(B316="","",IF(W316=0,"Sin avisos numéricos. Revisamos el alcance aparte.",IF(L316=0,"Faltan datos completos de partida; no elegimos un total por suposición."&amp;CHAR(10),"")&amp;IF(N316&gt;0,"Hay filas incompletas o contradictorias; las revisamos en PEGAR."&amp;CHAR(10),"")&amp;IF(O316&gt;0,"Faltan las medidas de alguna fila; no cerramos la suma."&amp;CHAR(10),"")&amp;IF(M316=0,"No constan líneas de medición."&amp;CHAR(10),"")&amp;IF(IF(ISNUMBER(H316),ROUND(ABS(H316),8)&gt;$F$6,FALSE),"Las líneas difieren del total en más de 0,01; confirmamos cantidad o exclusión."&amp;CHAR(10),"")&amp;IF(P316&gt;0,"Parece m³: encontramos tres dimensiones bajo m²."&amp;CHAR(10),"")&amp;IF(R316&gt;0,"Código repetido dentro del capítulo; mantenemos sus ID separados."&amp;CHAR(10),"")&amp;IF(S316&gt;0,"Código repetido en otro capítulo; no unimos las partidas."&amp;CHAR(10),"")&amp;IF(T316&gt;0,"Mismo código con unidades distintas; pedimos aclaración."&amp;CHAR(10),"")&amp;IF(Q316&gt;0,"Hay más precisión que los decimales indicados; cotejamos el formato original."&amp;CHAR(10),"")&amp;IF(U316&gt;0,"Unidad sin normalizar; cotejamos su significado antes de sumar unidades."&amp;CHAR(10),"")&amp;IF(V316&gt;0,"Revisamos dimensiones, cantidades directas, ceros o deducciones en PEGAR."&amp;CHAR(10),"")))</f>
      </c>
      <c r="K316" s="0">
        <f>IF(304&gt;'RESUMEN'!$E$6,"",MATCH(304,'PEGAR'!$W$13:$W$512,0))</f>
      </c>
      <c r="L316" s="0">
        <f>IF(K316="","",INDEX('PEGAR'!$R$13:$R$512,K316))</f>
      </c>
      <c r="M316" s="0">
        <f>IF(B316="","",COUNTIFS('PEGAR'!$O$13:$O$512,B316,'PEGAR'!$P$13:$P$512,"DIMENSIONES")+COUNTIFS('PEGAR'!$O$13:$O$512,B316,'PEGAR'!$P$13:$P$512,"DIRECTA"))</f>
      </c>
      <c r="N316" s="0">
        <f>IF(B316="","",COUNTIFS('PEGAR'!$O$13:$O$512,B316,'PEGAR'!$X$13:$X$512,2))</f>
      </c>
      <c r="O316" s="0">
        <f>IF(B316="","",COUNTIFS('PEGAR'!$O$13:$O$512,B316,'PEGAR'!$P$13:$P$512,"SIN LÍNEAS"))</f>
      </c>
      <c r="P316" s="0">
        <f>IF(B316="","",SUMIFS('PEGAR'!$Y$13:$Y$512,'PEGAR'!$O$13:$O$512,B316))</f>
      </c>
      <c r="Q316" s="0">
        <f>IF(B316="","",SUMIFS('PEGAR'!$Z$13:$Z$512,'PEGAR'!$O$13:$O$512,B316))</f>
      </c>
      <c r="R316" s="0" t="n">
        <f>IF(OR(B316="",D316=""),0,SUMPRODUCT(--($B$13:$B$512&lt;&gt;""),--($D$13:$D$512=D316),--($C$13:$C$512=C316))-1)</f>
        <v>0</v>
      </c>
      <c r="S316" s="0" t="n">
        <f>IF(OR(B316="",D316=""),0,SUMPRODUCT(--($B$13:$B$512&lt;&gt;""),--($D$13:$D$512=D316),--($C$13:$C$512&lt;&gt;C316)))</f>
        <v>0</v>
      </c>
      <c r="T316" s="0" t="n">
        <f>IF(OR(B316="",D316=""),0,SUMPRODUCT(--($B$13:$B$512&lt;&gt;""),--($D$13:$D$512=D316),--($E$13:$E$512&lt;&gt;E316)))</f>
        <v>0</v>
      </c>
      <c r="U316" s="0" t="n">
        <f>IF(B316="",0,IF(SUMPRODUCT(--('LÉEME'!$C$65:$C$86=E316))=0,1,0))</f>
        <v>0</v>
      </c>
      <c r="V316" s="0">
        <f>IF(B316="","",SUMIFS('PEGAR'!$AA$13:$AA$512,'PEGAR'!$O$13:$O$512,B316))</f>
      </c>
      <c r="W316" s="0">
        <f>IF(B316="","",IF(OR(L316=0,N316&gt;0,T316&gt;0,IF(ISNUMBER(H316),ROUND(ABS(H316),8)&gt;$F$6,FALSE)),2,IF(OR(M316=0,O316&gt;0,P316&gt;0,Q316&gt;0,R316&gt;0,S316&gt;0,U316&gt;0,V316&gt;0),1,0)))</f>
      </c>
      <c r="X316" s="0">
        <f>IF(B316="","",IF(ISNUMBER(G316),1,0))</f>
      </c>
      <c r="AB316" s="0">
        <f>IF(AND(ISNUMBER(W316),W316&gt;0),"ID "&amp;B316,"")</f>
      </c>
      <c r="AC316" s="0">
        <f>IF(AND(ISNUMBER(W316),W316&gt;0),C316,"")</f>
      </c>
      <c r="AD316" s="0">
        <f>IF(AND(ISNUMBER(W316),W316&gt;0),D316,"")</f>
      </c>
      <c r="AE316" s="0">
        <f>IF(AND(ISNUMBER(W316),W316&gt;0),IF(INDEX('PEGAR'!$D$13:$D$512,IF(L316&gt;0,L316,K316))="","Sin descripción",INDEX('PEGAR'!$D$13:$D$512,IF(L316&gt;0,L316,K316))),"")</f>
      </c>
      <c r="AF316" s="0">
        <f>IF(AND(ISNUMBER(W316),W316&gt;0),J316,"")</f>
      </c>
      <c r="AG316" s="0" t="n">
        <f>IF(AND(ISNUMBER(W316),W316&gt;0),W316,0)</f>
        <v>0</v>
      </c>
      <c r="AH316" s="0">
        <f>IF(AG316&gt;0,COUNTIFS($AG$13:AG316,"&gt;0"),"")</f>
      </c>
    </row>
    <row r="317" ht="22" customHeight="1">
      <c r="B317" s="27">
        <f>IF(K317="","",INDEX('PEGAR'!$O$13:$O$512,K317))</f>
      </c>
      <c r="C317" s="30">
        <f>IF(B317="","",IF(LEN(TRIM(INDEX('PEGAR'!$B$13:$B$512,IF(L317&gt;0,L317,K317))&amp;""))=0,"Sin capítulo",TRIM(INDEX('PEGAR'!$B$13:$B$512,IF(L317&gt;0,L317,K317))&amp;"")))</f>
      </c>
      <c r="D317" s="27">
        <f>IF(B317="","",IF(LEN(TRIM(INDEX('PEGAR'!$C$13:$C$512,IF(L317&gt;0,L317,K317))&amp;""))=0,"",TRIM(INDEX('PEGAR'!$C$13:$C$512,IF(L317&gt;0,L317,K317))&amp;"")))</f>
      </c>
      <c r="E317" s="27">
        <f>IF(B317="","",INDEX('PEGAR'!$S$13:$S$512,IF(L317&gt;0,L317,K317)))</f>
      </c>
      <c r="F317" s="39">
        <f>IF(B317="","",IF(L317&gt;0,INDEX('PEGAR'!$F$13:$F$512,L317),""))</f>
      </c>
      <c r="G317" s="39">
        <f>IF(B317="","",IF(OR(M317=0,N317&gt;0,O317&gt;0),"",SUMIFS('PEGAR'!$M$13:$M$512,'PEGAR'!$O$13:$O$512,B317)))</f>
      </c>
      <c r="H317" s="39">
        <f>IF(AND(ISNUMBER(F317),ISNUMBER(G317)),G317-F317,"")</f>
      </c>
      <c r="I317" s="27">
        <f>IF(B317="","",IF(W317=2,"ROJO",IF(W317=1,"ÁMBAR","VERDE")))</f>
      </c>
      <c r="J317" s="30">
        <f>IF(B317="","",IF(W317=0,"Sin avisos numéricos. Revisamos el alcance aparte.",IF(L317=0,"Faltan datos completos de partida; no elegimos un total por suposición."&amp;CHAR(10),"")&amp;IF(N317&gt;0,"Hay filas incompletas o contradictorias; las revisamos en PEGAR."&amp;CHAR(10),"")&amp;IF(O317&gt;0,"Faltan las medidas de alguna fila; no cerramos la suma."&amp;CHAR(10),"")&amp;IF(M317=0,"No constan líneas de medición."&amp;CHAR(10),"")&amp;IF(IF(ISNUMBER(H317),ROUND(ABS(H317),8)&gt;$F$6,FALSE),"Las líneas difieren del total en más de 0,01; confirmamos cantidad o exclusión."&amp;CHAR(10),"")&amp;IF(P317&gt;0,"Parece m³: encontramos tres dimensiones bajo m²."&amp;CHAR(10),"")&amp;IF(R317&gt;0,"Código repetido dentro del capítulo; mantenemos sus ID separados."&amp;CHAR(10),"")&amp;IF(S317&gt;0,"Código repetido en otro capítulo; no unimos las partidas."&amp;CHAR(10),"")&amp;IF(T317&gt;0,"Mismo código con unidades distintas; pedimos aclaración."&amp;CHAR(10),"")&amp;IF(Q317&gt;0,"Hay más precisión que los decimales indicados; cotejamos el formato original."&amp;CHAR(10),"")&amp;IF(U317&gt;0,"Unidad sin normalizar; cotejamos su significado antes de sumar unidades."&amp;CHAR(10),"")&amp;IF(V317&gt;0,"Revisamos dimensiones, cantidades directas, ceros o deducciones en PEGAR."&amp;CHAR(10),"")))</f>
      </c>
      <c r="K317" s="0">
        <f>IF(305&gt;'RESUMEN'!$E$6,"",MATCH(305,'PEGAR'!$W$13:$W$512,0))</f>
      </c>
      <c r="L317" s="0">
        <f>IF(K317="","",INDEX('PEGAR'!$R$13:$R$512,K317))</f>
      </c>
      <c r="M317" s="0">
        <f>IF(B317="","",COUNTIFS('PEGAR'!$O$13:$O$512,B317,'PEGAR'!$P$13:$P$512,"DIMENSIONES")+COUNTIFS('PEGAR'!$O$13:$O$512,B317,'PEGAR'!$P$13:$P$512,"DIRECTA"))</f>
      </c>
      <c r="N317" s="0">
        <f>IF(B317="","",COUNTIFS('PEGAR'!$O$13:$O$512,B317,'PEGAR'!$X$13:$X$512,2))</f>
      </c>
      <c r="O317" s="0">
        <f>IF(B317="","",COUNTIFS('PEGAR'!$O$13:$O$512,B317,'PEGAR'!$P$13:$P$512,"SIN LÍNEAS"))</f>
      </c>
      <c r="P317" s="0">
        <f>IF(B317="","",SUMIFS('PEGAR'!$Y$13:$Y$512,'PEGAR'!$O$13:$O$512,B317))</f>
      </c>
      <c r="Q317" s="0">
        <f>IF(B317="","",SUMIFS('PEGAR'!$Z$13:$Z$512,'PEGAR'!$O$13:$O$512,B317))</f>
      </c>
      <c r="R317" s="0" t="n">
        <f>IF(OR(B317="",D317=""),0,SUMPRODUCT(--($B$13:$B$512&lt;&gt;""),--($D$13:$D$512=D317),--($C$13:$C$512=C317))-1)</f>
        <v>0</v>
      </c>
      <c r="S317" s="0" t="n">
        <f>IF(OR(B317="",D317=""),0,SUMPRODUCT(--($B$13:$B$512&lt;&gt;""),--($D$13:$D$512=D317),--($C$13:$C$512&lt;&gt;C317)))</f>
        <v>0</v>
      </c>
      <c r="T317" s="0" t="n">
        <f>IF(OR(B317="",D317=""),0,SUMPRODUCT(--($B$13:$B$512&lt;&gt;""),--($D$13:$D$512=D317),--($E$13:$E$512&lt;&gt;E317)))</f>
        <v>0</v>
      </c>
      <c r="U317" s="0" t="n">
        <f>IF(B317="",0,IF(SUMPRODUCT(--('LÉEME'!$C$65:$C$86=E317))=0,1,0))</f>
        <v>0</v>
      </c>
      <c r="V317" s="0">
        <f>IF(B317="","",SUMIFS('PEGAR'!$AA$13:$AA$512,'PEGAR'!$O$13:$O$512,B317))</f>
      </c>
      <c r="W317" s="0">
        <f>IF(B317="","",IF(OR(L317=0,N317&gt;0,T317&gt;0,IF(ISNUMBER(H317),ROUND(ABS(H317),8)&gt;$F$6,FALSE)),2,IF(OR(M317=0,O317&gt;0,P317&gt;0,Q317&gt;0,R317&gt;0,S317&gt;0,U317&gt;0,V317&gt;0),1,0)))</f>
      </c>
      <c r="X317" s="0">
        <f>IF(B317="","",IF(ISNUMBER(G317),1,0))</f>
      </c>
      <c r="AB317" s="0">
        <f>IF(AND(ISNUMBER(W317),W317&gt;0),"ID "&amp;B317,"")</f>
      </c>
      <c r="AC317" s="0">
        <f>IF(AND(ISNUMBER(W317),W317&gt;0),C317,"")</f>
      </c>
      <c r="AD317" s="0">
        <f>IF(AND(ISNUMBER(W317),W317&gt;0),D317,"")</f>
      </c>
      <c r="AE317" s="0">
        <f>IF(AND(ISNUMBER(W317),W317&gt;0),IF(INDEX('PEGAR'!$D$13:$D$512,IF(L317&gt;0,L317,K317))="","Sin descripción",INDEX('PEGAR'!$D$13:$D$512,IF(L317&gt;0,L317,K317))),"")</f>
      </c>
      <c r="AF317" s="0">
        <f>IF(AND(ISNUMBER(W317),W317&gt;0),J317,"")</f>
      </c>
      <c r="AG317" s="0" t="n">
        <f>IF(AND(ISNUMBER(W317),W317&gt;0),W317,0)</f>
        <v>0</v>
      </c>
      <c r="AH317" s="0">
        <f>IF(AG317&gt;0,COUNTIFS($AG$13:AG317,"&gt;0"),"")</f>
      </c>
    </row>
    <row r="318" ht="22" customHeight="1">
      <c r="B318" s="27">
        <f>IF(K318="","",INDEX('PEGAR'!$O$13:$O$512,K318))</f>
      </c>
      <c r="C318" s="30">
        <f>IF(B318="","",IF(LEN(TRIM(INDEX('PEGAR'!$B$13:$B$512,IF(L318&gt;0,L318,K318))&amp;""))=0,"Sin capítulo",TRIM(INDEX('PEGAR'!$B$13:$B$512,IF(L318&gt;0,L318,K318))&amp;"")))</f>
      </c>
      <c r="D318" s="27">
        <f>IF(B318="","",IF(LEN(TRIM(INDEX('PEGAR'!$C$13:$C$512,IF(L318&gt;0,L318,K318))&amp;""))=0,"",TRIM(INDEX('PEGAR'!$C$13:$C$512,IF(L318&gt;0,L318,K318))&amp;"")))</f>
      </c>
      <c r="E318" s="27">
        <f>IF(B318="","",INDEX('PEGAR'!$S$13:$S$512,IF(L318&gt;0,L318,K318)))</f>
      </c>
      <c r="F318" s="39">
        <f>IF(B318="","",IF(L318&gt;0,INDEX('PEGAR'!$F$13:$F$512,L318),""))</f>
      </c>
      <c r="G318" s="39">
        <f>IF(B318="","",IF(OR(M318=0,N318&gt;0,O318&gt;0),"",SUMIFS('PEGAR'!$M$13:$M$512,'PEGAR'!$O$13:$O$512,B318)))</f>
      </c>
      <c r="H318" s="39">
        <f>IF(AND(ISNUMBER(F318),ISNUMBER(G318)),G318-F318,"")</f>
      </c>
      <c r="I318" s="27">
        <f>IF(B318="","",IF(W318=2,"ROJO",IF(W318=1,"ÁMBAR","VERDE")))</f>
      </c>
      <c r="J318" s="30">
        <f>IF(B318="","",IF(W318=0,"Sin avisos numéricos. Revisamos el alcance aparte.",IF(L318=0,"Faltan datos completos de partida; no elegimos un total por suposición."&amp;CHAR(10),"")&amp;IF(N318&gt;0,"Hay filas incompletas o contradictorias; las revisamos en PEGAR."&amp;CHAR(10),"")&amp;IF(O318&gt;0,"Faltan las medidas de alguna fila; no cerramos la suma."&amp;CHAR(10),"")&amp;IF(M318=0,"No constan líneas de medición."&amp;CHAR(10),"")&amp;IF(IF(ISNUMBER(H318),ROUND(ABS(H318),8)&gt;$F$6,FALSE),"Las líneas difieren del total en más de 0,01; confirmamos cantidad o exclusión."&amp;CHAR(10),"")&amp;IF(P318&gt;0,"Parece m³: encontramos tres dimensiones bajo m²."&amp;CHAR(10),"")&amp;IF(R318&gt;0,"Código repetido dentro del capítulo; mantenemos sus ID separados."&amp;CHAR(10),"")&amp;IF(S318&gt;0,"Código repetido en otro capítulo; no unimos las partidas."&amp;CHAR(10),"")&amp;IF(T318&gt;0,"Mismo código con unidades distintas; pedimos aclaración."&amp;CHAR(10),"")&amp;IF(Q318&gt;0,"Hay más precisión que los decimales indicados; cotejamos el formato original."&amp;CHAR(10),"")&amp;IF(U318&gt;0,"Unidad sin normalizar; cotejamos su significado antes de sumar unidades."&amp;CHAR(10),"")&amp;IF(V318&gt;0,"Revisamos dimensiones, cantidades directas, ceros o deducciones en PEGAR."&amp;CHAR(10),"")))</f>
      </c>
      <c r="K318" s="0">
        <f>IF(306&gt;'RESUMEN'!$E$6,"",MATCH(306,'PEGAR'!$W$13:$W$512,0))</f>
      </c>
      <c r="L318" s="0">
        <f>IF(K318="","",INDEX('PEGAR'!$R$13:$R$512,K318))</f>
      </c>
      <c r="M318" s="0">
        <f>IF(B318="","",COUNTIFS('PEGAR'!$O$13:$O$512,B318,'PEGAR'!$P$13:$P$512,"DIMENSIONES")+COUNTIFS('PEGAR'!$O$13:$O$512,B318,'PEGAR'!$P$13:$P$512,"DIRECTA"))</f>
      </c>
      <c r="N318" s="0">
        <f>IF(B318="","",COUNTIFS('PEGAR'!$O$13:$O$512,B318,'PEGAR'!$X$13:$X$512,2))</f>
      </c>
      <c r="O318" s="0">
        <f>IF(B318="","",COUNTIFS('PEGAR'!$O$13:$O$512,B318,'PEGAR'!$P$13:$P$512,"SIN LÍNEAS"))</f>
      </c>
      <c r="P318" s="0">
        <f>IF(B318="","",SUMIFS('PEGAR'!$Y$13:$Y$512,'PEGAR'!$O$13:$O$512,B318))</f>
      </c>
      <c r="Q318" s="0">
        <f>IF(B318="","",SUMIFS('PEGAR'!$Z$13:$Z$512,'PEGAR'!$O$13:$O$512,B318))</f>
      </c>
      <c r="R318" s="0" t="n">
        <f>IF(OR(B318="",D318=""),0,SUMPRODUCT(--($B$13:$B$512&lt;&gt;""),--($D$13:$D$512=D318),--($C$13:$C$512=C318))-1)</f>
        <v>0</v>
      </c>
      <c r="S318" s="0" t="n">
        <f>IF(OR(B318="",D318=""),0,SUMPRODUCT(--($B$13:$B$512&lt;&gt;""),--($D$13:$D$512=D318),--($C$13:$C$512&lt;&gt;C318)))</f>
        <v>0</v>
      </c>
      <c r="T318" s="0" t="n">
        <f>IF(OR(B318="",D318=""),0,SUMPRODUCT(--($B$13:$B$512&lt;&gt;""),--($D$13:$D$512=D318),--($E$13:$E$512&lt;&gt;E318)))</f>
        <v>0</v>
      </c>
      <c r="U318" s="0" t="n">
        <f>IF(B318="",0,IF(SUMPRODUCT(--('LÉEME'!$C$65:$C$86=E318))=0,1,0))</f>
        <v>0</v>
      </c>
      <c r="V318" s="0">
        <f>IF(B318="","",SUMIFS('PEGAR'!$AA$13:$AA$512,'PEGAR'!$O$13:$O$512,B318))</f>
      </c>
      <c r="W318" s="0">
        <f>IF(B318="","",IF(OR(L318=0,N318&gt;0,T318&gt;0,IF(ISNUMBER(H318),ROUND(ABS(H318),8)&gt;$F$6,FALSE)),2,IF(OR(M318=0,O318&gt;0,P318&gt;0,Q318&gt;0,R318&gt;0,S318&gt;0,U318&gt;0,V318&gt;0),1,0)))</f>
      </c>
      <c r="X318" s="0">
        <f>IF(B318="","",IF(ISNUMBER(G318),1,0))</f>
      </c>
      <c r="AB318" s="0">
        <f>IF(AND(ISNUMBER(W318),W318&gt;0),"ID "&amp;B318,"")</f>
      </c>
      <c r="AC318" s="0">
        <f>IF(AND(ISNUMBER(W318),W318&gt;0),C318,"")</f>
      </c>
      <c r="AD318" s="0">
        <f>IF(AND(ISNUMBER(W318),W318&gt;0),D318,"")</f>
      </c>
      <c r="AE318" s="0">
        <f>IF(AND(ISNUMBER(W318),W318&gt;0),IF(INDEX('PEGAR'!$D$13:$D$512,IF(L318&gt;0,L318,K318))="","Sin descripción",INDEX('PEGAR'!$D$13:$D$512,IF(L318&gt;0,L318,K318))),"")</f>
      </c>
      <c r="AF318" s="0">
        <f>IF(AND(ISNUMBER(W318),W318&gt;0),J318,"")</f>
      </c>
      <c r="AG318" s="0" t="n">
        <f>IF(AND(ISNUMBER(W318),W318&gt;0),W318,0)</f>
        <v>0</v>
      </c>
      <c r="AH318" s="0">
        <f>IF(AG318&gt;0,COUNTIFS($AG$13:AG318,"&gt;0"),"")</f>
      </c>
    </row>
    <row r="319" ht="22" customHeight="1">
      <c r="B319" s="27">
        <f>IF(K319="","",INDEX('PEGAR'!$O$13:$O$512,K319))</f>
      </c>
      <c r="C319" s="30">
        <f>IF(B319="","",IF(LEN(TRIM(INDEX('PEGAR'!$B$13:$B$512,IF(L319&gt;0,L319,K319))&amp;""))=0,"Sin capítulo",TRIM(INDEX('PEGAR'!$B$13:$B$512,IF(L319&gt;0,L319,K319))&amp;"")))</f>
      </c>
      <c r="D319" s="27">
        <f>IF(B319="","",IF(LEN(TRIM(INDEX('PEGAR'!$C$13:$C$512,IF(L319&gt;0,L319,K319))&amp;""))=0,"",TRIM(INDEX('PEGAR'!$C$13:$C$512,IF(L319&gt;0,L319,K319))&amp;"")))</f>
      </c>
      <c r="E319" s="27">
        <f>IF(B319="","",INDEX('PEGAR'!$S$13:$S$512,IF(L319&gt;0,L319,K319)))</f>
      </c>
      <c r="F319" s="39">
        <f>IF(B319="","",IF(L319&gt;0,INDEX('PEGAR'!$F$13:$F$512,L319),""))</f>
      </c>
      <c r="G319" s="39">
        <f>IF(B319="","",IF(OR(M319=0,N319&gt;0,O319&gt;0),"",SUMIFS('PEGAR'!$M$13:$M$512,'PEGAR'!$O$13:$O$512,B319)))</f>
      </c>
      <c r="H319" s="39">
        <f>IF(AND(ISNUMBER(F319),ISNUMBER(G319)),G319-F319,"")</f>
      </c>
      <c r="I319" s="27">
        <f>IF(B319="","",IF(W319=2,"ROJO",IF(W319=1,"ÁMBAR","VERDE")))</f>
      </c>
      <c r="J319" s="30">
        <f>IF(B319="","",IF(W319=0,"Sin avisos numéricos. Revisamos el alcance aparte.",IF(L319=0,"Faltan datos completos de partida; no elegimos un total por suposición."&amp;CHAR(10),"")&amp;IF(N319&gt;0,"Hay filas incompletas o contradictorias; las revisamos en PEGAR."&amp;CHAR(10),"")&amp;IF(O319&gt;0,"Faltan las medidas de alguna fila; no cerramos la suma."&amp;CHAR(10),"")&amp;IF(M319=0,"No constan líneas de medición."&amp;CHAR(10),"")&amp;IF(IF(ISNUMBER(H319),ROUND(ABS(H319),8)&gt;$F$6,FALSE),"Las líneas difieren del total en más de 0,01; confirmamos cantidad o exclusión."&amp;CHAR(10),"")&amp;IF(P319&gt;0,"Parece m³: encontramos tres dimensiones bajo m²."&amp;CHAR(10),"")&amp;IF(R319&gt;0,"Código repetido dentro del capítulo; mantenemos sus ID separados."&amp;CHAR(10),"")&amp;IF(S319&gt;0,"Código repetido en otro capítulo; no unimos las partidas."&amp;CHAR(10),"")&amp;IF(T319&gt;0,"Mismo código con unidades distintas; pedimos aclaración."&amp;CHAR(10),"")&amp;IF(Q319&gt;0,"Hay más precisión que los decimales indicados; cotejamos el formato original."&amp;CHAR(10),"")&amp;IF(U319&gt;0,"Unidad sin normalizar; cotejamos su significado antes de sumar unidades."&amp;CHAR(10),"")&amp;IF(V319&gt;0,"Revisamos dimensiones, cantidades directas, ceros o deducciones en PEGAR."&amp;CHAR(10),"")))</f>
      </c>
      <c r="K319" s="0">
        <f>IF(307&gt;'RESUMEN'!$E$6,"",MATCH(307,'PEGAR'!$W$13:$W$512,0))</f>
      </c>
      <c r="L319" s="0">
        <f>IF(K319="","",INDEX('PEGAR'!$R$13:$R$512,K319))</f>
      </c>
      <c r="M319" s="0">
        <f>IF(B319="","",COUNTIFS('PEGAR'!$O$13:$O$512,B319,'PEGAR'!$P$13:$P$512,"DIMENSIONES")+COUNTIFS('PEGAR'!$O$13:$O$512,B319,'PEGAR'!$P$13:$P$512,"DIRECTA"))</f>
      </c>
      <c r="N319" s="0">
        <f>IF(B319="","",COUNTIFS('PEGAR'!$O$13:$O$512,B319,'PEGAR'!$X$13:$X$512,2))</f>
      </c>
      <c r="O319" s="0">
        <f>IF(B319="","",COUNTIFS('PEGAR'!$O$13:$O$512,B319,'PEGAR'!$P$13:$P$512,"SIN LÍNEAS"))</f>
      </c>
      <c r="P319" s="0">
        <f>IF(B319="","",SUMIFS('PEGAR'!$Y$13:$Y$512,'PEGAR'!$O$13:$O$512,B319))</f>
      </c>
      <c r="Q319" s="0">
        <f>IF(B319="","",SUMIFS('PEGAR'!$Z$13:$Z$512,'PEGAR'!$O$13:$O$512,B319))</f>
      </c>
      <c r="R319" s="0" t="n">
        <f>IF(OR(B319="",D319=""),0,SUMPRODUCT(--($B$13:$B$512&lt;&gt;""),--($D$13:$D$512=D319),--($C$13:$C$512=C319))-1)</f>
        <v>0</v>
      </c>
      <c r="S319" s="0" t="n">
        <f>IF(OR(B319="",D319=""),0,SUMPRODUCT(--($B$13:$B$512&lt;&gt;""),--($D$13:$D$512=D319),--($C$13:$C$512&lt;&gt;C319)))</f>
        <v>0</v>
      </c>
      <c r="T319" s="0" t="n">
        <f>IF(OR(B319="",D319=""),0,SUMPRODUCT(--($B$13:$B$512&lt;&gt;""),--($D$13:$D$512=D319),--($E$13:$E$512&lt;&gt;E319)))</f>
        <v>0</v>
      </c>
      <c r="U319" s="0" t="n">
        <f>IF(B319="",0,IF(SUMPRODUCT(--('LÉEME'!$C$65:$C$86=E319))=0,1,0))</f>
        <v>0</v>
      </c>
      <c r="V319" s="0">
        <f>IF(B319="","",SUMIFS('PEGAR'!$AA$13:$AA$512,'PEGAR'!$O$13:$O$512,B319))</f>
      </c>
      <c r="W319" s="0">
        <f>IF(B319="","",IF(OR(L319=0,N319&gt;0,T319&gt;0,IF(ISNUMBER(H319),ROUND(ABS(H319),8)&gt;$F$6,FALSE)),2,IF(OR(M319=0,O319&gt;0,P319&gt;0,Q319&gt;0,R319&gt;0,S319&gt;0,U319&gt;0,V319&gt;0),1,0)))</f>
      </c>
      <c r="X319" s="0">
        <f>IF(B319="","",IF(ISNUMBER(G319),1,0))</f>
      </c>
      <c r="AB319" s="0">
        <f>IF(AND(ISNUMBER(W319),W319&gt;0),"ID "&amp;B319,"")</f>
      </c>
      <c r="AC319" s="0">
        <f>IF(AND(ISNUMBER(W319),W319&gt;0),C319,"")</f>
      </c>
      <c r="AD319" s="0">
        <f>IF(AND(ISNUMBER(W319),W319&gt;0),D319,"")</f>
      </c>
      <c r="AE319" s="0">
        <f>IF(AND(ISNUMBER(W319),W319&gt;0),IF(INDEX('PEGAR'!$D$13:$D$512,IF(L319&gt;0,L319,K319))="","Sin descripción",INDEX('PEGAR'!$D$13:$D$512,IF(L319&gt;0,L319,K319))),"")</f>
      </c>
      <c r="AF319" s="0">
        <f>IF(AND(ISNUMBER(W319),W319&gt;0),J319,"")</f>
      </c>
      <c r="AG319" s="0" t="n">
        <f>IF(AND(ISNUMBER(W319),W319&gt;0),W319,0)</f>
        <v>0</v>
      </c>
      <c r="AH319" s="0">
        <f>IF(AG319&gt;0,COUNTIFS($AG$13:AG319,"&gt;0"),"")</f>
      </c>
    </row>
    <row r="320" ht="22" customHeight="1">
      <c r="B320" s="27">
        <f>IF(K320="","",INDEX('PEGAR'!$O$13:$O$512,K320))</f>
      </c>
      <c r="C320" s="30">
        <f>IF(B320="","",IF(LEN(TRIM(INDEX('PEGAR'!$B$13:$B$512,IF(L320&gt;0,L320,K320))&amp;""))=0,"Sin capítulo",TRIM(INDEX('PEGAR'!$B$13:$B$512,IF(L320&gt;0,L320,K320))&amp;"")))</f>
      </c>
      <c r="D320" s="27">
        <f>IF(B320="","",IF(LEN(TRIM(INDEX('PEGAR'!$C$13:$C$512,IF(L320&gt;0,L320,K320))&amp;""))=0,"",TRIM(INDEX('PEGAR'!$C$13:$C$512,IF(L320&gt;0,L320,K320))&amp;"")))</f>
      </c>
      <c r="E320" s="27">
        <f>IF(B320="","",INDEX('PEGAR'!$S$13:$S$512,IF(L320&gt;0,L320,K320)))</f>
      </c>
      <c r="F320" s="39">
        <f>IF(B320="","",IF(L320&gt;0,INDEX('PEGAR'!$F$13:$F$512,L320),""))</f>
      </c>
      <c r="G320" s="39">
        <f>IF(B320="","",IF(OR(M320=0,N320&gt;0,O320&gt;0),"",SUMIFS('PEGAR'!$M$13:$M$512,'PEGAR'!$O$13:$O$512,B320)))</f>
      </c>
      <c r="H320" s="39">
        <f>IF(AND(ISNUMBER(F320),ISNUMBER(G320)),G320-F320,"")</f>
      </c>
      <c r="I320" s="27">
        <f>IF(B320="","",IF(W320=2,"ROJO",IF(W320=1,"ÁMBAR","VERDE")))</f>
      </c>
      <c r="J320" s="30">
        <f>IF(B320="","",IF(W320=0,"Sin avisos numéricos. Revisamos el alcance aparte.",IF(L320=0,"Faltan datos completos de partida; no elegimos un total por suposición."&amp;CHAR(10),"")&amp;IF(N320&gt;0,"Hay filas incompletas o contradictorias; las revisamos en PEGAR."&amp;CHAR(10),"")&amp;IF(O320&gt;0,"Faltan las medidas de alguna fila; no cerramos la suma."&amp;CHAR(10),"")&amp;IF(M320=0,"No constan líneas de medición."&amp;CHAR(10),"")&amp;IF(IF(ISNUMBER(H320),ROUND(ABS(H320),8)&gt;$F$6,FALSE),"Las líneas difieren del total en más de 0,01; confirmamos cantidad o exclusión."&amp;CHAR(10),"")&amp;IF(P320&gt;0,"Parece m³: encontramos tres dimensiones bajo m²."&amp;CHAR(10),"")&amp;IF(R320&gt;0,"Código repetido dentro del capítulo; mantenemos sus ID separados."&amp;CHAR(10),"")&amp;IF(S320&gt;0,"Código repetido en otro capítulo; no unimos las partidas."&amp;CHAR(10),"")&amp;IF(T320&gt;0,"Mismo código con unidades distintas; pedimos aclaración."&amp;CHAR(10),"")&amp;IF(Q320&gt;0,"Hay más precisión que los decimales indicados; cotejamos el formato original."&amp;CHAR(10),"")&amp;IF(U320&gt;0,"Unidad sin normalizar; cotejamos su significado antes de sumar unidades."&amp;CHAR(10),"")&amp;IF(V320&gt;0,"Revisamos dimensiones, cantidades directas, ceros o deducciones en PEGAR."&amp;CHAR(10),"")))</f>
      </c>
      <c r="K320" s="0">
        <f>IF(308&gt;'RESUMEN'!$E$6,"",MATCH(308,'PEGAR'!$W$13:$W$512,0))</f>
      </c>
      <c r="L320" s="0">
        <f>IF(K320="","",INDEX('PEGAR'!$R$13:$R$512,K320))</f>
      </c>
      <c r="M320" s="0">
        <f>IF(B320="","",COUNTIFS('PEGAR'!$O$13:$O$512,B320,'PEGAR'!$P$13:$P$512,"DIMENSIONES")+COUNTIFS('PEGAR'!$O$13:$O$512,B320,'PEGAR'!$P$13:$P$512,"DIRECTA"))</f>
      </c>
      <c r="N320" s="0">
        <f>IF(B320="","",COUNTIFS('PEGAR'!$O$13:$O$512,B320,'PEGAR'!$X$13:$X$512,2))</f>
      </c>
      <c r="O320" s="0">
        <f>IF(B320="","",COUNTIFS('PEGAR'!$O$13:$O$512,B320,'PEGAR'!$P$13:$P$512,"SIN LÍNEAS"))</f>
      </c>
      <c r="P320" s="0">
        <f>IF(B320="","",SUMIFS('PEGAR'!$Y$13:$Y$512,'PEGAR'!$O$13:$O$512,B320))</f>
      </c>
      <c r="Q320" s="0">
        <f>IF(B320="","",SUMIFS('PEGAR'!$Z$13:$Z$512,'PEGAR'!$O$13:$O$512,B320))</f>
      </c>
      <c r="R320" s="0" t="n">
        <f>IF(OR(B320="",D320=""),0,SUMPRODUCT(--($B$13:$B$512&lt;&gt;""),--($D$13:$D$512=D320),--($C$13:$C$512=C320))-1)</f>
        <v>0</v>
      </c>
      <c r="S320" s="0" t="n">
        <f>IF(OR(B320="",D320=""),0,SUMPRODUCT(--($B$13:$B$512&lt;&gt;""),--($D$13:$D$512=D320),--($C$13:$C$512&lt;&gt;C320)))</f>
        <v>0</v>
      </c>
      <c r="T320" s="0" t="n">
        <f>IF(OR(B320="",D320=""),0,SUMPRODUCT(--($B$13:$B$512&lt;&gt;""),--($D$13:$D$512=D320),--($E$13:$E$512&lt;&gt;E320)))</f>
        <v>0</v>
      </c>
      <c r="U320" s="0" t="n">
        <f>IF(B320="",0,IF(SUMPRODUCT(--('LÉEME'!$C$65:$C$86=E320))=0,1,0))</f>
        <v>0</v>
      </c>
      <c r="V320" s="0">
        <f>IF(B320="","",SUMIFS('PEGAR'!$AA$13:$AA$512,'PEGAR'!$O$13:$O$512,B320))</f>
      </c>
      <c r="W320" s="0">
        <f>IF(B320="","",IF(OR(L320=0,N320&gt;0,T320&gt;0,IF(ISNUMBER(H320),ROUND(ABS(H320),8)&gt;$F$6,FALSE)),2,IF(OR(M320=0,O320&gt;0,P320&gt;0,Q320&gt;0,R320&gt;0,S320&gt;0,U320&gt;0,V320&gt;0),1,0)))</f>
      </c>
      <c r="X320" s="0">
        <f>IF(B320="","",IF(ISNUMBER(G320),1,0))</f>
      </c>
      <c r="AB320" s="0">
        <f>IF(AND(ISNUMBER(W320),W320&gt;0),"ID "&amp;B320,"")</f>
      </c>
      <c r="AC320" s="0">
        <f>IF(AND(ISNUMBER(W320),W320&gt;0),C320,"")</f>
      </c>
      <c r="AD320" s="0">
        <f>IF(AND(ISNUMBER(W320),W320&gt;0),D320,"")</f>
      </c>
      <c r="AE320" s="0">
        <f>IF(AND(ISNUMBER(W320),W320&gt;0),IF(INDEX('PEGAR'!$D$13:$D$512,IF(L320&gt;0,L320,K320))="","Sin descripción",INDEX('PEGAR'!$D$13:$D$512,IF(L320&gt;0,L320,K320))),"")</f>
      </c>
      <c r="AF320" s="0">
        <f>IF(AND(ISNUMBER(W320),W320&gt;0),J320,"")</f>
      </c>
      <c r="AG320" s="0" t="n">
        <f>IF(AND(ISNUMBER(W320),W320&gt;0),W320,0)</f>
        <v>0</v>
      </c>
      <c r="AH320" s="0">
        <f>IF(AG320&gt;0,COUNTIFS($AG$13:AG320,"&gt;0"),"")</f>
      </c>
    </row>
    <row r="321" ht="22" customHeight="1">
      <c r="B321" s="27">
        <f>IF(K321="","",INDEX('PEGAR'!$O$13:$O$512,K321))</f>
      </c>
      <c r="C321" s="30">
        <f>IF(B321="","",IF(LEN(TRIM(INDEX('PEGAR'!$B$13:$B$512,IF(L321&gt;0,L321,K321))&amp;""))=0,"Sin capítulo",TRIM(INDEX('PEGAR'!$B$13:$B$512,IF(L321&gt;0,L321,K321))&amp;"")))</f>
      </c>
      <c r="D321" s="27">
        <f>IF(B321="","",IF(LEN(TRIM(INDEX('PEGAR'!$C$13:$C$512,IF(L321&gt;0,L321,K321))&amp;""))=0,"",TRIM(INDEX('PEGAR'!$C$13:$C$512,IF(L321&gt;0,L321,K321))&amp;"")))</f>
      </c>
      <c r="E321" s="27">
        <f>IF(B321="","",INDEX('PEGAR'!$S$13:$S$512,IF(L321&gt;0,L321,K321)))</f>
      </c>
      <c r="F321" s="39">
        <f>IF(B321="","",IF(L321&gt;0,INDEX('PEGAR'!$F$13:$F$512,L321),""))</f>
      </c>
      <c r="G321" s="39">
        <f>IF(B321="","",IF(OR(M321=0,N321&gt;0,O321&gt;0),"",SUMIFS('PEGAR'!$M$13:$M$512,'PEGAR'!$O$13:$O$512,B321)))</f>
      </c>
      <c r="H321" s="39">
        <f>IF(AND(ISNUMBER(F321),ISNUMBER(G321)),G321-F321,"")</f>
      </c>
      <c r="I321" s="27">
        <f>IF(B321="","",IF(W321=2,"ROJO",IF(W321=1,"ÁMBAR","VERDE")))</f>
      </c>
      <c r="J321" s="30">
        <f>IF(B321="","",IF(W321=0,"Sin avisos numéricos. Revisamos el alcance aparte.",IF(L321=0,"Faltan datos completos de partida; no elegimos un total por suposición."&amp;CHAR(10),"")&amp;IF(N321&gt;0,"Hay filas incompletas o contradictorias; las revisamos en PEGAR."&amp;CHAR(10),"")&amp;IF(O321&gt;0,"Faltan las medidas de alguna fila; no cerramos la suma."&amp;CHAR(10),"")&amp;IF(M321=0,"No constan líneas de medición."&amp;CHAR(10),"")&amp;IF(IF(ISNUMBER(H321),ROUND(ABS(H321),8)&gt;$F$6,FALSE),"Las líneas difieren del total en más de 0,01; confirmamos cantidad o exclusión."&amp;CHAR(10),"")&amp;IF(P321&gt;0,"Parece m³: encontramos tres dimensiones bajo m²."&amp;CHAR(10),"")&amp;IF(R321&gt;0,"Código repetido dentro del capítulo; mantenemos sus ID separados."&amp;CHAR(10),"")&amp;IF(S321&gt;0,"Código repetido en otro capítulo; no unimos las partidas."&amp;CHAR(10),"")&amp;IF(T321&gt;0,"Mismo código con unidades distintas; pedimos aclaración."&amp;CHAR(10),"")&amp;IF(Q321&gt;0,"Hay más precisión que los decimales indicados; cotejamos el formato original."&amp;CHAR(10),"")&amp;IF(U321&gt;0,"Unidad sin normalizar; cotejamos su significado antes de sumar unidades."&amp;CHAR(10),"")&amp;IF(V321&gt;0,"Revisamos dimensiones, cantidades directas, ceros o deducciones en PEGAR."&amp;CHAR(10),"")))</f>
      </c>
      <c r="K321" s="0">
        <f>IF(309&gt;'RESUMEN'!$E$6,"",MATCH(309,'PEGAR'!$W$13:$W$512,0))</f>
      </c>
      <c r="L321" s="0">
        <f>IF(K321="","",INDEX('PEGAR'!$R$13:$R$512,K321))</f>
      </c>
      <c r="M321" s="0">
        <f>IF(B321="","",COUNTIFS('PEGAR'!$O$13:$O$512,B321,'PEGAR'!$P$13:$P$512,"DIMENSIONES")+COUNTIFS('PEGAR'!$O$13:$O$512,B321,'PEGAR'!$P$13:$P$512,"DIRECTA"))</f>
      </c>
      <c r="N321" s="0">
        <f>IF(B321="","",COUNTIFS('PEGAR'!$O$13:$O$512,B321,'PEGAR'!$X$13:$X$512,2))</f>
      </c>
      <c r="O321" s="0">
        <f>IF(B321="","",COUNTIFS('PEGAR'!$O$13:$O$512,B321,'PEGAR'!$P$13:$P$512,"SIN LÍNEAS"))</f>
      </c>
      <c r="P321" s="0">
        <f>IF(B321="","",SUMIFS('PEGAR'!$Y$13:$Y$512,'PEGAR'!$O$13:$O$512,B321))</f>
      </c>
      <c r="Q321" s="0">
        <f>IF(B321="","",SUMIFS('PEGAR'!$Z$13:$Z$512,'PEGAR'!$O$13:$O$512,B321))</f>
      </c>
      <c r="R321" s="0" t="n">
        <f>IF(OR(B321="",D321=""),0,SUMPRODUCT(--($B$13:$B$512&lt;&gt;""),--($D$13:$D$512=D321),--($C$13:$C$512=C321))-1)</f>
        <v>0</v>
      </c>
      <c r="S321" s="0" t="n">
        <f>IF(OR(B321="",D321=""),0,SUMPRODUCT(--($B$13:$B$512&lt;&gt;""),--($D$13:$D$512=D321),--($C$13:$C$512&lt;&gt;C321)))</f>
        <v>0</v>
      </c>
      <c r="T321" s="0" t="n">
        <f>IF(OR(B321="",D321=""),0,SUMPRODUCT(--($B$13:$B$512&lt;&gt;""),--($D$13:$D$512=D321),--($E$13:$E$512&lt;&gt;E321)))</f>
        <v>0</v>
      </c>
      <c r="U321" s="0" t="n">
        <f>IF(B321="",0,IF(SUMPRODUCT(--('LÉEME'!$C$65:$C$86=E321))=0,1,0))</f>
        <v>0</v>
      </c>
      <c r="V321" s="0">
        <f>IF(B321="","",SUMIFS('PEGAR'!$AA$13:$AA$512,'PEGAR'!$O$13:$O$512,B321))</f>
      </c>
      <c r="W321" s="0">
        <f>IF(B321="","",IF(OR(L321=0,N321&gt;0,T321&gt;0,IF(ISNUMBER(H321),ROUND(ABS(H321),8)&gt;$F$6,FALSE)),2,IF(OR(M321=0,O321&gt;0,P321&gt;0,Q321&gt;0,R321&gt;0,S321&gt;0,U321&gt;0,V321&gt;0),1,0)))</f>
      </c>
      <c r="X321" s="0">
        <f>IF(B321="","",IF(ISNUMBER(G321),1,0))</f>
      </c>
      <c r="AB321" s="0">
        <f>IF(AND(ISNUMBER(W321),W321&gt;0),"ID "&amp;B321,"")</f>
      </c>
      <c r="AC321" s="0">
        <f>IF(AND(ISNUMBER(W321),W321&gt;0),C321,"")</f>
      </c>
      <c r="AD321" s="0">
        <f>IF(AND(ISNUMBER(W321),W321&gt;0),D321,"")</f>
      </c>
      <c r="AE321" s="0">
        <f>IF(AND(ISNUMBER(W321),W321&gt;0),IF(INDEX('PEGAR'!$D$13:$D$512,IF(L321&gt;0,L321,K321))="","Sin descripción",INDEX('PEGAR'!$D$13:$D$512,IF(L321&gt;0,L321,K321))),"")</f>
      </c>
      <c r="AF321" s="0">
        <f>IF(AND(ISNUMBER(W321),W321&gt;0),J321,"")</f>
      </c>
      <c r="AG321" s="0" t="n">
        <f>IF(AND(ISNUMBER(W321),W321&gt;0),W321,0)</f>
        <v>0</v>
      </c>
      <c r="AH321" s="0">
        <f>IF(AG321&gt;0,COUNTIFS($AG$13:AG321,"&gt;0"),"")</f>
      </c>
    </row>
    <row r="322" ht="22" customHeight="1">
      <c r="B322" s="27">
        <f>IF(K322="","",INDEX('PEGAR'!$O$13:$O$512,K322))</f>
      </c>
      <c r="C322" s="30">
        <f>IF(B322="","",IF(LEN(TRIM(INDEX('PEGAR'!$B$13:$B$512,IF(L322&gt;0,L322,K322))&amp;""))=0,"Sin capítulo",TRIM(INDEX('PEGAR'!$B$13:$B$512,IF(L322&gt;0,L322,K322))&amp;"")))</f>
      </c>
      <c r="D322" s="27">
        <f>IF(B322="","",IF(LEN(TRIM(INDEX('PEGAR'!$C$13:$C$512,IF(L322&gt;0,L322,K322))&amp;""))=0,"",TRIM(INDEX('PEGAR'!$C$13:$C$512,IF(L322&gt;0,L322,K322))&amp;"")))</f>
      </c>
      <c r="E322" s="27">
        <f>IF(B322="","",INDEX('PEGAR'!$S$13:$S$512,IF(L322&gt;0,L322,K322)))</f>
      </c>
      <c r="F322" s="39">
        <f>IF(B322="","",IF(L322&gt;0,INDEX('PEGAR'!$F$13:$F$512,L322),""))</f>
      </c>
      <c r="G322" s="39">
        <f>IF(B322="","",IF(OR(M322=0,N322&gt;0,O322&gt;0),"",SUMIFS('PEGAR'!$M$13:$M$512,'PEGAR'!$O$13:$O$512,B322)))</f>
      </c>
      <c r="H322" s="39">
        <f>IF(AND(ISNUMBER(F322),ISNUMBER(G322)),G322-F322,"")</f>
      </c>
      <c r="I322" s="27">
        <f>IF(B322="","",IF(W322=2,"ROJO",IF(W322=1,"ÁMBAR","VERDE")))</f>
      </c>
      <c r="J322" s="30">
        <f>IF(B322="","",IF(W322=0,"Sin avisos numéricos. Revisamos el alcance aparte.",IF(L322=0,"Faltan datos completos de partida; no elegimos un total por suposición."&amp;CHAR(10),"")&amp;IF(N322&gt;0,"Hay filas incompletas o contradictorias; las revisamos en PEGAR."&amp;CHAR(10),"")&amp;IF(O322&gt;0,"Faltan las medidas de alguna fila; no cerramos la suma."&amp;CHAR(10),"")&amp;IF(M322=0,"No constan líneas de medición."&amp;CHAR(10),"")&amp;IF(IF(ISNUMBER(H322),ROUND(ABS(H322),8)&gt;$F$6,FALSE),"Las líneas difieren del total en más de 0,01; confirmamos cantidad o exclusión."&amp;CHAR(10),"")&amp;IF(P322&gt;0,"Parece m³: encontramos tres dimensiones bajo m²."&amp;CHAR(10),"")&amp;IF(R322&gt;0,"Código repetido dentro del capítulo; mantenemos sus ID separados."&amp;CHAR(10),"")&amp;IF(S322&gt;0,"Código repetido en otro capítulo; no unimos las partidas."&amp;CHAR(10),"")&amp;IF(T322&gt;0,"Mismo código con unidades distintas; pedimos aclaración."&amp;CHAR(10),"")&amp;IF(Q322&gt;0,"Hay más precisión que los decimales indicados; cotejamos el formato original."&amp;CHAR(10),"")&amp;IF(U322&gt;0,"Unidad sin normalizar; cotejamos su significado antes de sumar unidades."&amp;CHAR(10),"")&amp;IF(V322&gt;0,"Revisamos dimensiones, cantidades directas, ceros o deducciones en PEGAR."&amp;CHAR(10),"")))</f>
      </c>
      <c r="K322" s="0">
        <f>IF(310&gt;'RESUMEN'!$E$6,"",MATCH(310,'PEGAR'!$W$13:$W$512,0))</f>
      </c>
      <c r="L322" s="0">
        <f>IF(K322="","",INDEX('PEGAR'!$R$13:$R$512,K322))</f>
      </c>
      <c r="M322" s="0">
        <f>IF(B322="","",COUNTIFS('PEGAR'!$O$13:$O$512,B322,'PEGAR'!$P$13:$P$512,"DIMENSIONES")+COUNTIFS('PEGAR'!$O$13:$O$512,B322,'PEGAR'!$P$13:$P$512,"DIRECTA"))</f>
      </c>
      <c r="N322" s="0">
        <f>IF(B322="","",COUNTIFS('PEGAR'!$O$13:$O$512,B322,'PEGAR'!$X$13:$X$512,2))</f>
      </c>
      <c r="O322" s="0">
        <f>IF(B322="","",COUNTIFS('PEGAR'!$O$13:$O$512,B322,'PEGAR'!$P$13:$P$512,"SIN LÍNEAS"))</f>
      </c>
      <c r="P322" s="0">
        <f>IF(B322="","",SUMIFS('PEGAR'!$Y$13:$Y$512,'PEGAR'!$O$13:$O$512,B322))</f>
      </c>
      <c r="Q322" s="0">
        <f>IF(B322="","",SUMIFS('PEGAR'!$Z$13:$Z$512,'PEGAR'!$O$13:$O$512,B322))</f>
      </c>
      <c r="R322" s="0" t="n">
        <f>IF(OR(B322="",D322=""),0,SUMPRODUCT(--($B$13:$B$512&lt;&gt;""),--($D$13:$D$512=D322),--($C$13:$C$512=C322))-1)</f>
        <v>0</v>
      </c>
      <c r="S322" s="0" t="n">
        <f>IF(OR(B322="",D322=""),0,SUMPRODUCT(--($B$13:$B$512&lt;&gt;""),--($D$13:$D$512=D322),--($C$13:$C$512&lt;&gt;C322)))</f>
        <v>0</v>
      </c>
      <c r="T322" s="0" t="n">
        <f>IF(OR(B322="",D322=""),0,SUMPRODUCT(--($B$13:$B$512&lt;&gt;""),--($D$13:$D$512=D322),--($E$13:$E$512&lt;&gt;E322)))</f>
        <v>0</v>
      </c>
      <c r="U322" s="0" t="n">
        <f>IF(B322="",0,IF(SUMPRODUCT(--('LÉEME'!$C$65:$C$86=E322))=0,1,0))</f>
        <v>0</v>
      </c>
      <c r="V322" s="0">
        <f>IF(B322="","",SUMIFS('PEGAR'!$AA$13:$AA$512,'PEGAR'!$O$13:$O$512,B322))</f>
      </c>
      <c r="W322" s="0">
        <f>IF(B322="","",IF(OR(L322=0,N322&gt;0,T322&gt;0,IF(ISNUMBER(H322),ROUND(ABS(H322),8)&gt;$F$6,FALSE)),2,IF(OR(M322=0,O322&gt;0,P322&gt;0,Q322&gt;0,R322&gt;0,S322&gt;0,U322&gt;0,V322&gt;0),1,0)))</f>
      </c>
      <c r="X322" s="0">
        <f>IF(B322="","",IF(ISNUMBER(G322),1,0))</f>
      </c>
      <c r="AB322" s="0">
        <f>IF(AND(ISNUMBER(W322),W322&gt;0),"ID "&amp;B322,"")</f>
      </c>
      <c r="AC322" s="0">
        <f>IF(AND(ISNUMBER(W322),W322&gt;0),C322,"")</f>
      </c>
      <c r="AD322" s="0">
        <f>IF(AND(ISNUMBER(W322),W322&gt;0),D322,"")</f>
      </c>
      <c r="AE322" s="0">
        <f>IF(AND(ISNUMBER(W322),W322&gt;0),IF(INDEX('PEGAR'!$D$13:$D$512,IF(L322&gt;0,L322,K322))="","Sin descripción",INDEX('PEGAR'!$D$13:$D$512,IF(L322&gt;0,L322,K322))),"")</f>
      </c>
      <c r="AF322" s="0">
        <f>IF(AND(ISNUMBER(W322),W322&gt;0),J322,"")</f>
      </c>
      <c r="AG322" s="0" t="n">
        <f>IF(AND(ISNUMBER(W322),W322&gt;0),W322,0)</f>
        <v>0</v>
      </c>
      <c r="AH322" s="0">
        <f>IF(AG322&gt;0,COUNTIFS($AG$13:AG322,"&gt;0"),"")</f>
      </c>
    </row>
    <row r="323" ht="22" customHeight="1">
      <c r="B323" s="27">
        <f>IF(K323="","",INDEX('PEGAR'!$O$13:$O$512,K323))</f>
      </c>
      <c r="C323" s="30">
        <f>IF(B323="","",IF(LEN(TRIM(INDEX('PEGAR'!$B$13:$B$512,IF(L323&gt;0,L323,K323))&amp;""))=0,"Sin capítulo",TRIM(INDEX('PEGAR'!$B$13:$B$512,IF(L323&gt;0,L323,K323))&amp;"")))</f>
      </c>
      <c r="D323" s="27">
        <f>IF(B323="","",IF(LEN(TRIM(INDEX('PEGAR'!$C$13:$C$512,IF(L323&gt;0,L323,K323))&amp;""))=0,"",TRIM(INDEX('PEGAR'!$C$13:$C$512,IF(L323&gt;0,L323,K323))&amp;"")))</f>
      </c>
      <c r="E323" s="27">
        <f>IF(B323="","",INDEX('PEGAR'!$S$13:$S$512,IF(L323&gt;0,L323,K323)))</f>
      </c>
      <c r="F323" s="39">
        <f>IF(B323="","",IF(L323&gt;0,INDEX('PEGAR'!$F$13:$F$512,L323),""))</f>
      </c>
      <c r="G323" s="39">
        <f>IF(B323="","",IF(OR(M323=0,N323&gt;0,O323&gt;0),"",SUMIFS('PEGAR'!$M$13:$M$512,'PEGAR'!$O$13:$O$512,B323)))</f>
      </c>
      <c r="H323" s="39">
        <f>IF(AND(ISNUMBER(F323),ISNUMBER(G323)),G323-F323,"")</f>
      </c>
      <c r="I323" s="27">
        <f>IF(B323="","",IF(W323=2,"ROJO",IF(W323=1,"ÁMBAR","VERDE")))</f>
      </c>
      <c r="J323" s="30">
        <f>IF(B323="","",IF(W323=0,"Sin avisos numéricos. Revisamos el alcance aparte.",IF(L323=0,"Faltan datos completos de partida; no elegimos un total por suposición."&amp;CHAR(10),"")&amp;IF(N323&gt;0,"Hay filas incompletas o contradictorias; las revisamos en PEGAR."&amp;CHAR(10),"")&amp;IF(O323&gt;0,"Faltan las medidas de alguna fila; no cerramos la suma."&amp;CHAR(10),"")&amp;IF(M323=0,"No constan líneas de medición."&amp;CHAR(10),"")&amp;IF(IF(ISNUMBER(H323),ROUND(ABS(H323),8)&gt;$F$6,FALSE),"Las líneas difieren del total en más de 0,01; confirmamos cantidad o exclusión."&amp;CHAR(10),"")&amp;IF(P323&gt;0,"Parece m³: encontramos tres dimensiones bajo m²."&amp;CHAR(10),"")&amp;IF(R323&gt;0,"Código repetido dentro del capítulo; mantenemos sus ID separados."&amp;CHAR(10),"")&amp;IF(S323&gt;0,"Código repetido en otro capítulo; no unimos las partidas."&amp;CHAR(10),"")&amp;IF(T323&gt;0,"Mismo código con unidades distintas; pedimos aclaración."&amp;CHAR(10),"")&amp;IF(Q323&gt;0,"Hay más precisión que los decimales indicados; cotejamos el formato original."&amp;CHAR(10),"")&amp;IF(U323&gt;0,"Unidad sin normalizar; cotejamos su significado antes de sumar unidades."&amp;CHAR(10),"")&amp;IF(V323&gt;0,"Revisamos dimensiones, cantidades directas, ceros o deducciones en PEGAR."&amp;CHAR(10),"")))</f>
      </c>
      <c r="K323" s="0">
        <f>IF(311&gt;'RESUMEN'!$E$6,"",MATCH(311,'PEGAR'!$W$13:$W$512,0))</f>
      </c>
      <c r="L323" s="0">
        <f>IF(K323="","",INDEX('PEGAR'!$R$13:$R$512,K323))</f>
      </c>
      <c r="M323" s="0">
        <f>IF(B323="","",COUNTIFS('PEGAR'!$O$13:$O$512,B323,'PEGAR'!$P$13:$P$512,"DIMENSIONES")+COUNTIFS('PEGAR'!$O$13:$O$512,B323,'PEGAR'!$P$13:$P$512,"DIRECTA"))</f>
      </c>
      <c r="N323" s="0">
        <f>IF(B323="","",COUNTIFS('PEGAR'!$O$13:$O$512,B323,'PEGAR'!$X$13:$X$512,2))</f>
      </c>
      <c r="O323" s="0">
        <f>IF(B323="","",COUNTIFS('PEGAR'!$O$13:$O$512,B323,'PEGAR'!$P$13:$P$512,"SIN LÍNEAS"))</f>
      </c>
      <c r="P323" s="0">
        <f>IF(B323="","",SUMIFS('PEGAR'!$Y$13:$Y$512,'PEGAR'!$O$13:$O$512,B323))</f>
      </c>
      <c r="Q323" s="0">
        <f>IF(B323="","",SUMIFS('PEGAR'!$Z$13:$Z$512,'PEGAR'!$O$13:$O$512,B323))</f>
      </c>
      <c r="R323" s="0" t="n">
        <f>IF(OR(B323="",D323=""),0,SUMPRODUCT(--($B$13:$B$512&lt;&gt;""),--($D$13:$D$512=D323),--($C$13:$C$512=C323))-1)</f>
        <v>0</v>
      </c>
      <c r="S323" s="0" t="n">
        <f>IF(OR(B323="",D323=""),0,SUMPRODUCT(--($B$13:$B$512&lt;&gt;""),--($D$13:$D$512=D323),--($C$13:$C$512&lt;&gt;C323)))</f>
        <v>0</v>
      </c>
      <c r="T323" s="0" t="n">
        <f>IF(OR(B323="",D323=""),0,SUMPRODUCT(--($B$13:$B$512&lt;&gt;""),--($D$13:$D$512=D323),--($E$13:$E$512&lt;&gt;E323)))</f>
        <v>0</v>
      </c>
      <c r="U323" s="0" t="n">
        <f>IF(B323="",0,IF(SUMPRODUCT(--('LÉEME'!$C$65:$C$86=E323))=0,1,0))</f>
        <v>0</v>
      </c>
      <c r="V323" s="0">
        <f>IF(B323="","",SUMIFS('PEGAR'!$AA$13:$AA$512,'PEGAR'!$O$13:$O$512,B323))</f>
      </c>
      <c r="W323" s="0">
        <f>IF(B323="","",IF(OR(L323=0,N323&gt;0,T323&gt;0,IF(ISNUMBER(H323),ROUND(ABS(H323),8)&gt;$F$6,FALSE)),2,IF(OR(M323=0,O323&gt;0,P323&gt;0,Q323&gt;0,R323&gt;0,S323&gt;0,U323&gt;0,V323&gt;0),1,0)))</f>
      </c>
      <c r="X323" s="0">
        <f>IF(B323="","",IF(ISNUMBER(G323),1,0))</f>
      </c>
      <c r="AB323" s="0">
        <f>IF(AND(ISNUMBER(W323),W323&gt;0),"ID "&amp;B323,"")</f>
      </c>
      <c r="AC323" s="0">
        <f>IF(AND(ISNUMBER(W323),W323&gt;0),C323,"")</f>
      </c>
      <c r="AD323" s="0">
        <f>IF(AND(ISNUMBER(W323),W323&gt;0),D323,"")</f>
      </c>
      <c r="AE323" s="0">
        <f>IF(AND(ISNUMBER(W323),W323&gt;0),IF(INDEX('PEGAR'!$D$13:$D$512,IF(L323&gt;0,L323,K323))="","Sin descripción",INDEX('PEGAR'!$D$13:$D$512,IF(L323&gt;0,L323,K323))),"")</f>
      </c>
      <c r="AF323" s="0">
        <f>IF(AND(ISNUMBER(W323),W323&gt;0),J323,"")</f>
      </c>
      <c r="AG323" s="0" t="n">
        <f>IF(AND(ISNUMBER(W323),W323&gt;0),W323,0)</f>
        <v>0</v>
      </c>
      <c r="AH323" s="0">
        <f>IF(AG323&gt;0,COUNTIFS($AG$13:AG323,"&gt;0"),"")</f>
      </c>
    </row>
    <row r="324" ht="22" customHeight="1">
      <c r="B324" s="27">
        <f>IF(K324="","",INDEX('PEGAR'!$O$13:$O$512,K324))</f>
      </c>
      <c r="C324" s="30">
        <f>IF(B324="","",IF(LEN(TRIM(INDEX('PEGAR'!$B$13:$B$512,IF(L324&gt;0,L324,K324))&amp;""))=0,"Sin capítulo",TRIM(INDEX('PEGAR'!$B$13:$B$512,IF(L324&gt;0,L324,K324))&amp;"")))</f>
      </c>
      <c r="D324" s="27">
        <f>IF(B324="","",IF(LEN(TRIM(INDEX('PEGAR'!$C$13:$C$512,IF(L324&gt;0,L324,K324))&amp;""))=0,"",TRIM(INDEX('PEGAR'!$C$13:$C$512,IF(L324&gt;0,L324,K324))&amp;"")))</f>
      </c>
      <c r="E324" s="27">
        <f>IF(B324="","",INDEX('PEGAR'!$S$13:$S$512,IF(L324&gt;0,L324,K324)))</f>
      </c>
      <c r="F324" s="39">
        <f>IF(B324="","",IF(L324&gt;0,INDEX('PEGAR'!$F$13:$F$512,L324),""))</f>
      </c>
      <c r="G324" s="39">
        <f>IF(B324="","",IF(OR(M324=0,N324&gt;0,O324&gt;0),"",SUMIFS('PEGAR'!$M$13:$M$512,'PEGAR'!$O$13:$O$512,B324)))</f>
      </c>
      <c r="H324" s="39">
        <f>IF(AND(ISNUMBER(F324),ISNUMBER(G324)),G324-F324,"")</f>
      </c>
      <c r="I324" s="27">
        <f>IF(B324="","",IF(W324=2,"ROJO",IF(W324=1,"ÁMBAR","VERDE")))</f>
      </c>
      <c r="J324" s="30">
        <f>IF(B324="","",IF(W324=0,"Sin avisos numéricos. Revisamos el alcance aparte.",IF(L324=0,"Faltan datos completos de partida; no elegimos un total por suposición."&amp;CHAR(10),"")&amp;IF(N324&gt;0,"Hay filas incompletas o contradictorias; las revisamos en PEGAR."&amp;CHAR(10),"")&amp;IF(O324&gt;0,"Faltan las medidas de alguna fila; no cerramos la suma."&amp;CHAR(10),"")&amp;IF(M324=0,"No constan líneas de medición."&amp;CHAR(10),"")&amp;IF(IF(ISNUMBER(H324),ROUND(ABS(H324),8)&gt;$F$6,FALSE),"Las líneas difieren del total en más de 0,01; confirmamos cantidad o exclusión."&amp;CHAR(10),"")&amp;IF(P324&gt;0,"Parece m³: encontramos tres dimensiones bajo m²."&amp;CHAR(10),"")&amp;IF(R324&gt;0,"Código repetido dentro del capítulo; mantenemos sus ID separados."&amp;CHAR(10),"")&amp;IF(S324&gt;0,"Código repetido en otro capítulo; no unimos las partidas."&amp;CHAR(10),"")&amp;IF(T324&gt;0,"Mismo código con unidades distintas; pedimos aclaración."&amp;CHAR(10),"")&amp;IF(Q324&gt;0,"Hay más precisión que los decimales indicados; cotejamos el formato original."&amp;CHAR(10),"")&amp;IF(U324&gt;0,"Unidad sin normalizar; cotejamos su significado antes de sumar unidades."&amp;CHAR(10),"")&amp;IF(V324&gt;0,"Revisamos dimensiones, cantidades directas, ceros o deducciones en PEGAR."&amp;CHAR(10),"")))</f>
      </c>
      <c r="K324" s="0">
        <f>IF(312&gt;'RESUMEN'!$E$6,"",MATCH(312,'PEGAR'!$W$13:$W$512,0))</f>
      </c>
      <c r="L324" s="0">
        <f>IF(K324="","",INDEX('PEGAR'!$R$13:$R$512,K324))</f>
      </c>
      <c r="M324" s="0">
        <f>IF(B324="","",COUNTIFS('PEGAR'!$O$13:$O$512,B324,'PEGAR'!$P$13:$P$512,"DIMENSIONES")+COUNTIFS('PEGAR'!$O$13:$O$512,B324,'PEGAR'!$P$13:$P$512,"DIRECTA"))</f>
      </c>
      <c r="N324" s="0">
        <f>IF(B324="","",COUNTIFS('PEGAR'!$O$13:$O$512,B324,'PEGAR'!$X$13:$X$512,2))</f>
      </c>
      <c r="O324" s="0">
        <f>IF(B324="","",COUNTIFS('PEGAR'!$O$13:$O$512,B324,'PEGAR'!$P$13:$P$512,"SIN LÍNEAS"))</f>
      </c>
      <c r="P324" s="0">
        <f>IF(B324="","",SUMIFS('PEGAR'!$Y$13:$Y$512,'PEGAR'!$O$13:$O$512,B324))</f>
      </c>
      <c r="Q324" s="0">
        <f>IF(B324="","",SUMIFS('PEGAR'!$Z$13:$Z$512,'PEGAR'!$O$13:$O$512,B324))</f>
      </c>
      <c r="R324" s="0" t="n">
        <f>IF(OR(B324="",D324=""),0,SUMPRODUCT(--($B$13:$B$512&lt;&gt;""),--($D$13:$D$512=D324),--($C$13:$C$512=C324))-1)</f>
        <v>0</v>
      </c>
      <c r="S324" s="0" t="n">
        <f>IF(OR(B324="",D324=""),0,SUMPRODUCT(--($B$13:$B$512&lt;&gt;""),--($D$13:$D$512=D324),--($C$13:$C$512&lt;&gt;C324)))</f>
        <v>0</v>
      </c>
      <c r="T324" s="0" t="n">
        <f>IF(OR(B324="",D324=""),0,SUMPRODUCT(--($B$13:$B$512&lt;&gt;""),--($D$13:$D$512=D324),--($E$13:$E$512&lt;&gt;E324)))</f>
        <v>0</v>
      </c>
      <c r="U324" s="0" t="n">
        <f>IF(B324="",0,IF(SUMPRODUCT(--('LÉEME'!$C$65:$C$86=E324))=0,1,0))</f>
        <v>0</v>
      </c>
      <c r="V324" s="0">
        <f>IF(B324="","",SUMIFS('PEGAR'!$AA$13:$AA$512,'PEGAR'!$O$13:$O$512,B324))</f>
      </c>
      <c r="W324" s="0">
        <f>IF(B324="","",IF(OR(L324=0,N324&gt;0,T324&gt;0,IF(ISNUMBER(H324),ROUND(ABS(H324),8)&gt;$F$6,FALSE)),2,IF(OR(M324=0,O324&gt;0,P324&gt;0,Q324&gt;0,R324&gt;0,S324&gt;0,U324&gt;0,V324&gt;0),1,0)))</f>
      </c>
      <c r="X324" s="0">
        <f>IF(B324="","",IF(ISNUMBER(G324),1,0))</f>
      </c>
      <c r="AB324" s="0">
        <f>IF(AND(ISNUMBER(W324),W324&gt;0),"ID "&amp;B324,"")</f>
      </c>
      <c r="AC324" s="0">
        <f>IF(AND(ISNUMBER(W324),W324&gt;0),C324,"")</f>
      </c>
      <c r="AD324" s="0">
        <f>IF(AND(ISNUMBER(W324),W324&gt;0),D324,"")</f>
      </c>
      <c r="AE324" s="0">
        <f>IF(AND(ISNUMBER(W324),W324&gt;0),IF(INDEX('PEGAR'!$D$13:$D$512,IF(L324&gt;0,L324,K324))="","Sin descripción",INDEX('PEGAR'!$D$13:$D$512,IF(L324&gt;0,L324,K324))),"")</f>
      </c>
      <c r="AF324" s="0">
        <f>IF(AND(ISNUMBER(W324),W324&gt;0),J324,"")</f>
      </c>
      <c r="AG324" s="0" t="n">
        <f>IF(AND(ISNUMBER(W324),W324&gt;0),W324,0)</f>
        <v>0</v>
      </c>
      <c r="AH324" s="0">
        <f>IF(AG324&gt;0,COUNTIFS($AG$13:AG324,"&gt;0"),"")</f>
      </c>
    </row>
    <row r="325" ht="22" customHeight="1">
      <c r="B325" s="27">
        <f>IF(K325="","",INDEX('PEGAR'!$O$13:$O$512,K325))</f>
      </c>
      <c r="C325" s="30">
        <f>IF(B325="","",IF(LEN(TRIM(INDEX('PEGAR'!$B$13:$B$512,IF(L325&gt;0,L325,K325))&amp;""))=0,"Sin capítulo",TRIM(INDEX('PEGAR'!$B$13:$B$512,IF(L325&gt;0,L325,K325))&amp;"")))</f>
      </c>
      <c r="D325" s="27">
        <f>IF(B325="","",IF(LEN(TRIM(INDEX('PEGAR'!$C$13:$C$512,IF(L325&gt;0,L325,K325))&amp;""))=0,"",TRIM(INDEX('PEGAR'!$C$13:$C$512,IF(L325&gt;0,L325,K325))&amp;"")))</f>
      </c>
      <c r="E325" s="27">
        <f>IF(B325="","",INDEX('PEGAR'!$S$13:$S$512,IF(L325&gt;0,L325,K325)))</f>
      </c>
      <c r="F325" s="39">
        <f>IF(B325="","",IF(L325&gt;0,INDEX('PEGAR'!$F$13:$F$512,L325),""))</f>
      </c>
      <c r="G325" s="39">
        <f>IF(B325="","",IF(OR(M325=0,N325&gt;0,O325&gt;0),"",SUMIFS('PEGAR'!$M$13:$M$512,'PEGAR'!$O$13:$O$512,B325)))</f>
      </c>
      <c r="H325" s="39">
        <f>IF(AND(ISNUMBER(F325),ISNUMBER(G325)),G325-F325,"")</f>
      </c>
      <c r="I325" s="27">
        <f>IF(B325="","",IF(W325=2,"ROJO",IF(W325=1,"ÁMBAR","VERDE")))</f>
      </c>
      <c r="J325" s="30">
        <f>IF(B325="","",IF(W325=0,"Sin avisos numéricos. Revisamos el alcance aparte.",IF(L325=0,"Faltan datos completos de partida; no elegimos un total por suposición."&amp;CHAR(10),"")&amp;IF(N325&gt;0,"Hay filas incompletas o contradictorias; las revisamos en PEGAR."&amp;CHAR(10),"")&amp;IF(O325&gt;0,"Faltan las medidas de alguna fila; no cerramos la suma."&amp;CHAR(10),"")&amp;IF(M325=0,"No constan líneas de medición."&amp;CHAR(10),"")&amp;IF(IF(ISNUMBER(H325),ROUND(ABS(H325),8)&gt;$F$6,FALSE),"Las líneas difieren del total en más de 0,01; confirmamos cantidad o exclusión."&amp;CHAR(10),"")&amp;IF(P325&gt;0,"Parece m³: encontramos tres dimensiones bajo m²."&amp;CHAR(10),"")&amp;IF(R325&gt;0,"Código repetido dentro del capítulo; mantenemos sus ID separados."&amp;CHAR(10),"")&amp;IF(S325&gt;0,"Código repetido en otro capítulo; no unimos las partidas."&amp;CHAR(10),"")&amp;IF(T325&gt;0,"Mismo código con unidades distintas; pedimos aclaración."&amp;CHAR(10),"")&amp;IF(Q325&gt;0,"Hay más precisión que los decimales indicados; cotejamos el formato original."&amp;CHAR(10),"")&amp;IF(U325&gt;0,"Unidad sin normalizar; cotejamos su significado antes de sumar unidades."&amp;CHAR(10),"")&amp;IF(V325&gt;0,"Revisamos dimensiones, cantidades directas, ceros o deducciones en PEGAR."&amp;CHAR(10),"")))</f>
      </c>
      <c r="K325" s="0">
        <f>IF(313&gt;'RESUMEN'!$E$6,"",MATCH(313,'PEGAR'!$W$13:$W$512,0))</f>
      </c>
      <c r="L325" s="0">
        <f>IF(K325="","",INDEX('PEGAR'!$R$13:$R$512,K325))</f>
      </c>
      <c r="M325" s="0">
        <f>IF(B325="","",COUNTIFS('PEGAR'!$O$13:$O$512,B325,'PEGAR'!$P$13:$P$512,"DIMENSIONES")+COUNTIFS('PEGAR'!$O$13:$O$512,B325,'PEGAR'!$P$13:$P$512,"DIRECTA"))</f>
      </c>
      <c r="N325" s="0">
        <f>IF(B325="","",COUNTIFS('PEGAR'!$O$13:$O$512,B325,'PEGAR'!$X$13:$X$512,2))</f>
      </c>
      <c r="O325" s="0">
        <f>IF(B325="","",COUNTIFS('PEGAR'!$O$13:$O$512,B325,'PEGAR'!$P$13:$P$512,"SIN LÍNEAS"))</f>
      </c>
      <c r="P325" s="0">
        <f>IF(B325="","",SUMIFS('PEGAR'!$Y$13:$Y$512,'PEGAR'!$O$13:$O$512,B325))</f>
      </c>
      <c r="Q325" s="0">
        <f>IF(B325="","",SUMIFS('PEGAR'!$Z$13:$Z$512,'PEGAR'!$O$13:$O$512,B325))</f>
      </c>
      <c r="R325" s="0" t="n">
        <f>IF(OR(B325="",D325=""),0,SUMPRODUCT(--($B$13:$B$512&lt;&gt;""),--($D$13:$D$512=D325),--($C$13:$C$512=C325))-1)</f>
        <v>0</v>
      </c>
      <c r="S325" s="0" t="n">
        <f>IF(OR(B325="",D325=""),0,SUMPRODUCT(--($B$13:$B$512&lt;&gt;""),--($D$13:$D$512=D325),--($C$13:$C$512&lt;&gt;C325)))</f>
        <v>0</v>
      </c>
      <c r="T325" s="0" t="n">
        <f>IF(OR(B325="",D325=""),0,SUMPRODUCT(--($B$13:$B$512&lt;&gt;""),--($D$13:$D$512=D325),--($E$13:$E$512&lt;&gt;E325)))</f>
        <v>0</v>
      </c>
      <c r="U325" s="0" t="n">
        <f>IF(B325="",0,IF(SUMPRODUCT(--('LÉEME'!$C$65:$C$86=E325))=0,1,0))</f>
        <v>0</v>
      </c>
      <c r="V325" s="0">
        <f>IF(B325="","",SUMIFS('PEGAR'!$AA$13:$AA$512,'PEGAR'!$O$13:$O$512,B325))</f>
      </c>
      <c r="W325" s="0">
        <f>IF(B325="","",IF(OR(L325=0,N325&gt;0,T325&gt;0,IF(ISNUMBER(H325),ROUND(ABS(H325),8)&gt;$F$6,FALSE)),2,IF(OR(M325=0,O325&gt;0,P325&gt;0,Q325&gt;0,R325&gt;0,S325&gt;0,U325&gt;0,V325&gt;0),1,0)))</f>
      </c>
      <c r="X325" s="0">
        <f>IF(B325="","",IF(ISNUMBER(G325),1,0))</f>
      </c>
      <c r="AB325" s="0">
        <f>IF(AND(ISNUMBER(W325),W325&gt;0),"ID "&amp;B325,"")</f>
      </c>
      <c r="AC325" s="0">
        <f>IF(AND(ISNUMBER(W325),W325&gt;0),C325,"")</f>
      </c>
      <c r="AD325" s="0">
        <f>IF(AND(ISNUMBER(W325),W325&gt;0),D325,"")</f>
      </c>
      <c r="AE325" s="0">
        <f>IF(AND(ISNUMBER(W325),W325&gt;0),IF(INDEX('PEGAR'!$D$13:$D$512,IF(L325&gt;0,L325,K325))="","Sin descripción",INDEX('PEGAR'!$D$13:$D$512,IF(L325&gt;0,L325,K325))),"")</f>
      </c>
      <c r="AF325" s="0">
        <f>IF(AND(ISNUMBER(W325),W325&gt;0),J325,"")</f>
      </c>
      <c r="AG325" s="0" t="n">
        <f>IF(AND(ISNUMBER(W325),W325&gt;0),W325,0)</f>
        <v>0</v>
      </c>
      <c r="AH325" s="0">
        <f>IF(AG325&gt;0,COUNTIFS($AG$13:AG325,"&gt;0"),"")</f>
      </c>
    </row>
    <row r="326" ht="22" customHeight="1">
      <c r="B326" s="27">
        <f>IF(K326="","",INDEX('PEGAR'!$O$13:$O$512,K326))</f>
      </c>
      <c r="C326" s="30">
        <f>IF(B326="","",IF(LEN(TRIM(INDEX('PEGAR'!$B$13:$B$512,IF(L326&gt;0,L326,K326))&amp;""))=0,"Sin capítulo",TRIM(INDEX('PEGAR'!$B$13:$B$512,IF(L326&gt;0,L326,K326))&amp;"")))</f>
      </c>
      <c r="D326" s="27">
        <f>IF(B326="","",IF(LEN(TRIM(INDEX('PEGAR'!$C$13:$C$512,IF(L326&gt;0,L326,K326))&amp;""))=0,"",TRIM(INDEX('PEGAR'!$C$13:$C$512,IF(L326&gt;0,L326,K326))&amp;"")))</f>
      </c>
      <c r="E326" s="27">
        <f>IF(B326="","",INDEX('PEGAR'!$S$13:$S$512,IF(L326&gt;0,L326,K326)))</f>
      </c>
      <c r="F326" s="39">
        <f>IF(B326="","",IF(L326&gt;0,INDEX('PEGAR'!$F$13:$F$512,L326),""))</f>
      </c>
      <c r="G326" s="39">
        <f>IF(B326="","",IF(OR(M326=0,N326&gt;0,O326&gt;0),"",SUMIFS('PEGAR'!$M$13:$M$512,'PEGAR'!$O$13:$O$512,B326)))</f>
      </c>
      <c r="H326" s="39">
        <f>IF(AND(ISNUMBER(F326),ISNUMBER(G326)),G326-F326,"")</f>
      </c>
      <c r="I326" s="27">
        <f>IF(B326="","",IF(W326=2,"ROJO",IF(W326=1,"ÁMBAR","VERDE")))</f>
      </c>
      <c r="J326" s="30">
        <f>IF(B326="","",IF(W326=0,"Sin avisos numéricos. Revisamos el alcance aparte.",IF(L326=0,"Faltan datos completos de partida; no elegimos un total por suposición."&amp;CHAR(10),"")&amp;IF(N326&gt;0,"Hay filas incompletas o contradictorias; las revisamos en PEGAR."&amp;CHAR(10),"")&amp;IF(O326&gt;0,"Faltan las medidas de alguna fila; no cerramos la suma."&amp;CHAR(10),"")&amp;IF(M326=0,"No constan líneas de medición."&amp;CHAR(10),"")&amp;IF(IF(ISNUMBER(H326),ROUND(ABS(H326),8)&gt;$F$6,FALSE),"Las líneas difieren del total en más de 0,01; confirmamos cantidad o exclusión."&amp;CHAR(10),"")&amp;IF(P326&gt;0,"Parece m³: encontramos tres dimensiones bajo m²."&amp;CHAR(10),"")&amp;IF(R326&gt;0,"Código repetido dentro del capítulo; mantenemos sus ID separados."&amp;CHAR(10),"")&amp;IF(S326&gt;0,"Código repetido en otro capítulo; no unimos las partidas."&amp;CHAR(10),"")&amp;IF(T326&gt;0,"Mismo código con unidades distintas; pedimos aclaración."&amp;CHAR(10),"")&amp;IF(Q326&gt;0,"Hay más precisión que los decimales indicados; cotejamos el formato original."&amp;CHAR(10),"")&amp;IF(U326&gt;0,"Unidad sin normalizar; cotejamos su significado antes de sumar unidades."&amp;CHAR(10),"")&amp;IF(V326&gt;0,"Revisamos dimensiones, cantidades directas, ceros o deducciones en PEGAR."&amp;CHAR(10),"")))</f>
      </c>
      <c r="K326" s="0">
        <f>IF(314&gt;'RESUMEN'!$E$6,"",MATCH(314,'PEGAR'!$W$13:$W$512,0))</f>
      </c>
      <c r="L326" s="0">
        <f>IF(K326="","",INDEX('PEGAR'!$R$13:$R$512,K326))</f>
      </c>
      <c r="M326" s="0">
        <f>IF(B326="","",COUNTIFS('PEGAR'!$O$13:$O$512,B326,'PEGAR'!$P$13:$P$512,"DIMENSIONES")+COUNTIFS('PEGAR'!$O$13:$O$512,B326,'PEGAR'!$P$13:$P$512,"DIRECTA"))</f>
      </c>
      <c r="N326" s="0">
        <f>IF(B326="","",COUNTIFS('PEGAR'!$O$13:$O$512,B326,'PEGAR'!$X$13:$X$512,2))</f>
      </c>
      <c r="O326" s="0">
        <f>IF(B326="","",COUNTIFS('PEGAR'!$O$13:$O$512,B326,'PEGAR'!$P$13:$P$512,"SIN LÍNEAS"))</f>
      </c>
      <c r="P326" s="0">
        <f>IF(B326="","",SUMIFS('PEGAR'!$Y$13:$Y$512,'PEGAR'!$O$13:$O$512,B326))</f>
      </c>
      <c r="Q326" s="0">
        <f>IF(B326="","",SUMIFS('PEGAR'!$Z$13:$Z$512,'PEGAR'!$O$13:$O$512,B326))</f>
      </c>
      <c r="R326" s="0" t="n">
        <f>IF(OR(B326="",D326=""),0,SUMPRODUCT(--($B$13:$B$512&lt;&gt;""),--($D$13:$D$512=D326),--($C$13:$C$512=C326))-1)</f>
        <v>0</v>
      </c>
      <c r="S326" s="0" t="n">
        <f>IF(OR(B326="",D326=""),0,SUMPRODUCT(--($B$13:$B$512&lt;&gt;""),--($D$13:$D$512=D326),--($C$13:$C$512&lt;&gt;C326)))</f>
        <v>0</v>
      </c>
      <c r="T326" s="0" t="n">
        <f>IF(OR(B326="",D326=""),0,SUMPRODUCT(--($B$13:$B$512&lt;&gt;""),--($D$13:$D$512=D326),--($E$13:$E$512&lt;&gt;E326)))</f>
        <v>0</v>
      </c>
      <c r="U326" s="0" t="n">
        <f>IF(B326="",0,IF(SUMPRODUCT(--('LÉEME'!$C$65:$C$86=E326))=0,1,0))</f>
        <v>0</v>
      </c>
      <c r="V326" s="0">
        <f>IF(B326="","",SUMIFS('PEGAR'!$AA$13:$AA$512,'PEGAR'!$O$13:$O$512,B326))</f>
      </c>
      <c r="W326" s="0">
        <f>IF(B326="","",IF(OR(L326=0,N326&gt;0,T326&gt;0,IF(ISNUMBER(H326),ROUND(ABS(H326),8)&gt;$F$6,FALSE)),2,IF(OR(M326=0,O326&gt;0,P326&gt;0,Q326&gt;0,R326&gt;0,S326&gt;0,U326&gt;0,V326&gt;0),1,0)))</f>
      </c>
      <c r="X326" s="0">
        <f>IF(B326="","",IF(ISNUMBER(G326),1,0))</f>
      </c>
      <c r="AB326" s="0">
        <f>IF(AND(ISNUMBER(W326),W326&gt;0),"ID "&amp;B326,"")</f>
      </c>
      <c r="AC326" s="0">
        <f>IF(AND(ISNUMBER(W326),W326&gt;0),C326,"")</f>
      </c>
      <c r="AD326" s="0">
        <f>IF(AND(ISNUMBER(W326),W326&gt;0),D326,"")</f>
      </c>
      <c r="AE326" s="0">
        <f>IF(AND(ISNUMBER(W326),W326&gt;0),IF(INDEX('PEGAR'!$D$13:$D$512,IF(L326&gt;0,L326,K326))="","Sin descripción",INDEX('PEGAR'!$D$13:$D$512,IF(L326&gt;0,L326,K326))),"")</f>
      </c>
      <c r="AF326" s="0">
        <f>IF(AND(ISNUMBER(W326),W326&gt;0),J326,"")</f>
      </c>
      <c r="AG326" s="0" t="n">
        <f>IF(AND(ISNUMBER(W326),W326&gt;0),W326,0)</f>
        <v>0</v>
      </c>
      <c r="AH326" s="0">
        <f>IF(AG326&gt;0,COUNTIFS($AG$13:AG326,"&gt;0"),"")</f>
      </c>
    </row>
    <row r="327" ht="22" customHeight="1">
      <c r="B327" s="27">
        <f>IF(K327="","",INDEX('PEGAR'!$O$13:$O$512,K327))</f>
      </c>
      <c r="C327" s="30">
        <f>IF(B327="","",IF(LEN(TRIM(INDEX('PEGAR'!$B$13:$B$512,IF(L327&gt;0,L327,K327))&amp;""))=0,"Sin capítulo",TRIM(INDEX('PEGAR'!$B$13:$B$512,IF(L327&gt;0,L327,K327))&amp;"")))</f>
      </c>
      <c r="D327" s="27">
        <f>IF(B327="","",IF(LEN(TRIM(INDEX('PEGAR'!$C$13:$C$512,IF(L327&gt;0,L327,K327))&amp;""))=0,"",TRIM(INDEX('PEGAR'!$C$13:$C$512,IF(L327&gt;0,L327,K327))&amp;"")))</f>
      </c>
      <c r="E327" s="27">
        <f>IF(B327="","",INDEX('PEGAR'!$S$13:$S$512,IF(L327&gt;0,L327,K327)))</f>
      </c>
      <c r="F327" s="39">
        <f>IF(B327="","",IF(L327&gt;0,INDEX('PEGAR'!$F$13:$F$512,L327),""))</f>
      </c>
      <c r="G327" s="39">
        <f>IF(B327="","",IF(OR(M327=0,N327&gt;0,O327&gt;0),"",SUMIFS('PEGAR'!$M$13:$M$512,'PEGAR'!$O$13:$O$512,B327)))</f>
      </c>
      <c r="H327" s="39">
        <f>IF(AND(ISNUMBER(F327),ISNUMBER(G327)),G327-F327,"")</f>
      </c>
      <c r="I327" s="27">
        <f>IF(B327="","",IF(W327=2,"ROJO",IF(W327=1,"ÁMBAR","VERDE")))</f>
      </c>
      <c r="J327" s="30">
        <f>IF(B327="","",IF(W327=0,"Sin avisos numéricos. Revisamos el alcance aparte.",IF(L327=0,"Faltan datos completos de partida; no elegimos un total por suposición."&amp;CHAR(10),"")&amp;IF(N327&gt;0,"Hay filas incompletas o contradictorias; las revisamos en PEGAR."&amp;CHAR(10),"")&amp;IF(O327&gt;0,"Faltan las medidas de alguna fila; no cerramos la suma."&amp;CHAR(10),"")&amp;IF(M327=0,"No constan líneas de medición."&amp;CHAR(10),"")&amp;IF(IF(ISNUMBER(H327),ROUND(ABS(H327),8)&gt;$F$6,FALSE),"Las líneas difieren del total en más de 0,01; confirmamos cantidad o exclusión."&amp;CHAR(10),"")&amp;IF(P327&gt;0,"Parece m³: encontramos tres dimensiones bajo m²."&amp;CHAR(10),"")&amp;IF(R327&gt;0,"Código repetido dentro del capítulo; mantenemos sus ID separados."&amp;CHAR(10),"")&amp;IF(S327&gt;0,"Código repetido en otro capítulo; no unimos las partidas."&amp;CHAR(10),"")&amp;IF(T327&gt;0,"Mismo código con unidades distintas; pedimos aclaración."&amp;CHAR(10),"")&amp;IF(Q327&gt;0,"Hay más precisión que los decimales indicados; cotejamos el formato original."&amp;CHAR(10),"")&amp;IF(U327&gt;0,"Unidad sin normalizar; cotejamos su significado antes de sumar unidades."&amp;CHAR(10),"")&amp;IF(V327&gt;0,"Revisamos dimensiones, cantidades directas, ceros o deducciones en PEGAR."&amp;CHAR(10),"")))</f>
      </c>
      <c r="K327" s="0">
        <f>IF(315&gt;'RESUMEN'!$E$6,"",MATCH(315,'PEGAR'!$W$13:$W$512,0))</f>
      </c>
      <c r="L327" s="0">
        <f>IF(K327="","",INDEX('PEGAR'!$R$13:$R$512,K327))</f>
      </c>
      <c r="M327" s="0">
        <f>IF(B327="","",COUNTIFS('PEGAR'!$O$13:$O$512,B327,'PEGAR'!$P$13:$P$512,"DIMENSIONES")+COUNTIFS('PEGAR'!$O$13:$O$512,B327,'PEGAR'!$P$13:$P$512,"DIRECTA"))</f>
      </c>
      <c r="N327" s="0">
        <f>IF(B327="","",COUNTIFS('PEGAR'!$O$13:$O$512,B327,'PEGAR'!$X$13:$X$512,2))</f>
      </c>
      <c r="O327" s="0">
        <f>IF(B327="","",COUNTIFS('PEGAR'!$O$13:$O$512,B327,'PEGAR'!$P$13:$P$512,"SIN LÍNEAS"))</f>
      </c>
      <c r="P327" s="0">
        <f>IF(B327="","",SUMIFS('PEGAR'!$Y$13:$Y$512,'PEGAR'!$O$13:$O$512,B327))</f>
      </c>
      <c r="Q327" s="0">
        <f>IF(B327="","",SUMIFS('PEGAR'!$Z$13:$Z$512,'PEGAR'!$O$13:$O$512,B327))</f>
      </c>
      <c r="R327" s="0" t="n">
        <f>IF(OR(B327="",D327=""),0,SUMPRODUCT(--($B$13:$B$512&lt;&gt;""),--($D$13:$D$512=D327),--($C$13:$C$512=C327))-1)</f>
        <v>0</v>
      </c>
      <c r="S327" s="0" t="n">
        <f>IF(OR(B327="",D327=""),0,SUMPRODUCT(--($B$13:$B$512&lt;&gt;""),--($D$13:$D$512=D327),--($C$13:$C$512&lt;&gt;C327)))</f>
        <v>0</v>
      </c>
      <c r="T327" s="0" t="n">
        <f>IF(OR(B327="",D327=""),0,SUMPRODUCT(--($B$13:$B$512&lt;&gt;""),--($D$13:$D$512=D327),--($E$13:$E$512&lt;&gt;E327)))</f>
        <v>0</v>
      </c>
      <c r="U327" s="0" t="n">
        <f>IF(B327="",0,IF(SUMPRODUCT(--('LÉEME'!$C$65:$C$86=E327))=0,1,0))</f>
        <v>0</v>
      </c>
      <c r="V327" s="0">
        <f>IF(B327="","",SUMIFS('PEGAR'!$AA$13:$AA$512,'PEGAR'!$O$13:$O$512,B327))</f>
      </c>
      <c r="W327" s="0">
        <f>IF(B327="","",IF(OR(L327=0,N327&gt;0,T327&gt;0,IF(ISNUMBER(H327),ROUND(ABS(H327),8)&gt;$F$6,FALSE)),2,IF(OR(M327=0,O327&gt;0,P327&gt;0,Q327&gt;0,R327&gt;0,S327&gt;0,U327&gt;0,V327&gt;0),1,0)))</f>
      </c>
      <c r="X327" s="0">
        <f>IF(B327="","",IF(ISNUMBER(G327),1,0))</f>
      </c>
      <c r="AB327" s="0">
        <f>IF(AND(ISNUMBER(W327),W327&gt;0),"ID "&amp;B327,"")</f>
      </c>
      <c r="AC327" s="0">
        <f>IF(AND(ISNUMBER(W327),W327&gt;0),C327,"")</f>
      </c>
      <c r="AD327" s="0">
        <f>IF(AND(ISNUMBER(W327),W327&gt;0),D327,"")</f>
      </c>
      <c r="AE327" s="0">
        <f>IF(AND(ISNUMBER(W327),W327&gt;0),IF(INDEX('PEGAR'!$D$13:$D$512,IF(L327&gt;0,L327,K327))="","Sin descripción",INDEX('PEGAR'!$D$13:$D$512,IF(L327&gt;0,L327,K327))),"")</f>
      </c>
      <c r="AF327" s="0">
        <f>IF(AND(ISNUMBER(W327),W327&gt;0),J327,"")</f>
      </c>
      <c r="AG327" s="0" t="n">
        <f>IF(AND(ISNUMBER(W327),W327&gt;0),W327,0)</f>
        <v>0</v>
      </c>
      <c r="AH327" s="0">
        <f>IF(AG327&gt;0,COUNTIFS($AG$13:AG327,"&gt;0"),"")</f>
      </c>
    </row>
    <row r="328" ht="22" customHeight="1">
      <c r="B328" s="27">
        <f>IF(K328="","",INDEX('PEGAR'!$O$13:$O$512,K328))</f>
      </c>
      <c r="C328" s="30">
        <f>IF(B328="","",IF(LEN(TRIM(INDEX('PEGAR'!$B$13:$B$512,IF(L328&gt;0,L328,K328))&amp;""))=0,"Sin capítulo",TRIM(INDEX('PEGAR'!$B$13:$B$512,IF(L328&gt;0,L328,K328))&amp;"")))</f>
      </c>
      <c r="D328" s="27">
        <f>IF(B328="","",IF(LEN(TRIM(INDEX('PEGAR'!$C$13:$C$512,IF(L328&gt;0,L328,K328))&amp;""))=0,"",TRIM(INDEX('PEGAR'!$C$13:$C$512,IF(L328&gt;0,L328,K328))&amp;"")))</f>
      </c>
      <c r="E328" s="27">
        <f>IF(B328="","",INDEX('PEGAR'!$S$13:$S$512,IF(L328&gt;0,L328,K328)))</f>
      </c>
      <c r="F328" s="39">
        <f>IF(B328="","",IF(L328&gt;0,INDEX('PEGAR'!$F$13:$F$512,L328),""))</f>
      </c>
      <c r="G328" s="39">
        <f>IF(B328="","",IF(OR(M328=0,N328&gt;0,O328&gt;0),"",SUMIFS('PEGAR'!$M$13:$M$512,'PEGAR'!$O$13:$O$512,B328)))</f>
      </c>
      <c r="H328" s="39">
        <f>IF(AND(ISNUMBER(F328),ISNUMBER(G328)),G328-F328,"")</f>
      </c>
      <c r="I328" s="27">
        <f>IF(B328="","",IF(W328=2,"ROJO",IF(W328=1,"ÁMBAR","VERDE")))</f>
      </c>
      <c r="J328" s="30">
        <f>IF(B328="","",IF(W328=0,"Sin avisos numéricos. Revisamos el alcance aparte.",IF(L328=0,"Faltan datos completos de partida; no elegimos un total por suposición."&amp;CHAR(10),"")&amp;IF(N328&gt;0,"Hay filas incompletas o contradictorias; las revisamos en PEGAR."&amp;CHAR(10),"")&amp;IF(O328&gt;0,"Faltan las medidas de alguna fila; no cerramos la suma."&amp;CHAR(10),"")&amp;IF(M328=0,"No constan líneas de medición."&amp;CHAR(10),"")&amp;IF(IF(ISNUMBER(H328),ROUND(ABS(H328),8)&gt;$F$6,FALSE),"Las líneas difieren del total en más de 0,01; confirmamos cantidad o exclusión."&amp;CHAR(10),"")&amp;IF(P328&gt;0,"Parece m³: encontramos tres dimensiones bajo m²."&amp;CHAR(10),"")&amp;IF(R328&gt;0,"Código repetido dentro del capítulo; mantenemos sus ID separados."&amp;CHAR(10),"")&amp;IF(S328&gt;0,"Código repetido en otro capítulo; no unimos las partidas."&amp;CHAR(10),"")&amp;IF(T328&gt;0,"Mismo código con unidades distintas; pedimos aclaración."&amp;CHAR(10),"")&amp;IF(Q328&gt;0,"Hay más precisión que los decimales indicados; cotejamos el formato original."&amp;CHAR(10),"")&amp;IF(U328&gt;0,"Unidad sin normalizar; cotejamos su significado antes de sumar unidades."&amp;CHAR(10),"")&amp;IF(V328&gt;0,"Revisamos dimensiones, cantidades directas, ceros o deducciones en PEGAR."&amp;CHAR(10),"")))</f>
      </c>
      <c r="K328" s="0">
        <f>IF(316&gt;'RESUMEN'!$E$6,"",MATCH(316,'PEGAR'!$W$13:$W$512,0))</f>
      </c>
      <c r="L328" s="0">
        <f>IF(K328="","",INDEX('PEGAR'!$R$13:$R$512,K328))</f>
      </c>
      <c r="M328" s="0">
        <f>IF(B328="","",COUNTIFS('PEGAR'!$O$13:$O$512,B328,'PEGAR'!$P$13:$P$512,"DIMENSIONES")+COUNTIFS('PEGAR'!$O$13:$O$512,B328,'PEGAR'!$P$13:$P$512,"DIRECTA"))</f>
      </c>
      <c r="N328" s="0">
        <f>IF(B328="","",COUNTIFS('PEGAR'!$O$13:$O$512,B328,'PEGAR'!$X$13:$X$512,2))</f>
      </c>
      <c r="O328" s="0">
        <f>IF(B328="","",COUNTIFS('PEGAR'!$O$13:$O$512,B328,'PEGAR'!$P$13:$P$512,"SIN LÍNEAS"))</f>
      </c>
      <c r="P328" s="0">
        <f>IF(B328="","",SUMIFS('PEGAR'!$Y$13:$Y$512,'PEGAR'!$O$13:$O$512,B328))</f>
      </c>
      <c r="Q328" s="0">
        <f>IF(B328="","",SUMIFS('PEGAR'!$Z$13:$Z$512,'PEGAR'!$O$13:$O$512,B328))</f>
      </c>
      <c r="R328" s="0" t="n">
        <f>IF(OR(B328="",D328=""),0,SUMPRODUCT(--($B$13:$B$512&lt;&gt;""),--($D$13:$D$512=D328),--($C$13:$C$512=C328))-1)</f>
        <v>0</v>
      </c>
      <c r="S328" s="0" t="n">
        <f>IF(OR(B328="",D328=""),0,SUMPRODUCT(--($B$13:$B$512&lt;&gt;""),--($D$13:$D$512=D328),--($C$13:$C$512&lt;&gt;C328)))</f>
        <v>0</v>
      </c>
      <c r="T328" s="0" t="n">
        <f>IF(OR(B328="",D328=""),0,SUMPRODUCT(--($B$13:$B$512&lt;&gt;""),--($D$13:$D$512=D328),--($E$13:$E$512&lt;&gt;E328)))</f>
        <v>0</v>
      </c>
      <c r="U328" s="0" t="n">
        <f>IF(B328="",0,IF(SUMPRODUCT(--('LÉEME'!$C$65:$C$86=E328))=0,1,0))</f>
        <v>0</v>
      </c>
      <c r="V328" s="0">
        <f>IF(B328="","",SUMIFS('PEGAR'!$AA$13:$AA$512,'PEGAR'!$O$13:$O$512,B328))</f>
      </c>
      <c r="W328" s="0">
        <f>IF(B328="","",IF(OR(L328=0,N328&gt;0,T328&gt;0,IF(ISNUMBER(H328),ROUND(ABS(H328),8)&gt;$F$6,FALSE)),2,IF(OR(M328=0,O328&gt;0,P328&gt;0,Q328&gt;0,R328&gt;0,S328&gt;0,U328&gt;0,V328&gt;0),1,0)))</f>
      </c>
      <c r="X328" s="0">
        <f>IF(B328="","",IF(ISNUMBER(G328),1,0))</f>
      </c>
      <c r="AB328" s="0">
        <f>IF(AND(ISNUMBER(W328),W328&gt;0),"ID "&amp;B328,"")</f>
      </c>
      <c r="AC328" s="0">
        <f>IF(AND(ISNUMBER(W328),W328&gt;0),C328,"")</f>
      </c>
      <c r="AD328" s="0">
        <f>IF(AND(ISNUMBER(W328),W328&gt;0),D328,"")</f>
      </c>
      <c r="AE328" s="0">
        <f>IF(AND(ISNUMBER(W328),W328&gt;0),IF(INDEX('PEGAR'!$D$13:$D$512,IF(L328&gt;0,L328,K328))="","Sin descripción",INDEX('PEGAR'!$D$13:$D$512,IF(L328&gt;0,L328,K328))),"")</f>
      </c>
      <c r="AF328" s="0">
        <f>IF(AND(ISNUMBER(W328),W328&gt;0),J328,"")</f>
      </c>
      <c r="AG328" s="0" t="n">
        <f>IF(AND(ISNUMBER(W328),W328&gt;0),W328,0)</f>
        <v>0</v>
      </c>
      <c r="AH328" s="0">
        <f>IF(AG328&gt;0,COUNTIFS($AG$13:AG328,"&gt;0"),"")</f>
      </c>
    </row>
    <row r="329" ht="22" customHeight="1">
      <c r="B329" s="27">
        <f>IF(K329="","",INDEX('PEGAR'!$O$13:$O$512,K329))</f>
      </c>
      <c r="C329" s="30">
        <f>IF(B329="","",IF(LEN(TRIM(INDEX('PEGAR'!$B$13:$B$512,IF(L329&gt;0,L329,K329))&amp;""))=0,"Sin capítulo",TRIM(INDEX('PEGAR'!$B$13:$B$512,IF(L329&gt;0,L329,K329))&amp;"")))</f>
      </c>
      <c r="D329" s="27">
        <f>IF(B329="","",IF(LEN(TRIM(INDEX('PEGAR'!$C$13:$C$512,IF(L329&gt;0,L329,K329))&amp;""))=0,"",TRIM(INDEX('PEGAR'!$C$13:$C$512,IF(L329&gt;0,L329,K329))&amp;"")))</f>
      </c>
      <c r="E329" s="27">
        <f>IF(B329="","",INDEX('PEGAR'!$S$13:$S$512,IF(L329&gt;0,L329,K329)))</f>
      </c>
      <c r="F329" s="39">
        <f>IF(B329="","",IF(L329&gt;0,INDEX('PEGAR'!$F$13:$F$512,L329),""))</f>
      </c>
      <c r="G329" s="39">
        <f>IF(B329="","",IF(OR(M329=0,N329&gt;0,O329&gt;0),"",SUMIFS('PEGAR'!$M$13:$M$512,'PEGAR'!$O$13:$O$512,B329)))</f>
      </c>
      <c r="H329" s="39">
        <f>IF(AND(ISNUMBER(F329),ISNUMBER(G329)),G329-F329,"")</f>
      </c>
      <c r="I329" s="27">
        <f>IF(B329="","",IF(W329=2,"ROJO",IF(W329=1,"ÁMBAR","VERDE")))</f>
      </c>
      <c r="J329" s="30">
        <f>IF(B329="","",IF(W329=0,"Sin avisos numéricos. Revisamos el alcance aparte.",IF(L329=0,"Faltan datos completos de partida; no elegimos un total por suposición."&amp;CHAR(10),"")&amp;IF(N329&gt;0,"Hay filas incompletas o contradictorias; las revisamos en PEGAR."&amp;CHAR(10),"")&amp;IF(O329&gt;0,"Faltan las medidas de alguna fila; no cerramos la suma."&amp;CHAR(10),"")&amp;IF(M329=0,"No constan líneas de medición."&amp;CHAR(10),"")&amp;IF(IF(ISNUMBER(H329),ROUND(ABS(H329),8)&gt;$F$6,FALSE),"Las líneas difieren del total en más de 0,01; confirmamos cantidad o exclusión."&amp;CHAR(10),"")&amp;IF(P329&gt;0,"Parece m³: encontramos tres dimensiones bajo m²."&amp;CHAR(10),"")&amp;IF(R329&gt;0,"Código repetido dentro del capítulo; mantenemos sus ID separados."&amp;CHAR(10),"")&amp;IF(S329&gt;0,"Código repetido en otro capítulo; no unimos las partidas."&amp;CHAR(10),"")&amp;IF(T329&gt;0,"Mismo código con unidades distintas; pedimos aclaración."&amp;CHAR(10),"")&amp;IF(Q329&gt;0,"Hay más precisión que los decimales indicados; cotejamos el formato original."&amp;CHAR(10),"")&amp;IF(U329&gt;0,"Unidad sin normalizar; cotejamos su significado antes de sumar unidades."&amp;CHAR(10),"")&amp;IF(V329&gt;0,"Revisamos dimensiones, cantidades directas, ceros o deducciones en PEGAR."&amp;CHAR(10),"")))</f>
      </c>
      <c r="K329" s="0">
        <f>IF(317&gt;'RESUMEN'!$E$6,"",MATCH(317,'PEGAR'!$W$13:$W$512,0))</f>
      </c>
      <c r="L329" s="0">
        <f>IF(K329="","",INDEX('PEGAR'!$R$13:$R$512,K329))</f>
      </c>
      <c r="M329" s="0">
        <f>IF(B329="","",COUNTIFS('PEGAR'!$O$13:$O$512,B329,'PEGAR'!$P$13:$P$512,"DIMENSIONES")+COUNTIFS('PEGAR'!$O$13:$O$512,B329,'PEGAR'!$P$13:$P$512,"DIRECTA"))</f>
      </c>
      <c r="N329" s="0">
        <f>IF(B329="","",COUNTIFS('PEGAR'!$O$13:$O$512,B329,'PEGAR'!$X$13:$X$512,2))</f>
      </c>
      <c r="O329" s="0">
        <f>IF(B329="","",COUNTIFS('PEGAR'!$O$13:$O$512,B329,'PEGAR'!$P$13:$P$512,"SIN LÍNEAS"))</f>
      </c>
      <c r="P329" s="0">
        <f>IF(B329="","",SUMIFS('PEGAR'!$Y$13:$Y$512,'PEGAR'!$O$13:$O$512,B329))</f>
      </c>
      <c r="Q329" s="0">
        <f>IF(B329="","",SUMIFS('PEGAR'!$Z$13:$Z$512,'PEGAR'!$O$13:$O$512,B329))</f>
      </c>
      <c r="R329" s="0" t="n">
        <f>IF(OR(B329="",D329=""),0,SUMPRODUCT(--($B$13:$B$512&lt;&gt;""),--($D$13:$D$512=D329),--($C$13:$C$512=C329))-1)</f>
        <v>0</v>
      </c>
      <c r="S329" s="0" t="n">
        <f>IF(OR(B329="",D329=""),0,SUMPRODUCT(--($B$13:$B$512&lt;&gt;""),--($D$13:$D$512=D329),--($C$13:$C$512&lt;&gt;C329)))</f>
        <v>0</v>
      </c>
      <c r="T329" s="0" t="n">
        <f>IF(OR(B329="",D329=""),0,SUMPRODUCT(--($B$13:$B$512&lt;&gt;""),--($D$13:$D$512=D329),--($E$13:$E$512&lt;&gt;E329)))</f>
        <v>0</v>
      </c>
      <c r="U329" s="0" t="n">
        <f>IF(B329="",0,IF(SUMPRODUCT(--('LÉEME'!$C$65:$C$86=E329))=0,1,0))</f>
        <v>0</v>
      </c>
      <c r="V329" s="0">
        <f>IF(B329="","",SUMIFS('PEGAR'!$AA$13:$AA$512,'PEGAR'!$O$13:$O$512,B329))</f>
      </c>
      <c r="W329" s="0">
        <f>IF(B329="","",IF(OR(L329=0,N329&gt;0,T329&gt;0,IF(ISNUMBER(H329),ROUND(ABS(H329),8)&gt;$F$6,FALSE)),2,IF(OR(M329=0,O329&gt;0,P329&gt;0,Q329&gt;0,R329&gt;0,S329&gt;0,U329&gt;0,V329&gt;0),1,0)))</f>
      </c>
      <c r="X329" s="0">
        <f>IF(B329="","",IF(ISNUMBER(G329),1,0))</f>
      </c>
      <c r="AB329" s="0">
        <f>IF(AND(ISNUMBER(W329),W329&gt;0),"ID "&amp;B329,"")</f>
      </c>
      <c r="AC329" s="0">
        <f>IF(AND(ISNUMBER(W329),W329&gt;0),C329,"")</f>
      </c>
      <c r="AD329" s="0">
        <f>IF(AND(ISNUMBER(W329),W329&gt;0),D329,"")</f>
      </c>
      <c r="AE329" s="0">
        <f>IF(AND(ISNUMBER(W329),W329&gt;0),IF(INDEX('PEGAR'!$D$13:$D$512,IF(L329&gt;0,L329,K329))="","Sin descripción",INDEX('PEGAR'!$D$13:$D$512,IF(L329&gt;0,L329,K329))),"")</f>
      </c>
      <c r="AF329" s="0">
        <f>IF(AND(ISNUMBER(W329),W329&gt;0),J329,"")</f>
      </c>
      <c r="AG329" s="0" t="n">
        <f>IF(AND(ISNUMBER(W329),W329&gt;0),W329,0)</f>
        <v>0</v>
      </c>
      <c r="AH329" s="0">
        <f>IF(AG329&gt;0,COUNTIFS($AG$13:AG329,"&gt;0"),"")</f>
      </c>
    </row>
    <row r="330" ht="22" customHeight="1">
      <c r="B330" s="27">
        <f>IF(K330="","",INDEX('PEGAR'!$O$13:$O$512,K330))</f>
      </c>
      <c r="C330" s="30">
        <f>IF(B330="","",IF(LEN(TRIM(INDEX('PEGAR'!$B$13:$B$512,IF(L330&gt;0,L330,K330))&amp;""))=0,"Sin capítulo",TRIM(INDEX('PEGAR'!$B$13:$B$512,IF(L330&gt;0,L330,K330))&amp;"")))</f>
      </c>
      <c r="D330" s="27">
        <f>IF(B330="","",IF(LEN(TRIM(INDEX('PEGAR'!$C$13:$C$512,IF(L330&gt;0,L330,K330))&amp;""))=0,"",TRIM(INDEX('PEGAR'!$C$13:$C$512,IF(L330&gt;0,L330,K330))&amp;"")))</f>
      </c>
      <c r="E330" s="27">
        <f>IF(B330="","",INDEX('PEGAR'!$S$13:$S$512,IF(L330&gt;0,L330,K330)))</f>
      </c>
      <c r="F330" s="39">
        <f>IF(B330="","",IF(L330&gt;0,INDEX('PEGAR'!$F$13:$F$512,L330),""))</f>
      </c>
      <c r="G330" s="39">
        <f>IF(B330="","",IF(OR(M330=0,N330&gt;0,O330&gt;0),"",SUMIFS('PEGAR'!$M$13:$M$512,'PEGAR'!$O$13:$O$512,B330)))</f>
      </c>
      <c r="H330" s="39">
        <f>IF(AND(ISNUMBER(F330),ISNUMBER(G330)),G330-F330,"")</f>
      </c>
      <c r="I330" s="27">
        <f>IF(B330="","",IF(W330=2,"ROJO",IF(W330=1,"ÁMBAR","VERDE")))</f>
      </c>
      <c r="J330" s="30">
        <f>IF(B330="","",IF(W330=0,"Sin avisos numéricos. Revisamos el alcance aparte.",IF(L330=0,"Faltan datos completos de partida; no elegimos un total por suposición."&amp;CHAR(10),"")&amp;IF(N330&gt;0,"Hay filas incompletas o contradictorias; las revisamos en PEGAR."&amp;CHAR(10),"")&amp;IF(O330&gt;0,"Faltan las medidas de alguna fila; no cerramos la suma."&amp;CHAR(10),"")&amp;IF(M330=0,"No constan líneas de medición."&amp;CHAR(10),"")&amp;IF(IF(ISNUMBER(H330),ROUND(ABS(H330),8)&gt;$F$6,FALSE),"Las líneas difieren del total en más de 0,01; confirmamos cantidad o exclusión."&amp;CHAR(10),"")&amp;IF(P330&gt;0,"Parece m³: encontramos tres dimensiones bajo m²."&amp;CHAR(10),"")&amp;IF(R330&gt;0,"Código repetido dentro del capítulo; mantenemos sus ID separados."&amp;CHAR(10),"")&amp;IF(S330&gt;0,"Código repetido en otro capítulo; no unimos las partidas."&amp;CHAR(10),"")&amp;IF(T330&gt;0,"Mismo código con unidades distintas; pedimos aclaración."&amp;CHAR(10),"")&amp;IF(Q330&gt;0,"Hay más precisión que los decimales indicados; cotejamos el formato original."&amp;CHAR(10),"")&amp;IF(U330&gt;0,"Unidad sin normalizar; cotejamos su significado antes de sumar unidades."&amp;CHAR(10),"")&amp;IF(V330&gt;0,"Revisamos dimensiones, cantidades directas, ceros o deducciones en PEGAR."&amp;CHAR(10),"")))</f>
      </c>
      <c r="K330" s="0">
        <f>IF(318&gt;'RESUMEN'!$E$6,"",MATCH(318,'PEGAR'!$W$13:$W$512,0))</f>
      </c>
      <c r="L330" s="0">
        <f>IF(K330="","",INDEX('PEGAR'!$R$13:$R$512,K330))</f>
      </c>
      <c r="M330" s="0">
        <f>IF(B330="","",COUNTIFS('PEGAR'!$O$13:$O$512,B330,'PEGAR'!$P$13:$P$512,"DIMENSIONES")+COUNTIFS('PEGAR'!$O$13:$O$512,B330,'PEGAR'!$P$13:$P$512,"DIRECTA"))</f>
      </c>
      <c r="N330" s="0">
        <f>IF(B330="","",COUNTIFS('PEGAR'!$O$13:$O$512,B330,'PEGAR'!$X$13:$X$512,2))</f>
      </c>
      <c r="O330" s="0">
        <f>IF(B330="","",COUNTIFS('PEGAR'!$O$13:$O$512,B330,'PEGAR'!$P$13:$P$512,"SIN LÍNEAS"))</f>
      </c>
      <c r="P330" s="0">
        <f>IF(B330="","",SUMIFS('PEGAR'!$Y$13:$Y$512,'PEGAR'!$O$13:$O$512,B330))</f>
      </c>
      <c r="Q330" s="0">
        <f>IF(B330="","",SUMIFS('PEGAR'!$Z$13:$Z$512,'PEGAR'!$O$13:$O$512,B330))</f>
      </c>
      <c r="R330" s="0" t="n">
        <f>IF(OR(B330="",D330=""),0,SUMPRODUCT(--($B$13:$B$512&lt;&gt;""),--($D$13:$D$512=D330),--($C$13:$C$512=C330))-1)</f>
        <v>0</v>
      </c>
      <c r="S330" s="0" t="n">
        <f>IF(OR(B330="",D330=""),0,SUMPRODUCT(--($B$13:$B$512&lt;&gt;""),--($D$13:$D$512=D330),--($C$13:$C$512&lt;&gt;C330)))</f>
        <v>0</v>
      </c>
      <c r="T330" s="0" t="n">
        <f>IF(OR(B330="",D330=""),0,SUMPRODUCT(--($B$13:$B$512&lt;&gt;""),--($D$13:$D$512=D330),--($E$13:$E$512&lt;&gt;E330)))</f>
        <v>0</v>
      </c>
      <c r="U330" s="0" t="n">
        <f>IF(B330="",0,IF(SUMPRODUCT(--('LÉEME'!$C$65:$C$86=E330))=0,1,0))</f>
        <v>0</v>
      </c>
      <c r="V330" s="0">
        <f>IF(B330="","",SUMIFS('PEGAR'!$AA$13:$AA$512,'PEGAR'!$O$13:$O$512,B330))</f>
      </c>
      <c r="W330" s="0">
        <f>IF(B330="","",IF(OR(L330=0,N330&gt;0,T330&gt;0,IF(ISNUMBER(H330),ROUND(ABS(H330),8)&gt;$F$6,FALSE)),2,IF(OR(M330=0,O330&gt;0,P330&gt;0,Q330&gt;0,R330&gt;0,S330&gt;0,U330&gt;0,V330&gt;0),1,0)))</f>
      </c>
      <c r="X330" s="0">
        <f>IF(B330="","",IF(ISNUMBER(G330),1,0))</f>
      </c>
      <c r="AB330" s="0">
        <f>IF(AND(ISNUMBER(W330),W330&gt;0),"ID "&amp;B330,"")</f>
      </c>
      <c r="AC330" s="0">
        <f>IF(AND(ISNUMBER(W330),W330&gt;0),C330,"")</f>
      </c>
      <c r="AD330" s="0">
        <f>IF(AND(ISNUMBER(W330),W330&gt;0),D330,"")</f>
      </c>
      <c r="AE330" s="0">
        <f>IF(AND(ISNUMBER(W330),W330&gt;0),IF(INDEX('PEGAR'!$D$13:$D$512,IF(L330&gt;0,L330,K330))="","Sin descripción",INDEX('PEGAR'!$D$13:$D$512,IF(L330&gt;0,L330,K330))),"")</f>
      </c>
      <c r="AF330" s="0">
        <f>IF(AND(ISNUMBER(W330),W330&gt;0),J330,"")</f>
      </c>
      <c r="AG330" s="0" t="n">
        <f>IF(AND(ISNUMBER(W330),W330&gt;0),W330,0)</f>
        <v>0</v>
      </c>
      <c r="AH330" s="0">
        <f>IF(AG330&gt;0,COUNTIFS($AG$13:AG330,"&gt;0"),"")</f>
      </c>
    </row>
    <row r="331" ht="22" customHeight="1">
      <c r="B331" s="27">
        <f>IF(K331="","",INDEX('PEGAR'!$O$13:$O$512,K331))</f>
      </c>
      <c r="C331" s="30">
        <f>IF(B331="","",IF(LEN(TRIM(INDEX('PEGAR'!$B$13:$B$512,IF(L331&gt;0,L331,K331))&amp;""))=0,"Sin capítulo",TRIM(INDEX('PEGAR'!$B$13:$B$512,IF(L331&gt;0,L331,K331))&amp;"")))</f>
      </c>
      <c r="D331" s="27">
        <f>IF(B331="","",IF(LEN(TRIM(INDEX('PEGAR'!$C$13:$C$512,IF(L331&gt;0,L331,K331))&amp;""))=0,"",TRIM(INDEX('PEGAR'!$C$13:$C$512,IF(L331&gt;0,L331,K331))&amp;"")))</f>
      </c>
      <c r="E331" s="27">
        <f>IF(B331="","",INDEX('PEGAR'!$S$13:$S$512,IF(L331&gt;0,L331,K331)))</f>
      </c>
      <c r="F331" s="39">
        <f>IF(B331="","",IF(L331&gt;0,INDEX('PEGAR'!$F$13:$F$512,L331),""))</f>
      </c>
      <c r="G331" s="39">
        <f>IF(B331="","",IF(OR(M331=0,N331&gt;0,O331&gt;0),"",SUMIFS('PEGAR'!$M$13:$M$512,'PEGAR'!$O$13:$O$512,B331)))</f>
      </c>
      <c r="H331" s="39">
        <f>IF(AND(ISNUMBER(F331),ISNUMBER(G331)),G331-F331,"")</f>
      </c>
      <c r="I331" s="27">
        <f>IF(B331="","",IF(W331=2,"ROJO",IF(W331=1,"ÁMBAR","VERDE")))</f>
      </c>
      <c r="J331" s="30">
        <f>IF(B331="","",IF(W331=0,"Sin avisos numéricos. Revisamos el alcance aparte.",IF(L331=0,"Faltan datos completos de partida; no elegimos un total por suposición."&amp;CHAR(10),"")&amp;IF(N331&gt;0,"Hay filas incompletas o contradictorias; las revisamos en PEGAR."&amp;CHAR(10),"")&amp;IF(O331&gt;0,"Faltan las medidas de alguna fila; no cerramos la suma."&amp;CHAR(10),"")&amp;IF(M331=0,"No constan líneas de medición."&amp;CHAR(10),"")&amp;IF(IF(ISNUMBER(H331),ROUND(ABS(H331),8)&gt;$F$6,FALSE),"Las líneas difieren del total en más de 0,01; confirmamos cantidad o exclusión."&amp;CHAR(10),"")&amp;IF(P331&gt;0,"Parece m³: encontramos tres dimensiones bajo m²."&amp;CHAR(10),"")&amp;IF(R331&gt;0,"Código repetido dentro del capítulo; mantenemos sus ID separados."&amp;CHAR(10),"")&amp;IF(S331&gt;0,"Código repetido en otro capítulo; no unimos las partidas."&amp;CHAR(10),"")&amp;IF(T331&gt;0,"Mismo código con unidades distintas; pedimos aclaración."&amp;CHAR(10),"")&amp;IF(Q331&gt;0,"Hay más precisión que los decimales indicados; cotejamos el formato original."&amp;CHAR(10),"")&amp;IF(U331&gt;0,"Unidad sin normalizar; cotejamos su significado antes de sumar unidades."&amp;CHAR(10),"")&amp;IF(V331&gt;0,"Revisamos dimensiones, cantidades directas, ceros o deducciones en PEGAR."&amp;CHAR(10),"")))</f>
      </c>
      <c r="K331" s="0">
        <f>IF(319&gt;'RESUMEN'!$E$6,"",MATCH(319,'PEGAR'!$W$13:$W$512,0))</f>
      </c>
      <c r="L331" s="0">
        <f>IF(K331="","",INDEX('PEGAR'!$R$13:$R$512,K331))</f>
      </c>
      <c r="M331" s="0">
        <f>IF(B331="","",COUNTIFS('PEGAR'!$O$13:$O$512,B331,'PEGAR'!$P$13:$P$512,"DIMENSIONES")+COUNTIFS('PEGAR'!$O$13:$O$512,B331,'PEGAR'!$P$13:$P$512,"DIRECTA"))</f>
      </c>
      <c r="N331" s="0">
        <f>IF(B331="","",COUNTIFS('PEGAR'!$O$13:$O$512,B331,'PEGAR'!$X$13:$X$512,2))</f>
      </c>
      <c r="O331" s="0">
        <f>IF(B331="","",COUNTIFS('PEGAR'!$O$13:$O$512,B331,'PEGAR'!$P$13:$P$512,"SIN LÍNEAS"))</f>
      </c>
      <c r="P331" s="0">
        <f>IF(B331="","",SUMIFS('PEGAR'!$Y$13:$Y$512,'PEGAR'!$O$13:$O$512,B331))</f>
      </c>
      <c r="Q331" s="0">
        <f>IF(B331="","",SUMIFS('PEGAR'!$Z$13:$Z$512,'PEGAR'!$O$13:$O$512,B331))</f>
      </c>
      <c r="R331" s="0" t="n">
        <f>IF(OR(B331="",D331=""),0,SUMPRODUCT(--($B$13:$B$512&lt;&gt;""),--($D$13:$D$512=D331),--($C$13:$C$512=C331))-1)</f>
        <v>0</v>
      </c>
      <c r="S331" s="0" t="n">
        <f>IF(OR(B331="",D331=""),0,SUMPRODUCT(--($B$13:$B$512&lt;&gt;""),--($D$13:$D$512=D331),--($C$13:$C$512&lt;&gt;C331)))</f>
        <v>0</v>
      </c>
      <c r="T331" s="0" t="n">
        <f>IF(OR(B331="",D331=""),0,SUMPRODUCT(--($B$13:$B$512&lt;&gt;""),--($D$13:$D$512=D331),--($E$13:$E$512&lt;&gt;E331)))</f>
        <v>0</v>
      </c>
      <c r="U331" s="0" t="n">
        <f>IF(B331="",0,IF(SUMPRODUCT(--('LÉEME'!$C$65:$C$86=E331))=0,1,0))</f>
        <v>0</v>
      </c>
      <c r="V331" s="0">
        <f>IF(B331="","",SUMIFS('PEGAR'!$AA$13:$AA$512,'PEGAR'!$O$13:$O$512,B331))</f>
      </c>
      <c r="W331" s="0">
        <f>IF(B331="","",IF(OR(L331=0,N331&gt;0,T331&gt;0,IF(ISNUMBER(H331),ROUND(ABS(H331),8)&gt;$F$6,FALSE)),2,IF(OR(M331=0,O331&gt;0,P331&gt;0,Q331&gt;0,R331&gt;0,S331&gt;0,U331&gt;0,V331&gt;0),1,0)))</f>
      </c>
      <c r="X331" s="0">
        <f>IF(B331="","",IF(ISNUMBER(G331),1,0))</f>
      </c>
      <c r="AB331" s="0">
        <f>IF(AND(ISNUMBER(W331),W331&gt;0),"ID "&amp;B331,"")</f>
      </c>
      <c r="AC331" s="0">
        <f>IF(AND(ISNUMBER(W331),W331&gt;0),C331,"")</f>
      </c>
      <c r="AD331" s="0">
        <f>IF(AND(ISNUMBER(W331),W331&gt;0),D331,"")</f>
      </c>
      <c r="AE331" s="0">
        <f>IF(AND(ISNUMBER(W331),W331&gt;0),IF(INDEX('PEGAR'!$D$13:$D$512,IF(L331&gt;0,L331,K331))="","Sin descripción",INDEX('PEGAR'!$D$13:$D$512,IF(L331&gt;0,L331,K331))),"")</f>
      </c>
      <c r="AF331" s="0">
        <f>IF(AND(ISNUMBER(W331),W331&gt;0),J331,"")</f>
      </c>
      <c r="AG331" s="0" t="n">
        <f>IF(AND(ISNUMBER(W331),W331&gt;0),W331,0)</f>
        <v>0</v>
      </c>
      <c r="AH331" s="0">
        <f>IF(AG331&gt;0,COUNTIFS($AG$13:AG331,"&gt;0"),"")</f>
      </c>
    </row>
    <row r="332" ht="22" customHeight="1">
      <c r="B332" s="27">
        <f>IF(K332="","",INDEX('PEGAR'!$O$13:$O$512,K332))</f>
      </c>
      <c r="C332" s="30">
        <f>IF(B332="","",IF(LEN(TRIM(INDEX('PEGAR'!$B$13:$B$512,IF(L332&gt;0,L332,K332))&amp;""))=0,"Sin capítulo",TRIM(INDEX('PEGAR'!$B$13:$B$512,IF(L332&gt;0,L332,K332))&amp;"")))</f>
      </c>
      <c r="D332" s="27">
        <f>IF(B332="","",IF(LEN(TRIM(INDEX('PEGAR'!$C$13:$C$512,IF(L332&gt;0,L332,K332))&amp;""))=0,"",TRIM(INDEX('PEGAR'!$C$13:$C$512,IF(L332&gt;0,L332,K332))&amp;"")))</f>
      </c>
      <c r="E332" s="27">
        <f>IF(B332="","",INDEX('PEGAR'!$S$13:$S$512,IF(L332&gt;0,L332,K332)))</f>
      </c>
      <c r="F332" s="39">
        <f>IF(B332="","",IF(L332&gt;0,INDEX('PEGAR'!$F$13:$F$512,L332),""))</f>
      </c>
      <c r="G332" s="39">
        <f>IF(B332="","",IF(OR(M332=0,N332&gt;0,O332&gt;0),"",SUMIFS('PEGAR'!$M$13:$M$512,'PEGAR'!$O$13:$O$512,B332)))</f>
      </c>
      <c r="H332" s="39">
        <f>IF(AND(ISNUMBER(F332),ISNUMBER(G332)),G332-F332,"")</f>
      </c>
      <c r="I332" s="27">
        <f>IF(B332="","",IF(W332=2,"ROJO",IF(W332=1,"ÁMBAR","VERDE")))</f>
      </c>
      <c r="J332" s="30">
        <f>IF(B332="","",IF(W332=0,"Sin avisos numéricos. Revisamos el alcance aparte.",IF(L332=0,"Faltan datos completos de partida; no elegimos un total por suposición."&amp;CHAR(10),"")&amp;IF(N332&gt;0,"Hay filas incompletas o contradictorias; las revisamos en PEGAR."&amp;CHAR(10),"")&amp;IF(O332&gt;0,"Faltan las medidas de alguna fila; no cerramos la suma."&amp;CHAR(10),"")&amp;IF(M332=0,"No constan líneas de medición."&amp;CHAR(10),"")&amp;IF(IF(ISNUMBER(H332),ROUND(ABS(H332),8)&gt;$F$6,FALSE),"Las líneas difieren del total en más de 0,01; confirmamos cantidad o exclusión."&amp;CHAR(10),"")&amp;IF(P332&gt;0,"Parece m³: encontramos tres dimensiones bajo m²."&amp;CHAR(10),"")&amp;IF(R332&gt;0,"Código repetido dentro del capítulo; mantenemos sus ID separados."&amp;CHAR(10),"")&amp;IF(S332&gt;0,"Código repetido en otro capítulo; no unimos las partidas."&amp;CHAR(10),"")&amp;IF(T332&gt;0,"Mismo código con unidades distintas; pedimos aclaración."&amp;CHAR(10),"")&amp;IF(Q332&gt;0,"Hay más precisión que los decimales indicados; cotejamos el formato original."&amp;CHAR(10),"")&amp;IF(U332&gt;0,"Unidad sin normalizar; cotejamos su significado antes de sumar unidades."&amp;CHAR(10),"")&amp;IF(V332&gt;0,"Revisamos dimensiones, cantidades directas, ceros o deducciones en PEGAR."&amp;CHAR(10),"")))</f>
      </c>
      <c r="K332" s="0">
        <f>IF(320&gt;'RESUMEN'!$E$6,"",MATCH(320,'PEGAR'!$W$13:$W$512,0))</f>
      </c>
      <c r="L332" s="0">
        <f>IF(K332="","",INDEX('PEGAR'!$R$13:$R$512,K332))</f>
      </c>
      <c r="M332" s="0">
        <f>IF(B332="","",COUNTIFS('PEGAR'!$O$13:$O$512,B332,'PEGAR'!$P$13:$P$512,"DIMENSIONES")+COUNTIFS('PEGAR'!$O$13:$O$512,B332,'PEGAR'!$P$13:$P$512,"DIRECTA"))</f>
      </c>
      <c r="N332" s="0">
        <f>IF(B332="","",COUNTIFS('PEGAR'!$O$13:$O$512,B332,'PEGAR'!$X$13:$X$512,2))</f>
      </c>
      <c r="O332" s="0">
        <f>IF(B332="","",COUNTIFS('PEGAR'!$O$13:$O$512,B332,'PEGAR'!$P$13:$P$512,"SIN LÍNEAS"))</f>
      </c>
      <c r="P332" s="0">
        <f>IF(B332="","",SUMIFS('PEGAR'!$Y$13:$Y$512,'PEGAR'!$O$13:$O$512,B332))</f>
      </c>
      <c r="Q332" s="0">
        <f>IF(B332="","",SUMIFS('PEGAR'!$Z$13:$Z$512,'PEGAR'!$O$13:$O$512,B332))</f>
      </c>
      <c r="R332" s="0" t="n">
        <f>IF(OR(B332="",D332=""),0,SUMPRODUCT(--($B$13:$B$512&lt;&gt;""),--($D$13:$D$512=D332),--($C$13:$C$512=C332))-1)</f>
        <v>0</v>
      </c>
      <c r="S332" s="0" t="n">
        <f>IF(OR(B332="",D332=""),0,SUMPRODUCT(--($B$13:$B$512&lt;&gt;""),--($D$13:$D$512=D332),--($C$13:$C$512&lt;&gt;C332)))</f>
        <v>0</v>
      </c>
      <c r="T332" s="0" t="n">
        <f>IF(OR(B332="",D332=""),0,SUMPRODUCT(--($B$13:$B$512&lt;&gt;""),--($D$13:$D$512=D332),--($E$13:$E$512&lt;&gt;E332)))</f>
        <v>0</v>
      </c>
      <c r="U332" s="0" t="n">
        <f>IF(B332="",0,IF(SUMPRODUCT(--('LÉEME'!$C$65:$C$86=E332))=0,1,0))</f>
        <v>0</v>
      </c>
      <c r="V332" s="0">
        <f>IF(B332="","",SUMIFS('PEGAR'!$AA$13:$AA$512,'PEGAR'!$O$13:$O$512,B332))</f>
      </c>
      <c r="W332" s="0">
        <f>IF(B332="","",IF(OR(L332=0,N332&gt;0,T332&gt;0,IF(ISNUMBER(H332),ROUND(ABS(H332),8)&gt;$F$6,FALSE)),2,IF(OR(M332=0,O332&gt;0,P332&gt;0,Q332&gt;0,R332&gt;0,S332&gt;0,U332&gt;0,V332&gt;0),1,0)))</f>
      </c>
      <c r="X332" s="0">
        <f>IF(B332="","",IF(ISNUMBER(G332),1,0))</f>
      </c>
      <c r="AB332" s="0">
        <f>IF(AND(ISNUMBER(W332),W332&gt;0),"ID "&amp;B332,"")</f>
      </c>
      <c r="AC332" s="0">
        <f>IF(AND(ISNUMBER(W332),W332&gt;0),C332,"")</f>
      </c>
      <c r="AD332" s="0">
        <f>IF(AND(ISNUMBER(W332),W332&gt;0),D332,"")</f>
      </c>
      <c r="AE332" s="0">
        <f>IF(AND(ISNUMBER(W332),W332&gt;0),IF(INDEX('PEGAR'!$D$13:$D$512,IF(L332&gt;0,L332,K332))="","Sin descripción",INDEX('PEGAR'!$D$13:$D$512,IF(L332&gt;0,L332,K332))),"")</f>
      </c>
      <c r="AF332" s="0">
        <f>IF(AND(ISNUMBER(W332),W332&gt;0),J332,"")</f>
      </c>
      <c r="AG332" s="0" t="n">
        <f>IF(AND(ISNUMBER(W332),W332&gt;0),W332,0)</f>
        <v>0</v>
      </c>
      <c r="AH332" s="0">
        <f>IF(AG332&gt;0,COUNTIFS($AG$13:AG332,"&gt;0"),"")</f>
      </c>
    </row>
    <row r="333" ht="22" customHeight="1">
      <c r="B333" s="27">
        <f>IF(K333="","",INDEX('PEGAR'!$O$13:$O$512,K333))</f>
      </c>
      <c r="C333" s="30">
        <f>IF(B333="","",IF(LEN(TRIM(INDEX('PEGAR'!$B$13:$B$512,IF(L333&gt;0,L333,K333))&amp;""))=0,"Sin capítulo",TRIM(INDEX('PEGAR'!$B$13:$B$512,IF(L333&gt;0,L333,K333))&amp;"")))</f>
      </c>
      <c r="D333" s="27">
        <f>IF(B333="","",IF(LEN(TRIM(INDEX('PEGAR'!$C$13:$C$512,IF(L333&gt;0,L333,K333))&amp;""))=0,"",TRIM(INDEX('PEGAR'!$C$13:$C$512,IF(L333&gt;0,L333,K333))&amp;"")))</f>
      </c>
      <c r="E333" s="27">
        <f>IF(B333="","",INDEX('PEGAR'!$S$13:$S$512,IF(L333&gt;0,L333,K333)))</f>
      </c>
      <c r="F333" s="39">
        <f>IF(B333="","",IF(L333&gt;0,INDEX('PEGAR'!$F$13:$F$512,L333),""))</f>
      </c>
      <c r="G333" s="39">
        <f>IF(B333="","",IF(OR(M333=0,N333&gt;0,O333&gt;0),"",SUMIFS('PEGAR'!$M$13:$M$512,'PEGAR'!$O$13:$O$512,B333)))</f>
      </c>
      <c r="H333" s="39">
        <f>IF(AND(ISNUMBER(F333),ISNUMBER(G333)),G333-F333,"")</f>
      </c>
      <c r="I333" s="27">
        <f>IF(B333="","",IF(W333=2,"ROJO",IF(W333=1,"ÁMBAR","VERDE")))</f>
      </c>
      <c r="J333" s="30">
        <f>IF(B333="","",IF(W333=0,"Sin avisos numéricos. Revisamos el alcance aparte.",IF(L333=0,"Faltan datos completos de partida; no elegimos un total por suposición."&amp;CHAR(10),"")&amp;IF(N333&gt;0,"Hay filas incompletas o contradictorias; las revisamos en PEGAR."&amp;CHAR(10),"")&amp;IF(O333&gt;0,"Faltan las medidas de alguna fila; no cerramos la suma."&amp;CHAR(10),"")&amp;IF(M333=0,"No constan líneas de medición."&amp;CHAR(10),"")&amp;IF(IF(ISNUMBER(H333),ROUND(ABS(H333),8)&gt;$F$6,FALSE),"Las líneas difieren del total en más de 0,01; confirmamos cantidad o exclusión."&amp;CHAR(10),"")&amp;IF(P333&gt;0,"Parece m³: encontramos tres dimensiones bajo m²."&amp;CHAR(10),"")&amp;IF(R333&gt;0,"Código repetido dentro del capítulo; mantenemos sus ID separados."&amp;CHAR(10),"")&amp;IF(S333&gt;0,"Código repetido en otro capítulo; no unimos las partidas."&amp;CHAR(10),"")&amp;IF(T333&gt;0,"Mismo código con unidades distintas; pedimos aclaración."&amp;CHAR(10),"")&amp;IF(Q333&gt;0,"Hay más precisión que los decimales indicados; cotejamos el formato original."&amp;CHAR(10),"")&amp;IF(U333&gt;0,"Unidad sin normalizar; cotejamos su significado antes de sumar unidades."&amp;CHAR(10),"")&amp;IF(V333&gt;0,"Revisamos dimensiones, cantidades directas, ceros o deducciones en PEGAR."&amp;CHAR(10),"")))</f>
      </c>
      <c r="K333" s="0">
        <f>IF(321&gt;'RESUMEN'!$E$6,"",MATCH(321,'PEGAR'!$W$13:$W$512,0))</f>
      </c>
      <c r="L333" s="0">
        <f>IF(K333="","",INDEX('PEGAR'!$R$13:$R$512,K333))</f>
      </c>
      <c r="M333" s="0">
        <f>IF(B333="","",COUNTIFS('PEGAR'!$O$13:$O$512,B333,'PEGAR'!$P$13:$P$512,"DIMENSIONES")+COUNTIFS('PEGAR'!$O$13:$O$512,B333,'PEGAR'!$P$13:$P$512,"DIRECTA"))</f>
      </c>
      <c r="N333" s="0">
        <f>IF(B333="","",COUNTIFS('PEGAR'!$O$13:$O$512,B333,'PEGAR'!$X$13:$X$512,2))</f>
      </c>
      <c r="O333" s="0">
        <f>IF(B333="","",COUNTIFS('PEGAR'!$O$13:$O$512,B333,'PEGAR'!$P$13:$P$512,"SIN LÍNEAS"))</f>
      </c>
      <c r="P333" s="0">
        <f>IF(B333="","",SUMIFS('PEGAR'!$Y$13:$Y$512,'PEGAR'!$O$13:$O$512,B333))</f>
      </c>
      <c r="Q333" s="0">
        <f>IF(B333="","",SUMIFS('PEGAR'!$Z$13:$Z$512,'PEGAR'!$O$13:$O$512,B333))</f>
      </c>
      <c r="R333" s="0" t="n">
        <f>IF(OR(B333="",D333=""),0,SUMPRODUCT(--($B$13:$B$512&lt;&gt;""),--($D$13:$D$512=D333),--($C$13:$C$512=C333))-1)</f>
        <v>0</v>
      </c>
      <c r="S333" s="0" t="n">
        <f>IF(OR(B333="",D333=""),0,SUMPRODUCT(--($B$13:$B$512&lt;&gt;""),--($D$13:$D$512=D333),--($C$13:$C$512&lt;&gt;C333)))</f>
        <v>0</v>
      </c>
      <c r="T333" s="0" t="n">
        <f>IF(OR(B333="",D333=""),0,SUMPRODUCT(--($B$13:$B$512&lt;&gt;""),--($D$13:$D$512=D333),--($E$13:$E$512&lt;&gt;E333)))</f>
        <v>0</v>
      </c>
      <c r="U333" s="0" t="n">
        <f>IF(B333="",0,IF(SUMPRODUCT(--('LÉEME'!$C$65:$C$86=E333))=0,1,0))</f>
        <v>0</v>
      </c>
      <c r="V333" s="0">
        <f>IF(B333="","",SUMIFS('PEGAR'!$AA$13:$AA$512,'PEGAR'!$O$13:$O$512,B333))</f>
      </c>
      <c r="W333" s="0">
        <f>IF(B333="","",IF(OR(L333=0,N333&gt;0,T333&gt;0,IF(ISNUMBER(H333),ROUND(ABS(H333),8)&gt;$F$6,FALSE)),2,IF(OR(M333=0,O333&gt;0,P333&gt;0,Q333&gt;0,R333&gt;0,S333&gt;0,U333&gt;0,V333&gt;0),1,0)))</f>
      </c>
      <c r="X333" s="0">
        <f>IF(B333="","",IF(ISNUMBER(G333),1,0))</f>
      </c>
      <c r="AB333" s="0">
        <f>IF(AND(ISNUMBER(W333),W333&gt;0),"ID "&amp;B333,"")</f>
      </c>
      <c r="AC333" s="0">
        <f>IF(AND(ISNUMBER(W333),W333&gt;0),C333,"")</f>
      </c>
      <c r="AD333" s="0">
        <f>IF(AND(ISNUMBER(W333),W333&gt;0),D333,"")</f>
      </c>
      <c r="AE333" s="0">
        <f>IF(AND(ISNUMBER(W333),W333&gt;0),IF(INDEX('PEGAR'!$D$13:$D$512,IF(L333&gt;0,L333,K333))="","Sin descripción",INDEX('PEGAR'!$D$13:$D$512,IF(L333&gt;0,L333,K333))),"")</f>
      </c>
      <c r="AF333" s="0">
        <f>IF(AND(ISNUMBER(W333),W333&gt;0),J333,"")</f>
      </c>
      <c r="AG333" s="0" t="n">
        <f>IF(AND(ISNUMBER(W333),W333&gt;0),W333,0)</f>
        <v>0</v>
      </c>
      <c r="AH333" s="0">
        <f>IF(AG333&gt;0,COUNTIFS($AG$13:AG333,"&gt;0"),"")</f>
      </c>
    </row>
    <row r="334" ht="22" customHeight="1">
      <c r="B334" s="27">
        <f>IF(K334="","",INDEX('PEGAR'!$O$13:$O$512,K334))</f>
      </c>
      <c r="C334" s="30">
        <f>IF(B334="","",IF(LEN(TRIM(INDEX('PEGAR'!$B$13:$B$512,IF(L334&gt;0,L334,K334))&amp;""))=0,"Sin capítulo",TRIM(INDEX('PEGAR'!$B$13:$B$512,IF(L334&gt;0,L334,K334))&amp;"")))</f>
      </c>
      <c r="D334" s="27">
        <f>IF(B334="","",IF(LEN(TRIM(INDEX('PEGAR'!$C$13:$C$512,IF(L334&gt;0,L334,K334))&amp;""))=0,"",TRIM(INDEX('PEGAR'!$C$13:$C$512,IF(L334&gt;0,L334,K334))&amp;"")))</f>
      </c>
      <c r="E334" s="27">
        <f>IF(B334="","",INDEX('PEGAR'!$S$13:$S$512,IF(L334&gt;0,L334,K334)))</f>
      </c>
      <c r="F334" s="39">
        <f>IF(B334="","",IF(L334&gt;0,INDEX('PEGAR'!$F$13:$F$512,L334),""))</f>
      </c>
      <c r="G334" s="39">
        <f>IF(B334="","",IF(OR(M334=0,N334&gt;0,O334&gt;0),"",SUMIFS('PEGAR'!$M$13:$M$512,'PEGAR'!$O$13:$O$512,B334)))</f>
      </c>
      <c r="H334" s="39">
        <f>IF(AND(ISNUMBER(F334),ISNUMBER(G334)),G334-F334,"")</f>
      </c>
      <c r="I334" s="27">
        <f>IF(B334="","",IF(W334=2,"ROJO",IF(W334=1,"ÁMBAR","VERDE")))</f>
      </c>
      <c r="J334" s="30">
        <f>IF(B334="","",IF(W334=0,"Sin avisos numéricos. Revisamos el alcance aparte.",IF(L334=0,"Faltan datos completos de partida; no elegimos un total por suposición."&amp;CHAR(10),"")&amp;IF(N334&gt;0,"Hay filas incompletas o contradictorias; las revisamos en PEGAR."&amp;CHAR(10),"")&amp;IF(O334&gt;0,"Faltan las medidas de alguna fila; no cerramos la suma."&amp;CHAR(10),"")&amp;IF(M334=0,"No constan líneas de medición."&amp;CHAR(10),"")&amp;IF(IF(ISNUMBER(H334),ROUND(ABS(H334),8)&gt;$F$6,FALSE),"Las líneas difieren del total en más de 0,01; confirmamos cantidad o exclusión."&amp;CHAR(10),"")&amp;IF(P334&gt;0,"Parece m³: encontramos tres dimensiones bajo m²."&amp;CHAR(10),"")&amp;IF(R334&gt;0,"Código repetido dentro del capítulo; mantenemos sus ID separados."&amp;CHAR(10),"")&amp;IF(S334&gt;0,"Código repetido en otro capítulo; no unimos las partidas."&amp;CHAR(10),"")&amp;IF(T334&gt;0,"Mismo código con unidades distintas; pedimos aclaración."&amp;CHAR(10),"")&amp;IF(Q334&gt;0,"Hay más precisión que los decimales indicados; cotejamos el formato original."&amp;CHAR(10),"")&amp;IF(U334&gt;0,"Unidad sin normalizar; cotejamos su significado antes de sumar unidades."&amp;CHAR(10),"")&amp;IF(V334&gt;0,"Revisamos dimensiones, cantidades directas, ceros o deducciones en PEGAR."&amp;CHAR(10),"")))</f>
      </c>
      <c r="K334" s="0">
        <f>IF(322&gt;'RESUMEN'!$E$6,"",MATCH(322,'PEGAR'!$W$13:$W$512,0))</f>
      </c>
      <c r="L334" s="0">
        <f>IF(K334="","",INDEX('PEGAR'!$R$13:$R$512,K334))</f>
      </c>
      <c r="M334" s="0">
        <f>IF(B334="","",COUNTIFS('PEGAR'!$O$13:$O$512,B334,'PEGAR'!$P$13:$P$512,"DIMENSIONES")+COUNTIFS('PEGAR'!$O$13:$O$512,B334,'PEGAR'!$P$13:$P$512,"DIRECTA"))</f>
      </c>
      <c r="N334" s="0">
        <f>IF(B334="","",COUNTIFS('PEGAR'!$O$13:$O$512,B334,'PEGAR'!$X$13:$X$512,2))</f>
      </c>
      <c r="O334" s="0">
        <f>IF(B334="","",COUNTIFS('PEGAR'!$O$13:$O$512,B334,'PEGAR'!$P$13:$P$512,"SIN LÍNEAS"))</f>
      </c>
      <c r="P334" s="0">
        <f>IF(B334="","",SUMIFS('PEGAR'!$Y$13:$Y$512,'PEGAR'!$O$13:$O$512,B334))</f>
      </c>
      <c r="Q334" s="0">
        <f>IF(B334="","",SUMIFS('PEGAR'!$Z$13:$Z$512,'PEGAR'!$O$13:$O$512,B334))</f>
      </c>
      <c r="R334" s="0" t="n">
        <f>IF(OR(B334="",D334=""),0,SUMPRODUCT(--($B$13:$B$512&lt;&gt;""),--($D$13:$D$512=D334),--($C$13:$C$512=C334))-1)</f>
        <v>0</v>
      </c>
      <c r="S334" s="0" t="n">
        <f>IF(OR(B334="",D334=""),0,SUMPRODUCT(--($B$13:$B$512&lt;&gt;""),--($D$13:$D$512=D334),--($C$13:$C$512&lt;&gt;C334)))</f>
        <v>0</v>
      </c>
      <c r="T334" s="0" t="n">
        <f>IF(OR(B334="",D334=""),0,SUMPRODUCT(--($B$13:$B$512&lt;&gt;""),--($D$13:$D$512=D334),--($E$13:$E$512&lt;&gt;E334)))</f>
        <v>0</v>
      </c>
      <c r="U334" s="0" t="n">
        <f>IF(B334="",0,IF(SUMPRODUCT(--('LÉEME'!$C$65:$C$86=E334))=0,1,0))</f>
        <v>0</v>
      </c>
      <c r="V334" s="0">
        <f>IF(B334="","",SUMIFS('PEGAR'!$AA$13:$AA$512,'PEGAR'!$O$13:$O$512,B334))</f>
      </c>
      <c r="W334" s="0">
        <f>IF(B334="","",IF(OR(L334=0,N334&gt;0,T334&gt;0,IF(ISNUMBER(H334),ROUND(ABS(H334),8)&gt;$F$6,FALSE)),2,IF(OR(M334=0,O334&gt;0,P334&gt;0,Q334&gt;0,R334&gt;0,S334&gt;0,U334&gt;0,V334&gt;0),1,0)))</f>
      </c>
      <c r="X334" s="0">
        <f>IF(B334="","",IF(ISNUMBER(G334),1,0))</f>
      </c>
      <c r="AB334" s="0">
        <f>IF(AND(ISNUMBER(W334),W334&gt;0),"ID "&amp;B334,"")</f>
      </c>
      <c r="AC334" s="0">
        <f>IF(AND(ISNUMBER(W334),W334&gt;0),C334,"")</f>
      </c>
      <c r="AD334" s="0">
        <f>IF(AND(ISNUMBER(W334),W334&gt;0),D334,"")</f>
      </c>
      <c r="AE334" s="0">
        <f>IF(AND(ISNUMBER(W334),W334&gt;0),IF(INDEX('PEGAR'!$D$13:$D$512,IF(L334&gt;0,L334,K334))="","Sin descripción",INDEX('PEGAR'!$D$13:$D$512,IF(L334&gt;0,L334,K334))),"")</f>
      </c>
      <c r="AF334" s="0">
        <f>IF(AND(ISNUMBER(W334),W334&gt;0),J334,"")</f>
      </c>
      <c r="AG334" s="0" t="n">
        <f>IF(AND(ISNUMBER(W334),W334&gt;0),W334,0)</f>
        <v>0</v>
      </c>
      <c r="AH334" s="0">
        <f>IF(AG334&gt;0,COUNTIFS($AG$13:AG334,"&gt;0"),"")</f>
      </c>
    </row>
    <row r="335" ht="22" customHeight="1">
      <c r="B335" s="27">
        <f>IF(K335="","",INDEX('PEGAR'!$O$13:$O$512,K335))</f>
      </c>
      <c r="C335" s="30">
        <f>IF(B335="","",IF(LEN(TRIM(INDEX('PEGAR'!$B$13:$B$512,IF(L335&gt;0,L335,K335))&amp;""))=0,"Sin capítulo",TRIM(INDEX('PEGAR'!$B$13:$B$512,IF(L335&gt;0,L335,K335))&amp;"")))</f>
      </c>
      <c r="D335" s="27">
        <f>IF(B335="","",IF(LEN(TRIM(INDEX('PEGAR'!$C$13:$C$512,IF(L335&gt;0,L335,K335))&amp;""))=0,"",TRIM(INDEX('PEGAR'!$C$13:$C$512,IF(L335&gt;0,L335,K335))&amp;"")))</f>
      </c>
      <c r="E335" s="27">
        <f>IF(B335="","",INDEX('PEGAR'!$S$13:$S$512,IF(L335&gt;0,L335,K335)))</f>
      </c>
      <c r="F335" s="39">
        <f>IF(B335="","",IF(L335&gt;0,INDEX('PEGAR'!$F$13:$F$512,L335),""))</f>
      </c>
      <c r="G335" s="39">
        <f>IF(B335="","",IF(OR(M335=0,N335&gt;0,O335&gt;0),"",SUMIFS('PEGAR'!$M$13:$M$512,'PEGAR'!$O$13:$O$512,B335)))</f>
      </c>
      <c r="H335" s="39">
        <f>IF(AND(ISNUMBER(F335),ISNUMBER(G335)),G335-F335,"")</f>
      </c>
      <c r="I335" s="27">
        <f>IF(B335="","",IF(W335=2,"ROJO",IF(W335=1,"ÁMBAR","VERDE")))</f>
      </c>
      <c r="J335" s="30">
        <f>IF(B335="","",IF(W335=0,"Sin avisos numéricos. Revisamos el alcance aparte.",IF(L335=0,"Faltan datos completos de partida; no elegimos un total por suposición."&amp;CHAR(10),"")&amp;IF(N335&gt;0,"Hay filas incompletas o contradictorias; las revisamos en PEGAR."&amp;CHAR(10),"")&amp;IF(O335&gt;0,"Faltan las medidas de alguna fila; no cerramos la suma."&amp;CHAR(10),"")&amp;IF(M335=0,"No constan líneas de medición."&amp;CHAR(10),"")&amp;IF(IF(ISNUMBER(H335),ROUND(ABS(H335),8)&gt;$F$6,FALSE),"Las líneas difieren del total en más de 0,01; confirmamos cantidad o exclusión."&amp;CHAR(10),"")&amp;IF(P335&gt;0,"Parece m³: encontramos tres dimensiones bajo m²."&amp;CHAR(10),"")&amp;IF(R335&gt;0,"Código repetido dentro del capítulo; mantenemos sus ID separados."&amp;CHAR(10),"")&amp;IF(S335&gt;0,"Código repetido en otro capítulo; no unimos las partidas."&amp;CHAR(10),"")&amp;IF(T335&gt;0,"Mismo código con unidades distintas; pedimos aclaración."&amp;CHAR(10),"")&amp;IF(Q335&gt;0,"Hay más precisión que los decimales indicados; cotejamos el formato original."&amp;CHAR(10),"")&amp;IF(U335&gt;0,"Unidad sin normalizar; cotejamos su significado antes de sumar unidades."&amp;CHAR(10),"")&amp;IF(V335&gt;0,"Revisamos dimensiones, cantidades directas, ceros o deducciones en PEGAR."&amp;CHAR(10),"")))</f>
      </c>
      <c r="K335" s="0">
        <f>IF(323&gt;'RESUMEN'!$E$6,"",MATCH(323,'PEGAR'!$W$13:$W$512,0))</f>
      </c>
      <c r="L335" s="0">
        <f>IF(K335="","",INDEX('PEGAR'!$R$13:$R$512,K335))</f>
      </c>
      <c r="M335" s="0">
        <f>IF(B335="","",COUNTIFS('PEGAR'!$O$13:$O$512,B335,'PEGAR'!$P$13:$P$512,"DIMENSIONES")+COUNTIFS('PEGAR'!$O$13:$O$512,B335,'PEGAR'!$P$13:$P$512,"DIRECTA"))</f>
      </c>
      <c r="N335" s="0">
        <f>IF(B335="","",COUNTIFS('PEGAR'!$O$13:$O$512,B335,'PEGAR'!$X$13:$X$512,2))</f>
      </c>
      <c r="O335" s="0">
        <f>IF(B335="","",COUNTIFS('PEGAR'!$O$13:$O$512,B335,'PEGAR'!$P$13:$P$512,"SIN LÍNEAS"))</f>
      </c>
      <c r="P335" s="0">
        <f>IF(B335="","",SUMIFS('PEGAR'!$Y$13:$Y$512,'PEGAR'!$O$13:$O$512,B335))</f>
      </c>
      <c r="Q335" s="0">
        <f>IF(B335="","",SUMIFS('PEGAR'!$Z$13:$Z$512,'PEGAR'!$O$13:$O$512,B335))</f>
      </c>
      <c r="R335" s="0" t="n">
        <f>IF(OR(B335="",D335=""),0,SUMPRODUCT(--($B$13:$B$512&lt;&gt;""),--($D$13:$D$512=D335),--($C$13:$C$512=C335))-1)</f>
        <v>0</v>
      </c>
      <c r="S335" s="0" t="n">
        <f>IF(OR(B335="",D335=""),0,SUMPRODUCT(--($B$13:$B$512&lt;&gt;""),--($D$13:$D$512=D335),--($C$13:$C$512&lt;&gt;C335)))</f>
        <v>0</v>
      </c>
      <c r="T335" s="0" t="n">
        <f>IF(OR(B335="",D335=""),0,SUMPRODUCT(--($B$13:$B$512&lt;&gt;""),--($D$13:$D$512=D335),--($E$13:$E$512&lt;&gt;E335)))</f>
        <v>0</v>
      </c>
      <c r="U335" s="0" t="n">
        <f>IF(B335="",0,IF(SUMPRODUCT(--('LÉEME'!$C$65:$C$86=E335))=0,1,0))</f>
        <v>0</v>
      </c>
      <c r="V335" s="0">
        <f>IF(B335="","",SUMIFS('PEGAR'!$AA$13:$AA$512,'PEGAR'!$O$13:$O$512,B335))</f>
      </c>
      <c r="W335" s="0">
        <f>IF(B335="","",IF(OR(L335=0,N335&gt;0,T335&gt;0,IF(ISNUMBER(H335),ROUND(ABS(H335),8)&gt;$F$6,FALSE)),2,IF(OR(M335=0,O335&gt;0,P335&gt;0,Q335&gt;0,R335&gt;0,S335&gt;0,U335&gt;0,V335&gt;0),1,0)))</f>
      </c>
      <c r="X335" s="0">
        <f>IF(B335="","",IF(ISNUMBER(G335),1,0))</f>
      </c>
      <c r="AB335" s="0">
        <f>IF(AND(ISNUMBER(W335),W335&gt;0),"ID "&amp;B335,"")</f>
      </c>
      <c r="AC335" s="0">
        <f>IF(AND(ISNUMBER(W335),W335&gt;0),C335,"")</f>
      </c>
      <c r="AD335" s="0">
        <f>IF(AND(ISNUMBER(W335),W335&gt;0),D335,"")</f>
      </c>
      <c r="AE335" s="0">
        <f>IF(AND(ISNUMBER(W335),W335&gt;0),IF(INDEX('PEGAR'!$D$13:$D$512,IF(L335&gt;0,L335,K335))="","Sin descripción",INDEX('PEGAR'!$D$13:$D$512,IF(L335&gt;0,L335,K335))),"")</f>
      </c>
      <c r="AF335" s="0">
        <f>IF(AND(ISNUMBER(W335),W335&gt;0),J335,"")</f>
      </c>
      <c r="AG335" s="0" t="n">
        <f>IF(AND(ISNUMBER(W335),W335&gt;0),W335,0)</f>
        <v>0</v>
      </c>
      <c r="AH335" s="0">
        <f>IF(AG335&gt;0,COUNTIFS($AG$13:AG335,"&gt;0"),"")</f>
      </c>
    </row>
    <row r="336" ht="22" customHeight="1">
      <c r="B336" s="27">
        <f>IF(K336="","",INDEX('PEGAR'!$O$13:$O$512,K336))</f>
      </c>
      <c r="C336" s="30">
        <f>IF(B336="","",IF(LEN(TRIM(INDEX('PEGAR'!$B$13:$B$512,IF(L336&gt;0,L336,K336))&amp;""))=0,"Sin capítulo",TRIM(INDEX('PEGAR'!$B$13:$B$512,IF(L336&gt;0,L336,K336))&amp;"")))</f>
      </c>
      <c r="D336" s="27">
        <f>IF(B336="","",IF(LEN(TRIM(INDEX('PEGAR'!$C$13:$C$512,IF(L336&gt;0,L336,K336))&amp;""))=0,"",TRIM(INDEX('PEGAR'!$C$13:$C$512,IF(L336&gt;0,L336,K336))&amp;"")))</f>
      </c>
      <c r="E336" s="27">
        <f>IF(B336="","",INDEX('PEGAR'!$S$13:$S$512,IF(L336&gt;0,L336,K336)))</f>
      </c>
      <c r="F336" s="39">
        <f>IF(B336="","",IF(L336&gt;0,INDEX('PEGAR'!$F$13:$F$512,L336),""))</f>
      </c>
      <c r="G336" s="39">
        <f>IF(B336="","",IF(OR(M336=0,N336&gt;0,O336&gt;0),"",SUMIFS('PEGAR'!$M$13:$M$512,'PEGAR'!$O$13:$O$512,B336)))</f>
      </c>
      <c r="H336" s="39">
        <f>IF(AND(ISNUMBER(F336),ISNUMBER(G336)),G336-F336,"")</f>
      </c>
      <c r="I336" s="27">
        <f>IF(B336="","",IF(W336=2,"ROJO",IF(W336=1,"ÁMBAR","VERDE")))</f>
      </c>
      <c r="J336" s="30">
        <f>IF(B336="","",IF(W336=0,"Sin avisos numéricos. Revisamos el alcance aparte.",IF(L336=0,"Faltan datos completos de partida; no elegimos un total por suposición."&amp;CHAR(10),"")&amp;IF(N336&gt;0,"Hay filas incompletas o contradictorias; las revisamos en PEGAR."&amp;CHAR(10),"")&amp;IF(O336&gt;0,"Faltan las medidas de alguna fila; no cerramos la suma."&amp;CHAR(10),"")&amp;IF(M336=0,"No constan líneas de medición."&amp;CHAR(10),"")&amp;IF(IF(ISNUMBER(H336),ROUND(ABS(H336),8)&gt;$F$6,FALSE),"Las líneas difieren del total en más de 0,01; confirmamos cantidad o exclusión."&amp;CHAR(10),"")&amp;IF(P336&gt;0,"Parece m³: encontramos tres dimensiones bajo m²."&amp;CHAR(10),"")&amp;IF(R336&gt;0,"Código repetido dentro del capítulo; mantenemos sus ID separados."&amp;CHAR(10),"")&amp;IF(S336&gt;0,"Código repetido en otro capítulo; no unimos las partidas."&amp;CHAR(10),"")&amp;IF(T336&gt;0,"Mismo código con unidades distintas; pedimos aclaración."&amp;CHAR(10),"")&amp;IF(Q336&gt;0,"Hay más precisión que los decimales indicados; cotejamos el formato original."&amp;CHAR(10),"")&amp;IF(U336&gt;0,"Unidad sin normalizar; cotejamos su significado antes de sumar unidades."&amp;CHAR(10),"")&amp;IF(V336&gt;0,"Revisamos dimensiones, cantidades directas, ceros o deducciones en PEGAR."&amp;CHAR(10),"")))</f>
      </c>
      <c r="K336" s="0">
        <f>IF(324&gt;'RESUMEN'!$E$6,"",MATCH(324,'PEGAR'!$W$13:$W$512,0))</f>
      </c>
      <c r="L336" s="0">
        <f>IF(K336="","",INDEX('PEGAR'!$R$13:$R$512,K336))</f>
      </c>
      <c r="M336" s="0">
        <f>IF(B336="","",COUNTIFS('PEGAR'!$O$13:$O$512,B336,'PEGAR'!$P$13:$P$512,"DIMENSIONES")+COUNTIFS('PEGAR'!$O$13:$O$512,B336,'PEGAR'!$P$13:$P$512,"DIRECTA"))</f>
      </c>
      <c r="N336" s="0">
        <f>IF(B336="","",COUNTIFS('PEGAR'!$O$13:$O$512,B336,'PEGAR'!$X$13:$X$512,2))</f>
      </c>
      <c r="O336" s="0">
        <f>IF(B336="","",COUNTIFS('PEGAR'!$O$13:$O$512,B336,'PEGAR'!$P$13:$P$512,"SIN LÍNEAS"))</f>
      </c>
      <c r="P336" s="0">
        <f>IF(B336="","",SUMIFS('PEGAR'!$Y$13:$Y$512,'PEGAR'!$O$13:$O$512,B336))</f>
      </c>
      <c r="Q336" s="0">
        <f>IF(B336="","",SUMIFS('PEGAR'!$Z$13:$Z$512,'PEGAR'!$O$13:$O$512,B336))</f>
      </c>
      <c r="R336" s="0" t="n">
        <f>IF(OR(B336="",D336=""),0,SUMPRODUCT(--($B$13:$B$512&lt;&gt;""),--($D$13:$D$512=D336),--($C$13:$C$512=C336))-1)</f>
        <v>0</v>
      </c>
      <c r="S336" s="0" t="n">
        <f>IF(OR(B336="",D336=""),0,SUMPRODUCT(--($B$13:$B$512&lt;&gt;""),--($D$13:$D$512=D336),--($C$13:$C$512&lt;&gt;C336)))</f>
        <v>0</v>
      </c>
      <c r="T336" s="0" t="n">
        <f>IF(OR(B336="",D336=""),0,SUMPRODUCT(--($B$13:$B$512&lt;&gt;""),--($D$13:$D$512=D336),--($E$13:$E$512&lt;&gt;E336)))</f>
        <v>0</v>
      </c>
      <c r="U336" s="0" t="n">
        <f>IF(B336="",0,IF(SUMPRODUCT(--('LÉEME'!$C$65:$C$86=E336))=0,1,0))</f>
        <v>0</v>
      </c>
      <c r="V336" s="0">
        <f>IF(B336="","",SUMIFS('PEGAR'!$AA$13:$AA$512,'PEGAR'!$O$13:$O$512,B336))</f>
      </c>
      <c r="W336" s="0">
        <f>IF(B336="","",IF(OR(L336=0,N336&gt;0,T336&gt;0,IF(ISNUMBER(H336),ROUND(ABS(H336),8)&gt;$F$6,FALSE)),2,IF(OR(M336=0,O336&gt;0,P336&gt;0,Q336&gt;0,R336&gt;0,S336&gt;0,U336&gt;0,V336&gt;0),1,0)))</f>
      </c>
      <c r="X336" s="0">
        <f>IF(B336="","",IF(ISNUMBER(G336),1,0))</f>
      </c>
      <c r="AB336" s="0">
        <f>IF(AND(ISNUMBER(W336),W336&gt;0),"ID "&amp;B336,"")</f>
      </c>
      <c r="AC336" s="0">
        <f>IF(AND(ISNUMBER(W336),W336&gt;0),C336,"")</f>
      </c>
      <c r="AD336" s="0">
        <f>IF(AND(ISNUMBER(W336),W336&gt;0),D336,"")</f>
      </c>
      <c r="AE336" s="0">
        <f>IF(AND(ISNUMBER(W336),W336&gt;0),IF(INDEX('PEGAR'!$D$13:$D$512,IF(L336&gt;0,L336,K336))="","Sin descripción",INDEX('PEGAR'!$D$13:$D$512,IF(L336&gt;0,L336,K336))),"")</f>
      </c>
      <c r="AF336" s="0">
        <f>IF(AND(ISNUMBER(W336),W336&gt;0),J336,"")</f>
      </c>
      <c r="AG336" s="0" t="n">
        <f>IF(AND(ISNUMBER(W336),W336&gt;0),W336,0)</f>
        <v>0</v>
      </c>
      <c r="AH336" s="0">
        <f>IF(AG336&gt;0,COUNTIFS($AG$13:AG336,"&gt;0"),"")</f>
      </c>
    </row>
    <row r="337" ht="22" customHeight="1">
      <c r="B337" s="27">
        <f>IF(K337="","",INDEX('PEGAR'!$O$13:$O$512,K337))</f>
      </c>
      <c r="C337" s="30">
        <f>IF(B337="","",IF(LEN(TRIM(INDEX('PEGAR'!$B$13:$B$512,IF(L337&gt;0,L337,K337))&amp;""))=0,"Sin capítulo",TRIM(INDEX('PEGAR'!$B$13:$B$512,IF(L337&gt;0,L337,K337))&amp;"")))</f>
      </c>
      <c r="D337" s="27">
        <f>IF(B337="","",IF(LEN(TRIM(INDEX('PEGAR'!$C$13:$C$512,IF(L337&gt;0,L337,K337))&amp;""))=0,"",TRIM(INDEX('PEGAR'!$C$13:$C$512,IF(L337&gt;0,L337,K337))&amp;"")))</f>
      </c>
      <c r="E337" s="27">
        <f>IF(B337="","",INDEX('PEGAR'!$S$13:$S$512,IF(L337&gt;0,L337,K337)))</f>
      </c>
      <c r="F337" s="39">
        <f>IF(B337="","",IF(L337&gt;0,INDEX('PEGAR'!$F$13:$F$512,L337),""))</f>
      </c>
      <c r="G337" s="39">
        <f>IF(B337="","",IF(OR(M337=0,N337&gt;0,O337&gt;0),"",SUMIFS('PEGAR'!$M$13:$M$512,'PEGAR'!$O$13:$O$512,B337)))</f>
      </c>
      <c r="H337" s="39">
        <f>IF(AND(ISNUMBER(F337),ISNUMBER(G337)),G337-F337,"")</f>
      </c>
      <c r="I337" s="27">
        <f>IF(B337="","",IF(W337=2,"ROJO",IF(W337=1,"ÁMBAR","VERDE")))</f>
      </c>
      <c r="J337" s="30">
        <f>IF(B337="","",IF(W337=0,"Sin avisos numéricos. Revisamos el alcance aparte.",IF(L337=0,"Faltan datos completos de partida; no elegimos un total por suposición."&amp;CHAR(10),"")&amp;IF(N337&gt;0,"Hay filas incompletas o contradictorias; las revisamos en PEGAR."&amp;CHAR(10),"")&amp;IF(O337&gt;0,"Faltan las medidas de alguna fila; no cerramos la suma."&amp;CHAR(10),"")&amp;IF(M337=0,"No constan líneas de medición."&amp;CHAR(10),"")&amp;IF(IF(ISNUMBER(H337),ROUND(ABS(H337),8)&gt;$F$6,FALSE),"Las líneas difieren del total en más de 0,01; confirmamos cantidad o exclusión."&amp;CHAR(10),"")&amp;IF(P337&gt;0,"Parece m³: encontramos tres dimensiones bajo m²."&amp;CHAR(10),"")&amp;IF(R337&gt;0,"Código repetido dentro del capítulo; mantenemos sus ID separados."&amp;CHAR(10),"")&amp;IF(S337&gt;0,"Código repetido en otro capítulo; no unimos las partidas."&amp;CHAR(10),"")&amp;IF(T337&gt;0,"Mismo código con unidades distintas; pedimos aclaración."&amp;CHAR(10),"")&amp;IF(Q337&gt;0,"Hay más precisión que los decimales indicados; cotejamos el formato original."&amp;CHAR(10),"")&amp;IF(U337&gt;0,"Unidad sin normalizar; cotejamos su significado antes de sumar unidades."&amp;CHAR(10),"")&amp;IF(V337&gt;0,"Revisamos dimensiones, cantidades directas, ceros o deducciones en PEGAR."&amp;CHAR(10),"")))</f>
      </c>
      <c r="K337" s="0">
        <f>IF(325&gt;'RESUMEN'!$E$6,"",MATCH(325,'PEGAR'!$W$13:$W$512,0))</f>
      </c>
      <c r="L337" s="0">
        <f>IF(K337="","",INDEX('PEGAR'!$R$13:$R$512,K337))</f>
      </c>
      <c r="M337" s="0">
        <f>IF(B337="","",COUNTIFS('PEGAR'!$O$13:$O$512,B337,'PEGAR'!$P$13:$P$512,"DIMENSIONES")+COUNTIFS('PEGAR'!$O$13:$O$512,B337,'PEGAR'!$P$13:$P$512,"DIRECTA"))</f>
      </c>
      <c r="N337" s="0">
        <f>IF(B337="","",COUNTIFS('PEGAR'!$O$13:$O$512,B337,'PEGAR'!$X$13:$X$512,2))</f>
      </c>
      <c r="O337" s="0">
        <f>IF(B337="","",COUNTIFS('PEGAR'!$O$13:$O$512,B337,'PEGAR'!$P$13:$P$512,"SIN LÍNEAS"))</f>
      </c>
      <c r="P337" s="0">
        <f>IF(B337="","",SUMIFS('PEGAR'!$Y$13:$Y$512,'PEGAR'!$O$13:$O$512,B337))</f>
      </c>
      <c r="Q337" s="0">
        <f>IF(B337="","",SUMIFS('PEGAR'!$Z$13:$Z$512,'PEGAR'!$O$13:$O$512,B337))</f>
      </c>
      <c r="R337" s="0" t="n">
        <f>IF(OR(B337="",D337=""),0,SUMPRODUCT(--($B$13:$B$512&lt;&gt;""),--($D$13:$D$512=D337),--($C$13:$C$512=C337))-1)</f>
        <v>0</v>
      </c>
      <c r="S337" s="0" t="n">
        <f>IF(OR(B337="",D337=""),0,SUMPRODUCT(--($B$13:$B$512&lt;&gt;""),--($D$13:$D$512=D337),--($C$13:$C$512&lt;&gt;C337)))</f>
        <v>0</v>
      </c>
      <c r="T337" s="0" t="n">
        <f>IF(OR(B337="",D337=""),0,SUMPRODUCT(--($B$13:$B$512&lt;&gt;""),--($D$13:$D$512=D337),--($E$13:$E$512&lt;&gt;E337)))</f>
        <v>0</v>
      </c>
      <c r="U337" s="0" t="n">
        <f>IF(B337="",0,IF(SUMPRODUCT(--('LÉEME'!$C$65:$C$86=E337))=0,1,0))</f>
        <v>0</v>
      </c>
      <c r="V337" s="0">
        <f>IF(B337="","",SUMIFS('PEGAR'!$AA$13:$AA$512,'PEGAR'!$O$13:$O$512,B337))</f>
      </c>
      <c r="W337" s="0">
        <f>IF(B337="","",IF(OR(L337=0,N337&gt;0,T337&gt;0,IF(ISNUMBER(H337),ROUND(ABS(H337),8)&gt;$F$6,FALSE)),2,IF(OR(M337=0,O337&gt;0,P337&gt;0,Q337&gt;0,R337&gt;0,S337&gt;0,U337&gt;0,V337&gt;0),1,0)))</f>
      </c>
      <c r="X337" s="0">
        <f>IF(B337="","",IF(ISNUMBER(G337),1,0))</f>
      </c>
      <c r="AB337" s="0">
        <f>IF(AND(ISNUMBER(W337),W337&gt;0),"ID "&amp;B337,"")</f>
      </c>
      <c r="AC337" s="0">
        <f>IF(AND(ISNUMBER(W337),W337&gt;0),C337,"")</f>
      </c>
      <c r="AD337" s="0">
        <f>IF(AND(ISNUMBER(W337),W337&gt;0),D337,"")</f>
      </c>
      <c r="AE337" s="0">
        <f>IF(AND(ISNUMBER(W337),W337&gt;0),IF(INDEX('PEGAR'!$D$13:$D$512,IF(L337&gt;0,L337,K337))="","Sin descripción",INDEX('PEGAR'!$D$13:$D$512,IF(L337&gt;0,L337,K337))),"")</f>
      </c>
      <c r="AF337" s="0">
        <f>IF(AND(ISNUMBER(W337),W337&gt;0),J337,"")</f>
      </c>
      <c r="AG337" s="0" t="n">
        <f>IF(AND(ISNUMBER(W337),W337&gt;0),W337,0)</f>
        <v>0</v>
      </c>
      <c r="AH337" s="0">
        <f>IF(AG337&gt;0,COUNTIFS($AG$13:AG337,"&gt;0"),"")</f>
      </c>
    </row>
    <row r="338" ht="22" customHeight="1">
      <c r="B338" s="27">
        <f>IF(K338="","",INDEX('PEGAR'!$O$13:$O$512,K338))</f>
      </c>
      <c r="C338" s="30">
        <f>IF(B338="","",IF(LEN(TRIM(INDEX('PEGAR'!$B$13:$B$512,IF(L338&gt;0,L338,K338))&amp;""))=0,"Sin capítulo",TRIM(INDEX('PEGAR'!$B$13:$B$512,IF(L338&gt;0,L338,K338))&amp;"")))</f>
      </c>
      <c r="D338" s="27">
        <f>IF(B338="","",IF(LEN(TRIM(INDEX('PEGAR'!$C$13:$C$512,IF(L338&gt;0,L338,K338))&amp;""))=0,"",TRIM(INDEX('PEGAR'!$C$13:$C$512,IF(L338&gt;0,L338,K338))&amp;"")))</f>
      </c>
      <c r="E338" s="27">
        <f>IF(B338="","",INDEX('PEGAR'!$S$13:$S$512,IF(L338&gt;0,L338,K338)))</f>
      </c>
      <c r="F338" s="39">
        <f>IF(B338="","",IF(L338&gt;0,INDEX('PEGAR'!$F$13:$F$512,L338),""))</f>
      </c>
      <c r="G338" s="39">
        <f>IF(B338="","",IF(OR(M338=0,N338&gt;0,O338&gt;0),"",SUMIFS('PEGAR'!$M$13:$M$512,'PEGAR'!$O$13:$O$512,B338)))</f>
      </c>
      <c r="H338" s="39">
        <f>IF(AND(ISNUMBER(F338),ISNUMBER(G338)),G338-F338,"")</f>
      </c>
      <c r="I338" s="27">
        <f>IF(B338="","",IF(W338=2,"ROJO",IF(W338=1,"ÁMBAR","VERDE")))</f>
      </c>
      <c r="J338" s="30">
        <f>IF(B338="","",IF(W338=0,"Sin avisos numéricos. Revisamos el alcance aparte.",IF(L338=0,"Faltan datos completos de partida; no elegimos un total por suposición."&amp;CHAR(10),"")&amp;IF(N338&gt;0,"Hay filas incompletas o contradictorias; las revisamos en PEGAR."&amp;CHAR(10),"")&amp;IF(O338&gt;0,"Faltan las medidas de alguna fila; no cerramos la suma."&amp;CHAR(10),"")&amp;IF(M338=0,"No constan líneas de medición."&amp;CHAR(10),"")&amp;IF(IF(ISNUMBER(H338),ROUND(ABS(H338),8)&gt;$F$6,FALSE),"Las líneas difieren del total en más de 0,01; confirmamos cantidad o exclusión."&amp;CHAR(10),"")&amp;IF(P338&gt;0,"Parece m³: encontramos tres dimensiones bajo m²."&amp;CHAR(10),"")&amp;IF(R338&gt;0,"Código repetido dentro del capítulo; mantenemos sus ID separados."&amp;CHAR(10),"")&amp;IF(S338&gt;0,"Código repetido en otro capítulo; no unimos las partidas."&amp;CHAR(10),"")&amp;IF(T338&gt;0,"Mismo código con unidades distintas; pedimos aclaración."&amp;CHAR(10),"")&amp;IF(Q338&gt;0,"Hay más precisión que los decimales indicados; cotejamos el formato original."&amp;CHAR(10),"")&amp;IF(U338&gt;0,"Unidad sin normalizar; cotejamos su significado antes de sumar unidades."&amp;CHAR(10),"")&amp;IF(V338&gt;0,"Revisamos dimensiones, cantidades directas, ceros o deducciones en PEGAR."&amp;CHAR(10),"")))</f>
      </c>
      <c r="K338" s="0">
        <f>IF(326&gt;'RESUMEN'!$E$6,"",MATCH(326,'PEGAR'!$W$13:$W$512,0))</f>
      </c>
      <c r="L338" s="0">
        <f>IF(K338="","",INDEX('PEGAR'!$R$13:$R$512,K338))</f>
      </c>
      <c r="M338" s="0">
        <f>IF(B338="","",COUNTIFS('PEGAR'!$O$13:$O$512,B338,'PEGAR'!$P$13:$P$512,"DIMENSIONES")+COUNTIFS('PEGAR'!$O$13:$O$512,B338,'PEGAR'!$P$13:$P$512,"DIRECTA"))</f>
      </c>
      <c r="N338" s="0">
        <f>IF(B338="","",COUNTIFS('PEGAR'!$O$13:$O$512,B338,'PEGAR'!$X$13:$X$512,2))</f>
      </c>
      <c r="O338" s="0">
        <f>IF(B338="","",COUNTIFS('PEGAR'!$O$13:$O$512,B338,'PEGAR'!$P$13:$P$512,"SIN LÍNEAS"))</f>
      </c>
      <c r="P338" s="0">
        <f>IF(B338="","",SUMIFS('PEGAR'!$Y$13:$Y$512,'PEGAR'!$O$13:$O$512,B338))</f>
      </c>
      <c r="Q338" s="0">
        <f>IF(B338="","",SUMIFS('PEGAR'!$Z$13:$Z$512,'PEGAR'!$O$13:$O$512,B338))</f>
      </c>
      <c r="R338" s="0" t="n">
        <f>IF(OR(B338="",D338=""),0,SUMPRODUCT(--($B$13:$B$512&lt;&gt;""),--($D$13:$D$512=D338),--($C$13:$C$512=C338))-1)</f>
        <v>0</v>
      </c>
      <c r="S338" s="0" t="n">
        <f>IF(OR(B338="",D338=""),0,SUMPRODUCT(--($B$13:$B$512&lt;&gt;""),--($D$13:$D$512=D338),--($C$13:$C$512&lt;&gt;C338)))</f>
        <v>0</v>
      </c>
      <c r="T338" s="0" t="n">
        <f>IF(OR(B338="",D338=""),0,SUMPRODUCT(--($B$13:$B$512&lt;&gt;""),--($D$13:$D$512=D338),--($E$13:$E$512&lt;&gt;E338)))</f>
        <v>0</v>
      </c>
      <c r="U338" s="0" t="n">
        <f>IF(B338="",0,IF(SUMPRODUCT(--('LÉEME'!$C$65:$C$86=E338))=0,1,0))</f>
        <v>0</v>
      </c>
      <c r="V338" s="0">
        <f>IF(B338="","",SUMIFS('PEGAR'!$AA$13:$AA$512,'PEGAR'!$O$13:$O$512,B338))</f>
      </c>
      <c r="W338" s="0">
        <f>IF(B338="","",IF(OR(L338=0,N338&gt;0,T338&gt;0,IF(ISNUMBER(H338),ROUND(ABS(H338),8)&gt;$F$6,FALSE)),2,IF(OR(M338=0,O338&gt;0,P338&gt;0,Q338&gt;0,R338&gt;0,S338&gt;0,U338&gt;0,V338&gt;0),1,0)))</f>
      </c>
      <c r="X338" s="0">
        <f>IF(B338="","",IF(ISNUMBER(G338),1,0))</f>
      </c>
      <c r="AB338" s="0">
        <f>IF(AND(ISNUMBER(W338),W338&gt;0),"ID "&amp;B338,"")</f>
      </c>
      <c r="AC338" s="0">
        <f>IF(AND(ISNUMBER(W338),W338&gt;0),C338,"")</f>
      </c>
      <c r="AD338" s="0">
        <f>IF(AND(ISNUMBER(W338),W338&gt;0),D338,"")</f>
      </c>
      <c r="AE338" s="0">
        <f>IF(AND(ISNUMBER(W338),W338&gt;0),IF(INDEX('PEGAR'!$D$13:$D$512,IF(L338&gt;0,L338,K338))="","Sin descripción",INDEX('PEGAR'!$D$13:$D$512,IF(L338&gt;0,L338,K338))),"")</f>
      </c>
      <c r="AF338" s="0">
        <f>IF(AND(ISNUMBER(W338),W338&gt;0),J338,"")</f>
      </c>
      <c r="AG338" s="0" t="n">
        <f>IF(AND(ISNUMBER(W338),W338&gt;0),W338,0)</f>
        <v>0</v>
      </c>
      <c r="AH338" s="0">
        <f>IF(AG338&gt;0,COUNTIFS($AG$13:AG338,"&gt;0"),"")</f>
      </c>
    </row>
    <row r="339" ht="22" customHeight="1">
      <c r="B339" s="27">
        <f>IF(K339="","",INDEX('PEGAR'!$O$13:$O$512,K339))</f>
      </c>
      <c r="C339" s="30">
        <f>IF(B339="","",IF(LEN(TRIM(INDEX('PEGAR'!$B$13:$B$512,IF(L339&gt;0,L339,K339))&amp;""))=0,"Sin capítulo",TRIM(INDEX('PEGAR'!$B$13:$B$512,IF(L339&gt;0,L339,K339))&amp;"")))</f>
      </c>
      <c r="D339" s="27">
        <f>IF(B339="","",IF(LEN(TRIM(INDEX('PEGAR'!$C$13:$C$512,IF(L339&gt;0,L339,K339))&amp;""))=0,"",TRIM(INDEX('PEGAR'!$C$13:$C$512,IF(L339&gt;0,L339,K339))&amp;"")))</f>
      </c>
      <c r="E339" s="27">
        <f>IF(B339="","",INDEX('PEGAR'!$S$13:$S$512,IF(L339&gt;0,L339,K339)))</f>
      </c>
      <c r="F339" s="39">
        <f>IF(B339="","",IF(L339&gt;0,INDEX('PEGAR'!$F$13:$F$512,L339),""))</f>
      </c>
      <c r="G339" s="39">
        <f>IF(B339="","",IF(OR(M339=0,N339&gt;0,O339&gt;0),"",SUMIFS('PEGAR'!$M$13:$M$512,'PEGAR'!$O$13:$O$512,B339)))</f>
      </c>
      <c r="H339" s="39">
        <f>IF(AND(ISNUMBER(F339),ISNUMBER(G339)),G339-F339,"")</f>
      </c>
      <c r="I339" s="27">
        <f>IF(B339="","",IF(W339=2,"ROJO",IF(W339=1,"ÁMBAR","VERDE")))</f>
      </c>
      <c r="J339" s="30">
        <f>IF(B339="","",IF(W339=0,"Sin avisos numéricos. Revisamos el alcance aparte.",IF(L339=0,"Faltan datos completos de partida; no elegimos un total por suposición."&amp;CHAR(10),"")&amp;IF(N339&gt;0,"Hay filas incompletas o contradictorias; las revisamos en PEGAR."&amp;CHAR(10),"")&amp;IF(O339&gt;0,"Faltan las medidas de alguna fila; no cerramos la suma."&amp;CHAR(10),"")&amp;IF(M339=0,"No constan líneas de medición."&amp;CHAR(10),"")&amp;IF(IF(ISNUMBER(H339),ROUND(ABS(H339),8)&gt;$F$6,FALSE),"Las líneas difieren del total en más de 0,01; confirmamos cantidad o exclusión."&amp;CHAR(10),"")&amp;IF(P339&gt;0,"Parece m³: encontramos tres dimensiones bajo m²."&amp;CHAR(10),"")&amp;IF(R339&gt;0,"Código repetido dentro del capítulo; mantenemos sus ID separados."&amp;CHAR(10),"")&amp;IF(S339&gt;0,"Código repetido en otro capítulo; no unimos las partidas."&amp;CHAR(10),"")&amp;IF(T339&gt;0,"Mismo código con unidades distintas; pedimos aclaración."&amp;CHAR(10),"")&amp;IF(Q339&gt;0,"Hay más precisión que los decimales indicados; cotejamos el formato original."&amp;CHAR(10),"")&amp;IF(U339&gt;0,"Unidad sin normalizar; cotejamos su significado antes de sumar unidades."&amp;CHAR(10),"")&amp;IF(V339&gt;0,"Revisamos dimensiones, cantidades directas, ceros o deducciones en PEGAR."&amp;CHAR(10),"")))</f>
      </c>
      <c r="K339" s="0">
        <f>IF(327&gt;'RESUMEN'!$E$6,"",MATCH(327,'PEGAR'!$W$13:$W$512,0))</f>
      </c>
      <c r="L339" s="0">
        <f>IF(K339="","",INDEX('PEGAR'!$R$13:$R$512,K339))</f>
      </c>
      <c r="M339" s="0">
        <f>IF(B339="","",COUNTIFS('PEGAR'!$O$13:$O$512,B339,'PEGAR'!$P$13:$P$512,"DIMENSIONES")+COUNTIFS('PEGAR'!$O$13:$O$512,B339,'PEGAR'!$P$13:$P$512,"DIRECTA"))</f>
      </c>
      <c r="N339" s="0">
        <f>IF(B339="","",COUNTIFS('PEGAR'!$O$13:$O$512,B339,'PEGAR'!$X$13:$X$512,2))</f>
      </c>
      <c r="O339" s="0">
        <f>IF(B339="","",COUNTIFS('PEGAR'!$O$13:$O$512,B339,'PEGAR'!$P$13:$P$512,"SIN LÍNEAS"))</f>
      </c>
      <c r="P339" s="0">
        <f>IF(B339="","",SUMIFS('PEGAR'!$Y$13:$Y$512,'PEGAR'!$O$13:$O$512,B339))</f>
      </c>
      <c r="Q339" s="0">
        <f>IF(B339="","",SUMIFS('PEGAR'!$Z$13:$Z$512,'PEGAR'!$O$13:$O$512,B339))</f>
      </c>
      <c r="R339" s="0" t="n">
        <f>IF(OR(B339="",D339=""),0,SUMPRODUCT(--($B$13:$B$512&lt;&gt;""),--($D$13:$D$512=D339),--($C$13:$C$512=C339))-1)</f>
        <v>0</v>
      </c>
      <c r="S339" s="0" t="n">
        <f>IF(OR(B339="",D339=""),0,SUMPRODUCT(--($B$13:$B$512&lt;&gt;""),--($D$13:$D$512=D339),--($C$13:$C$512&lt;&gt;C339)))</f>
        <v>0</v>
      </c>
      <c r="T339" s="0" t="n">
        <f>IF(OR(B339="",D339=""),0,SUMPRODUCT(--($B$13:$B$512&lt;&gt;""),--($D$13:$D$512=D339),--($E$13:$E$512&lt;&gt;E339)))</f>
        <v>0</v>
      </c>
      <c r="U339" s="0" t="n">
        <f>IF(B339="",0,IF(SUMPRODUCT(--('LÉEME'!$C$65:$C$86=E339))=0,1,0))</f>
        <v>0</v>
      </c>
      <c r="V339" s="0">
        <f>IF(B339="","",SUMIFS('PEGAR'!$AA$13:$AA$512,'PEGAR'!$O$13:$O$512,B339))</f>
      </c>
      <c r="W339" s="0">
        <f>IF(B339="","",IF(OR(L339=0,N339&gt;0,T339&gt;0,IF(ISNUMBER(H339),ROUND(ABS(H339),8)&gt;$F$6,FALSE)),2,IF(OR(M339=0,O339&gt;0,P339&gt;0,Q339&gt;0,R339&gt;0,S339&gt;0,U339&gt;0,V339&gt;0),1,0)))</f>
      </c>
      <c r="X339" s="0">
        <f>IF(B339="","",IF(ISNUMBER(G339),1,0))</f>
      </c>
      <c r="AB339" s="0">
        <f>IF(AND(ISNUMBER(W339),W339&gt;0),"ID "&amp;B339,"")</f>
      </c>
      <c r="AC339" s="0">
        <f>IF(AND(ISNUMBER(W339),W339&gt;0),C339,"")</f>
      </c>
      <c r="AD339" s="0">
        <f>IF(AND(ISNUMBER(W339),W339&gt;0),D339,"")</f>
      </c>
      <c r="AE339" s="0">
        <f>IF(AND(ISNUMBER(W339),W339&gt;0),IF(INDEX('PEGAR'!$D$13:$D$512,IF(L339&gt;0,L339,K339))="","Sin descripción",INDEX('PEGAR'!$D$13:$D$512,IF(L339&gt;0,L339,K339))),"")</f>
      </c>
      <c r="AF339" s="0">
        <f>IF(AND(ISNUMBER(W339),W339&gt;0),J339,"")</f>
      </c>
      <c r="AG339" s="0" t="n">
        <f>IF(AND(ISNUMBER(W339),W339&gt;0),W339,0)</f>
        <v>0</v>
      </c>
      <c r="AH339" s="0">
        <f>IF(AG339&gt;0,COUNTIFS($AG$13:AG339,"&gt;0"),"")</f>
      </c>
    </row>
    <row r="340" ht="22" customHeight="1">
      <c r="B340" s="27">
        <f>IF(K340="","",INDEX('PEGAR'!$O$13:$O$512,K340))</f>
      </c>
      <c r="C340" s="30">
        <f>IF(B340="","",IF(LEN(TRIM(INDEX('PEGAR'!$B$13:$B$512,IF(L340&gt;0,L340,K340))&amp;""))=0,"Sin capítulo",TRIM(INDEX('PEGAR'!$B$13:$B$512,IF(L340&gt;0,L340,K340))&amp;"")))</f>
      </c>
      <c r="D340" s="27">
        <f>IF(B340="","",IF(LEN(TRIM(INDEX('PEGAR'!$C$13:$C$512,IF(L340&gt;0,L340,K340))&amp;""))=0,"",TRIM(INDEX('PEGAR'!$C$13:$C$512,IF(L340&gt;0,L340,K340))&amp;"")))</f>
      </c>
      <c r="E340" s="27">
        <f>IF(B340="","",INDEX('PEGAR'!$S$13:$S$512,IF(L340&gt;0,L340,K340)))</f>
      </c>
      <c r="F340" s="39">
        <f>IF(B340="","",IF(L340&gt;0,INDEX('PEGAR'!$F$13:$F$512,L340),""))</f>
      </c>
      <c r="G340" s="39">
        <f>IF(B340="","",IF(OR(M340=0,N340&gt;0,O340&gt;0),"",SUMIFS('PEGAR'!$M$13:$M$512,'PEGAR'!$O$13:$O$512,B340)))</f>
      </c>
      <c r="H340" s="39">
        <f>IF(AND(ISNUMBER(F340),ISNUMBER(G340)),G340-F340,"")</f>
      </c>
      <c r="I340" s="27">
        <f>IF(B340="","",IF(W340=2,"ROJO",IF(W340=1,"ÁMBAR","VERDE")))</f>
      </c>
      <c r="J340" s="30">
        <f>IF(B340="","",IF(W340=0,"Sin avisos numéricos. Revisamos el alcance aparte.",IF(L340=0,"Faltan datos completos de partida; no elegimos un total por suposición."&amp;CHAR(10),"")&amp;IF(N340&gt;0,"Hay filas incompletas o contradictorias; las revisamos en PEGAR."&amp;CHAR(10),"")&amp;IF(O340&gt;0,"Faltan las medidas de alguna fila; no cerramos la suma."&amp;CHAR(10),"")&amp;IF(M340=0,"No constan líneas de medición."&amp;CHAR(10),"")&amp;IF(IF(ISNUMBER(H340),ROUND(ABS(H340),8)&gt;$F$6,FALSE),"Las líneas difieren del total en más de 0,01; confirmamos cantidad o exclusión."&amp;CHAR(10),"")&amp;IF(P340&gt;0,"Parece m³: encontramos tres dimensiones bajo m²."&amp;CHAR(10),"")&amp;IF(R340&gt;0,"Código repetido dentro del capítulo; mantenemos sus ID separados."&amp;CHAR(10),"")&amp;IF(S340&gt;0,"Código repetido en otro capítulo; no unimos las partidas."&amp;CHAR(10),"")&amp;IF(T340&gt;0,"Mismo código con unidades distintas; pedimos aclaración."&amp;CHAR(10),"")&amp;IF(Q340&gt;0,"Hay más precisión que los decimales indicados; cotejamos el formato original."&amp;CHAR(10),"")&amp;IF(U340&gt;0,"Unidad sin normalizar; cotejamos su significado antes de sumar unidades."&amp;CHAR(10),"")&amp;IF(V340&gt;0,"Revisamos dimensiones, cantidades directas, ceros o deducciones en PEGAR."&amp;CHAR(10),"")))</f>
      </c>
      <c r="K340" s="0">
        <f>IF(328&gt;'RESUMEN'!$E$6,"",MATCH(328,'PEGAR'!$W$13:$W$512,0))</f>
      </c>
      <c r="L340" s="0">
        <f>IF(K340="","",INDEX('PEGAR'!$R$13:$R$512,K340))</f>
      </c>
      <c r="M340" s="0">
        <f>IF(B340="","",COUNTIFS('PEGAR'!$O$13:$O$512,B340,'PEGAR'!$P$13:$P$512,"DIMENSIONES")+COUNTIFS('PEGAR'!$O$13:$O$512,B340,'PEGAR'!$P$13:$P$512,"DIRECTA"))</f>
      </c>
      <c r="N340" s="0">
        <f>IF(B340="","",COUNTIFS('PEGAR'!$O$13:$O$512,B340,'PEGAR'!$X$13:$X$512,2))</f>
      </c>
      <c r="O340" s="0">
        <f>IF(B340="","",COUNTIFS('PEGAR'!$O$13:$O$512,B340,'PEGAR'!$P$13:$P$512,"SIN LÍNEAS"))</f>
      </c>
      <c r="P340" s="0">
        <f>IF(B340="","",SUMIFS('PEGAR'!$Y$13:$Y$512,'PEGAR'!$O$13:$O$512,B340))</f>
      </c>
      <c r="Q340" s="0">
        <f>IF(B340="","",SUMIFS('PEGAR'!$Z$13:$Z$512,'PEGAR'!$O$13:$O$512,B340))</f>
      </c>
      <c r="R340" s="0" t="n">
        <f>IF(OR(B340="",D340=""),0,SUMPRODUCT(--($B$13:$B$512&lt;&gt;""),--($D$13:$D$512=D340),--($C$13:$C$512=C340))-1)</f>
        <v>0</v>
      </c>
      <c r="S340" s="0" t="n">
        <f>IF(OR(B340="",D340=""),0,SUMPRODUCT(--($B$13:$B$512&lt;&gt;""),--($D$13:$D$512=D340),--($C$13:$C$512&lt;&gt;C340)))</f>
        <v>0</v>
      </c>
      <c r="T340" s="0" t="n">
        <f>IF(OR(B340="",D340=""),0,SUMPRODUCT(--($B$13:$B$512&lt;&gt;""),--($D$13:$D$512=D340),--($E$13:$E$512&lt;&gt;E340)))</f>
        <v>0</v>
      </c>
      <c r="U340" s="0" t="n">
        <f>IF(B340="",0,IF(SUMPRODUCT(--('LÉEME'!$C$65:$C$86=E340))=0,1,0))</f>
        <v>0</v>
      </c>
      <c r="V340" s="0">
        <f>IF(B340="","",SUMIFS('PEGAR'!$AA$13:$AA$512,'PEGAR'!$O$13:$O$512,B340))</f>
      </c>
      <c r="W340" s="0">
        <f>IF(B340="","",IF(OR(L340=0,N340&gt;0,T340&gt;0,IF(ISNUMBER(H340),ROUND(ABS(H340),8)&gt;$F$6,FALSE)),2,IF(OR(M340=0,O340&gt;0,P340&gt;0,Q340&gt;0,R340&gt;0,S340&gt;0,U340&gt;0,V340&gt;0),1,0)))</f>
      </c>
      <c r="X340" s="0">
        <f>IF(B340="","",IF(ISNUMBER(G340),1,0))</f>
      </c>
      <c r="AB340" s="0">
        <f>IF(AND(ISNUMBER(W340),W340&gt;0),"ID "&amp;B340,"")</f>
      </c>
      <c r="AC340" s="0">
        <f>IF(AND(ISNUMBER(W340),W340&gt;0),C340,"")</f>
      </c>
      <c r="AD340" s="0">
        <f>IF(AND(ISNUMBER(W340),W340&gt;0),D340,"")</f>
      </c>
      <c r="AE340" s="0">
        <f>IF(AND(ISNUMBER(W340),W340&gt;0),IF(INDEX('PEGAR'!$D$13:$D$512,IF(L340&gt;0,L340,K340))="","Sin descripción",INDEX('PEGAR'!$D$13:$D$512,IF(L340&gt;0,L340,K340))),"")</f>
      </c>
      <c r="AF340" s="0">
        <f>IF(AND(ISNUMBER(W340),W340&gt;0),J340,"")</f>
      </c>
      <c r="AG340" s="0" t="n">
        <f>IF(AND(ISNUMBER(W340),W340&gt;0),W340,0)</f>
        <v>0</v>
      </c>
      <c r="AH340" s="0">
        <f>IF(AG340&gt;0,COUNTIFS($AG$13:AG340,"&gt;0"),"")</f>
      </c>
    </row>
    <row r="341" ht="22" customHeight="1">
      <c r="B341" s="27">
        <f>IF(K341="","",INDEX('PEGAR'!$O$13:$O$512,K341))</f>
      </c>
      <c r="C341" s="30">
        <f>IF(B341="","",IF(LEN(TRIM(INDEX('PEGAR'!$B$13:$B$512,IF(L341&gt;0,L341,K341))&amp;""))=0,"Sin capítulo",TRIM(INDEX('PEGAR'!$B$13:$B$512,IF(L341&gt;0,L341,K341))&amp;"")))</f>
      </c>
      <c r="D341" s="27">
        <f>IF(B341="","",IF(LEN(TRIM(INDEX('PEGAR'!$C$13:$C$512,IF(L341&gt;0,L341,K341))&amp;""))=0,"",TRIM(INDEX('PEGAR'!$C$13:$C$512,IF(L341&gt;0,L341,K341))&amp;"")))</f>
      </c>
      <c r="E341" s="27">
        <f>IF(B341="","",INDEX('PEGAR'!$S$13:$S$512,IF(L341&gt;0,L341,K341)))</f>
      </c>
      <c r="F341" s="39">
        <f>IF(B341="","",IF(L341&gt;0,INDEX('PEGAR'!$F$13:$F$512,L341),""))</f>
      </c>
      <c r="G341" s="39">
        <f>IF(B341="","",IF(OR(M341=0,N341&gt;0,O341&gt;0),"",SUMIFS('PEGAR'!$M$13:$M$512,'PEGAR'!$O$13:$O$512,B341)))</f>
      </c>
      <c r="H341" s="39">
        <f>IF(AND(ISNUMBER(F341),ISNUMBER(G341)),G341-F341,"")</f>
      </c>
      <c r="I341" s="27">
        <f>IF(B341="","",IF(W341=2,"ROJO",IF(W341=1,"ÁMBAR","VERDE")))</f>
      </c>
      <c r="J341" s="30">
        <f>IF(B341="","",IF(W341=0,"Sin avisos numéricos. Revisamos el alcance aparte.",IF(L341=0,"Faltan datos completos de partida; no elegimos un total por suposición."&amp;CHAR(10),"")&amp;IF(N341&gt;0,"Hay filas incompletas o contradictorias; las revisamos en PEGAR."&amp;CHAR(10),"")&amp;IF(O341&gt;0,"Faltan las medidas de alguna fila; no cerramos la suma."&amp;CHAR(10),"")&amp;IF(M341=0,"No constan líneas de medición."&amp;CHAR(10),"")&amp;IF(IF(ISNUMBER(H341),ROUND(ABS(H341),8)&gt;$F$6,FALSE),"Las líneas difieren del total en más de 0,01; confirmamos cantidad o exclusión."&amp;CHAR(10),"")&amp;IF(P341&gt;0,"Parece m³: encontramos tres dimensiones bajo m²."&amp;CHAR(10),"")&amp;IF(R341&gt;0,"Código repetido dentro del capítulo; mantenemos sus ID separados."&amp;CHAR(10),"")&amp;IF(S341&gt;0,"Código repetido en otro capítulo; no unimos las partidas."&amp;CHAR(10),"")&amp;IF(T341&gt;0,"Mismo código con unidades distintas; pedimos aclaración."&amp;CHAR(10),"")&amp;IF(Q341&gt;0,"Hay más precisión que los decimales indicados; cotejamos el formato original."&amp;CHAR(10),"")&amp;IF(U341&gt;0,"Unidad sin normalizar; cotejamos su significado antes de sumar unidades."&amp;CHAR(10),"")&amp;IF(V341&gt;0,"Revisamos dimensiones, cantidades directas, ceros o deducciones en PEGAR."&amp;CHAR(10),"")))</f>
      </c>
      <c r="K341" s="0">
        <f>IF(329&gt;'RESUMEN'!$E$6,"",MATCH(329,'PEGAR'!$W$13:$W$512,0))</f>
      </c>
      <c r="L341" s="0">
        <f>IF(K341="","",INDEX('PEGAR'!$R$13:$R$512,K341))</f>
      </c>
      <c r="M341" s="0">
        <f>IF(B341="","",COUNTIFS('PEGAR'!$O$13:$O$512,B341,'PEGAR'!$P$13:$P$512,"DIMENSIONES")+COUNTIFS('PEGAR'!$O$13:$O$512,B341,'PEGAR'!$P$13:$P$512,"DIRECTA"))</f>
      </c>
      <c r="N341" s="0">
        <f>IF(B341="","",COUNTIFS('PEGAR'!$O$13:$O$512,B341,'PEGAR'!$X$13:$X$512,2))</f>
      </c>
      <c r="O341" s="0">
        <f>IF(B341="","",COUNTIFS('PEGAR'!$O$13:$O$512,B341,'PEGAR'!$P$13:$P$512,"SIN LÍNEAS"))</f>
      </c>
      <c r="P341" s="0">
        <f>IF(B341="","",SUMIFS('PEGAR'!$Y$13:$Y$512,'PEGAR'!$O$13:$O$512,B341))</f>
      </c>
      <c r="Q341" s="0">
        <f>IF(B341="","",SUMIFS('PEGAR'!$Z$13:$Z$512,'PEGAR'!$O$13:$O$512,B341))</f>
      </c>
      <c r="R341" s="0" t="n">
        <f>IF(OR(B341="",D341=""),0,SUMPRODUCT(--($B$13:$B$512&lt;&gt;""),--($D$13:$D$512=D341),--($C$13:$C$512=C341))-1)</f>
        <v>0</v>
      </c>
      <c r="S341" s="0" t="n">
        <f>IF(OR(B341="",D341=""),0,SUMPRODUCT(--($B$13:$B$512&lt;&gt;""),--($D$13:$D$512=D341),--($C$13:$C$512&lt;&gt;C341)))</f>
        <v>0</v>
      </c>
      <c r="T341" s="0" t="n">
        <f>IF(OR(B341="",D341=""),0,SUMPRODUCT(--($B$13:$B$512&lt;&gt;""),--($D$13:$D$512=D341),--($E$13:$E$512&lt;&gt;E341)))</f>
        <v>0</v>
      </c>
      <c r="U341" s="0" t="n">
        <f>IF(B341="",0,IF(SUMPRODUCT(--('LÉEME'!$C$65:$C$86=E341))=0,1,0))</f>
        <v>0</v>
      </c>
      <c r="V341" s="0">
        <f>IF(B341="","",SUMIFS('PEGAR'!$AA$13:$AA$512,'PEGAR'!$O$13:$O$512,B341))</f>
      </c>
      <c r="W341" s="0">
        <f>IF(B341="","",IF(OR(L341=0,N341&gt;0,T341&gt;0,IF(ISNUMBER(H341),ROUND(ABS(H341),8)&gt;$F$6,FALSE)),2,IF(OR(M341=0,O341&gt;0,P341&gt;0,Q341&gt;0,R341&gt;0,S341&gt;0,U341&gt;0,V341&gt;0),1,0)))</f>
      </c>
      <c r="X341" s="0">
        <f>IF(B341="","",IF(ISNUMBER(G341),1,0))</f>
      </c>
      <c r="AB341" s="0">
        <f>IF(AND(ISNUMBER(W341),W341&gt;0),"ID "&amp;B341,"")</f>
      </c>
      <c r="AC341" s="0">
        <f>IF(AND(ISNUMBER(W341),W341&gt;0),C341,"")</f>
      </c>
      <c r="AD341" s="0">
        <f>IF(AND(ISNUMBER(W341),W341&gt;0),D341,"")</f>
      </c>
      <c r="AE341" s="0">
        <f>IF(AND(ISNUMBER(W341),W341&gt;0),IF(INDEX('PEGAR'!$D$13:$D$512,IF(L341&gt;0,L341,K341))="","Sin descripción",INDEX('PEGAR'!$D$13:$D$512,IF(L341&gt;0,L341,K341))),"")</f>
      </c>
      <c r="AF341" s="0">
        <f>IF(AND(ISNUMBER(W341),W341&gt;0),J341,"")</f>
      </c>
      <c r="AG341" s="0" t="n">
        <f>IF(AND(ISNUMBER(W341),W341&gt;0),W341,0)</f>
        <v>0</v>
      </c>
      <c r="AH341" s="0">
        <f>IF(AG341&gt;0,COUNTIFS($AG$13:AG341,"&gt;0"),"")</f>
      </c>
    </row>
    <row r="342" ht="22" customHeight="1">
      <c r="B342" s="27">
        <f>IF(K342="","",INDEX('PEGAR'!$O$13:$O$512,K342))</f>
      </c>
      <c r="C342" s="30">
        <f>IF(B342="","",IF(LEN(TRIM(INDEX('PEGAR'!$B$13:$B$512,IF(L342&gt;0,L342,K342))&amp;""))=0,"Sin capítulo",TRIM(INDEX('PEGAR'!$B$13:$B$512,IF(L342&gt;0,L342,K342))&amp;"")))</f>
      </c>
      <c r="D342" s="27">
        <f>IF(B342="","",IF(LEN(TRIM(INDEX('PEGAR'!$C$13:$C$512,IF(L342&gt;0,L342,K342))&amp;""))=0,"",TRIM(INDEX('PEGAR'!$C$13:$C$512,IF(L342&gt;0,L342,K342))&amp;"")))</f>
      </c>
      <c r="E342" s="27">
        <f>IF(B342="","",INDEX('PEGAR'!$S$13:$S$512,IF(L342&gt;0,L342,K342)))</f>
      </c>
      <c r="F342" s="39">
        <f>IF(B342="","",IF(L342&gt;0,INDEX('PEGAR'!$F$13:$F$512,L342),""))</f>
      </c>
      <c r="G342" s="39">
        <f>IF(B342="","",IF(OR(M342=0,N342&gt;0,O342&gt;0),"",SUMIFS('PEGAR'!$M$13:$M$512,'PEGAR'!$O$13:$O$512,B342)))</f>
      </c>
      <c r="H342" s="39">
        <f>IF(AND(ISNUMBER(F342),ISNUMBER(G342)),G342-F342,"")</f>
      </c>
      <c r="I342" s="27">
        <f>IF(B342="","",IF(W342=2,"ROJO",IF(W342=1,"ÁMBAR","VERDE")))</f>
      </c>
      <c r="J342" s="30">
        <f>IF(B342="","",IF(W342=0,"Sin avisos numéricos. Revisamos el alcance aparte.",IF(L342=0,"Faltan datos completos de partida; no elegimos un total por suposición."&amp;CHAR(10),"")&amp;IF(N342&gt;0,"Hay filas incompletas o contradictorias; las revisamos en PEGAR."&amp;CHAR(10),"")&amp;IF(O342&gt;0,"Faltan las medidas de alguna fila; no cerramos la suma."&amp;CHAR(10),"")&amp;IF(M342=0,"No constan líneas de medición."&amp;CHAR(10),"")&amp;IF(IF(ISNUMBER(H342),ROUND(ABS(H342),8)&gt;$F$6,FALSE),"Las líneas difieren del total en más de 0,01; confirmamos cantidad o exclusión."&amp;CHAR(10),"")&amp;IF(P342&gt;0,"Parece m³: encontramos tres dimensiones bajo m²."&amp;CHAR(10),"")&amp;IF(R342&gt;0,"Código repetido dentro del capítulo; mantenemos sus ID separados."&amp;CHAR(10),"")&amp;IF(S342&gt;0,"Código repetido en otro capítulo; no unimos las partidas."&amp;CHAR(10),"")&amp;IF(T342&gt;0,"Mismo código con unidades distintas; pedimos aclaración."&amp;CHAR(10),"")&amp;IF(Q342&gt;0,"Hay más precisión que los decimales indicados; cotejamos el formato original."&amp;CHAR(10),"")&amp;IF(U342&gt;0,"Unidad sin normalizar; cotejamos su significado antes de sumar unidades."&amp;CHAR(10),"")&amp;IF(V342&gt;0,"Revisamos dimensiones, cantidades directas, ceros o deducciones en PEGAR."&amp;CHAR(10),"")))</f>
      </c>
      <c r="K342" s="0">
        <f>IF(330&gt;'RESUMEN'!$E$6,"",MATCH(330,'PEGAR'!$W$13:$W$512,0))</f>
      </c>
      <c r="L342" s="0">
        <f>IF(K342="","",INDEX('PEGAR'!$R$13:$R$512,K342))</f>
      </c>
      <c r="M342" s="0">
        <f>IF(B342="","",COUNTIFS('PEGAR'!$O$13:$O$512,B342,'PEGAR'!$P$13:$P$512,"DIMENSIONES")+COUNTIFS('PEGAR'!$O$13:$O$512,B342,'PEGAR'!$P$13:$P$512,"DIRECTA"))</f>
      </c>
      <c r="N342" s="0">
        <f>IF(B342="","",COUNTIFS('PEGAR'!$O$13:$O$512,B342,'PEGAR'!$X$13:$X$512,2))</f>
      </c>
      <c r="O342" s="0">
        <f>IF(B342="","",COUNTIFS('PEGAR'!$O$13:$O$512,B342,'PEGAR'!$P$13:$P$512,"SIN LÍNEAS"))</f>
      </c>
      <c r="P342" s="0">
        <f>IF(B342="","",SUMIFS('PEGAR'!$Y$13:$Y$512,'PEGAR'!$O$13:$O$512,B342))</f>
      </c>
      <c r="Q342" s="0">
        <f>IF(B342="","",SUMIFS('PEGAR'!$Z$13:$Z$512,'PEGAR'!$O$13:$O$512,B342))</f>
      </c>
      <c r="R342" s="0" t="n">
        <f>IF(OR(B342="",D342=""),0,SUMPRODUCT(--($B$13:$B$512&lt;&gt;""),--($D$13:$D$512=D342),--($C$13:$C$512=C342))-1)</f>
        <v>0</v>
      </c>
      <c r="S342" s="0" t="n">
        <f>IF(OR(B342="",D342=""),0,SUMPRODUCT(--($B$13:$B$512&lt;&gt;""),--($D$13:$D$512=D342),--($C$13:$C$512&lt;&gt;C342)))</f>
        <v>0</v>
      </c>
      <c r="T342" s="0" t="n">
        <f>IF(OR(B342="",D342=""),0,SUMPRODUCT(--($B$13:$B$512&lt;&gt;""),--($D$13:$D$512=D342),--($E$13:$E$512&lt;&gt;E342)))</f>
        <v>0</v>
      </c>
      <c r="U342" s="0" t="n">
        <f>IF(B342="",0,IF(SUMPRODUCT(--('LÉEME'!$C$65:$C$86=E342))=0,1,0))</f>
        <v>0</v>
      </c>
      <c r="V342" s="0">
        <f>IF(B342="","",SUMIFS('PEGAR'!$AA$13:$AA$512,'PEGAR'!$O$13:$O$512,B342))</f>
      </c>
      <c r="W342" s="0">
        <f>IF(B342="","",IF(OR(L342=0,N342&gt;0,T342&gt;0,IF(ISNUMBER(H342),ROUND(ABS(H342),8)&gt;$F$6,FALSE)),2,IF(OR(M342=0,O342&gt;0,P342&gt;0,Q342&gt;0,R342&gt;0,S342&gt;0,U342&gt;0,V342&gt;0),1,0)))</f>
      </c>
      <c r="X342" s="0">
        <f>IF(B342="","",IF(ISNUMBER(G342),1,0))</f>
      </c>
      <c r="AB342" s="0">
        <f>IF(AND(ISNUMBER(W342),W342&gt;0),"ID "&amp;B342,"")</f>
      </c>
      <c r="AC342" s="0">
        <f>IF(AND(ISNUMBER(W342),W342&gt;0),C342,"")</f>
      </c>
      <c r="AD342" s="0">
        <f>IF(AND(ISNUMBER(W342),W342&gt;0),D342,"")</f>
      </c>
      <c r="AE342" s="0">
        <f>IF(AND(ISNUMBER(W342),W342&gt;0),IF(INDEX('PEGAR'!$D$13:$D$512,IF(L342&gt;0,L342,K342))="","Sin descripción",INDEX('PEGAR'!$D$13:$D$512,IF(L342&gt;0,L342,K342))),"")</f>
      </c>
      <c r="AF342" s="0">
        <f>IF(AND(ISNUMBER(W342),W342&gt;0),J342,"")</f>
      </c>
      <c r="AG342" s="0" t="n">
        <f>IF(AND(ISNUMBER(W342),W342&gt;0),W342,0)</f>
        <v>0</v>
      </c>
      <c r="AH342" s="0">
        <f>IF(AG342&gt;0,COUNTIFS($AG$13:AG342,"&gt;0"),"")</f>
      </c>
    </row>
    <row r="343" ht="22" customHeight="1">
      <c r="B343" s="27">
        <f>IF(K343="","",INDEX('PEGAR'!$O$13:$O$512,K343))</f>
      </c>
      <c r="C343" s="30">
        <f>IF(B343="","",IF(LEN(TRIM(INDEX('PEGAR'!$B$13:$B$512,IF(L343&gt;0,L343,K343))&amp;""))=0,"Sin capítulo",TRIM(INDEX('PEGAR'!$B$13:$B$512,IF(L343&gt;0,L343,K343))&amp;"")))</f>
      </c>
      <c r="D343" s="27">
        <f>IF(B343="","",IF(LEN(TRIM(INDEX('PEGAR'!$C$13:$C$512,IF(L343&gt;0,L343,K343))&amp;""))=0,"",TRIM(INDEX('PEGAR'!$C$13:$C$512,IF(L343&gt;0,L343,K343))&amp;"")))</f>
      </c>
      <c r="E343" s="27">
        <f>IF(B343="","",INDEX('PEGAR'!$S$13:$S$512,IF(L343&gt;0,L343,K343)))</f>
      </c>
      <c r="F343" s="39">
        <f>IF(B343="","",IF(L343&gt;0,INDEX('PEGAR'!$F$13:$F$512,L343),""))</f>
      </c>
      <c r="G343" s="39">
        <f>IF(B343="","",IF(OR(M343=0,N343&gt;0,O343&gt;0),"",SUMIFS('PEGAR'!$M$13:$M$512,'PEGAR'!$O$13:$O$512,B343)))</f>
      </c>
      <c r="H343" s="39">
        <f>IF(AND(ISNUMBER(F343),ISNUMBER(G343)),G343-F343,"")</f>
      </c>
      <c r="I343" s="27">
        <f>IF(B343="","",IF(W343=2,"ROJO",IF(W343=1,"ÁMBAR","VERDE")))</f>
      </c>
      <c r="J343" s="30">
        <f>IF(B343="","",IF(W343=0,"Sin avisos numéricos. Revisamos el alcance aparte.",IF(L343=0,"Faltan datos completos de partida; no elegimos un total por suposición."&amp;CHAR(10),"")&amp;IF(N343&gt;0,"Hay filas incompletas o contradictorias; las revisamos en PEGAR."&amp;CHAR(10),"")&amp;IF(O343&gt;0,"Faltan las medidas de alguna fila; no cerramos la suma."&amp;CHAR(10),"")&amp;IF(M343=0,"No constan líneas de medición."&amp;CHAR(10),"")&amp;IF(IF(ISNUMBER(H343),ROUND(ABS(H343),8)&gt;$F$6,FALSE),"Las líneas difieren del total en más de 0,01; confirmamos cantidad o exclusión."&amp;CHAR(10),"")&amp;IF(P343&gt;0,"Parece m³: encontramos tres dimensiones bajo m²."&amp;CHAR(10),"")&amp;IF(R343&gt;0,"Código repetido dentro del capítulo; mantenemos sus ID separados."&amp;CHAR(10),"")&amp;IF(S343&gt;0,"Código repetido en otro capítulo; no unimos las partidas."&amp;CHAR(10),"")&amp;IF(T343&gt;0,"Mismo código con unidades distintas; pedimos aclaración."&amp;CHAR(10),"")&amp;IF(Q343&gt;0,"Hay más precisión que los decimales indicados; cotejamos el formato original."&amp;CHAR(10),"")&amp;IF(U343&gt;0,"Unidad sin normalizar; cotejamos su significado antes de sumar unidades."&amp;CHAR(10),"")&amp;IF(V343&gt;0,"Revisamos dimensiones, cantidades directas, ceros o deducciones en PEGAR."&amp;CHAR(10),"")))</f>
      </c>
      <c r="K343" s="0">
        <f>IF(331&gt;'RESUMEN'!$E$6,"",MATCH(331,'PEGAR'!$W$13:$W$512,0))</f>
      </c>
      <c r="L343" s="0">
        <f>IF(K343="","",INDEX('PEGAR'!$R$13:$R$512,K343))</f>
      </c>
      <c r="M343" s="0">
        <f>IF(B343="","",COUNTIFS('PEGAR'!$O$13:$O$512,B343,'PEGAR'!$P$13:$P$512,"DIMENSIONES")+COUNTIFS('PEGAR'!$O$13:$O$512,B343,'PEGAR'!$P$13:$P$512,"DIRECTA"))</f>
      </c>
      <c r="N343" s="0">
        <f>IF(B343="","",COUNTIFS('PEGAR'!$O$13:$O$512,B343,'PEGAR'!$X$13:$X$512,2))</f>
      </c>
      <c r="O343" s="0">
        <f>IF(B343="","",COUNTIFS('PEGAR'!$O$13:$O$512,B343,'PEGAR'!$P$13:$P$512,"SIN LÍNEAS"))</f>
      </c>
      <c r="P343" s="0">
        <f>IF(B343="","",SUMIFS('PEGAR'!$Y$13:$Y$512,'PEGAR'!$O$13:$O$512,B343))</f>
      </c>
      <c r="Q343" s="0">
        <f>IF(B343="","",SUMIFS('PEGAR'!$Z$13:$Z$512,'PEGAR'!$O$13:$O$512,B343))</f>
      </c>
      <c r="R343" s="0" t="n">
        <f>IF(OR(B343="",D343=""),0,SUMPRODUCT(--($B$13:$B$512&lt;&gt;""),--($D$13:$D$512=D343),--($C$13:$C$512=C343))-1)</f>
        <v>0</v>
      </c>
      <c r="S343" s="0" t="n">
        <f>IF(OR(B343="",D343=""),0,SUMPRODUCT(--($B$13:$B$512&lt;&gt;""),--($D$13:$D$512=D343),--($C$13:$C$512&lt;&gt;C343)))</f>
        <v>0</v>
      </c>
      <c r="T343" s="0" t="n">
        <f>IF(OR(B343="",D343=""),0,SUMPRODUCT(--($B$13:$B$512&lt;&gt;""),--($D$13:$D$512=D343),--($E$13:$E$512&lt;&gt;E343)))</f>
        <v>0</v>
      </c>
      <c r="U343" s="0" t="n">
        <f>IF(B343="",0,IF(SUMPRODUCT(--('LÉEME'!$C$65:$C$86=E343))=0,1,0))</f>
        <v>0</v>
      </c>
      <c r="V343" s="0">
        <f>IF(B343="","",SUMIFS('PEGAR'!$AA$13:$AA$512,'PEGAR'!$O$13:$O$512,B343))</f>
      </c>
      <c r="W343" s="0">
        <f>IF(B343="","",IF(OR(L343=0,N343&gt;0,T343&gt;0,IF(ISNUMBER(H343),ROUND(ABS(H343),8)&gt;$F$6,FALSE)),2,IF(OR(M343=0,O343&gt;0,P343&gt;0,Q343&gt;0,R343&gt;0,S343&gt;0,U343&gt;0,V343&gt;0),1,0)))</f>
      </c>
      <c r="X343" s="0">
        <f>IF(B343="","",IF(ISNUMBER(G343),1,0))</f>
      </c>
      <c r="AB343" s="0">
        <f>IF(AND(ISNUMBER(W343),W343&gt;0),"ID "&amp;B343,"")</f>
      </c>
      <c r="AC343" s="0">
        <f>IF(AND(ISNUMBER(W343),W343&gt;0),C343,"")</f>
      </c>
      <c r="AD343" s="0">
        <f>IF(AND(ISNUMBER(W343),W343&gt;0),D343,"")</f>
      </c>
      <c r="AE343" s="0">
        <f>IF(AND(ISNUMBER(W343),W343&gt;0),IF(INDEX('PEGAR'!$D$13:$D$512,IF(L343&gt;0,L343,K343))="","Sin descripción",INDEX('PEGAR'!$D$13:$D$512,IF(L343&gt;0,L343,K343))),"")</f>
      </c>
      <c r="AF343" s="0">
        <f>IF(AND(ISNUMBER(W343),W343&gt;0),J343,"")</f>
      </c>
      <c r="AG343" s="0" t="n">
        <f>IF(AND(ISNUMBER(W343),W343&gt;0),W343,0)</f>
        <v>0</v>
      </c>
      <c r="AH343" s="0">
        <f>IF(AG343&gt;0,COUNTIFS($AG$13:AG343,"&gt;0"),"")</f>
      </c>
    </row>
    <row r="344" ht="22" customHeight="1">
      <c r="B344" s="27">
        <f>IF(K344="","",INDEX('PEGAR'!$O$13:$O$512,K344))</f>
      </c>
      <c r="C344" s="30">
        <f>IF(B344="","",IF(LEN(TRIM(INDEX('PEGAR'!$B$13:$B$512,IF(L344&gt;0,L344,K344))&amp;""))=0,"Sin capítulo",TRIM(INDEX('PEGAR'!$B$13:$B$512,IF(L344&gt;0,L344,K344))&amp;"")))</f>
      </c>
      <c r="D344" s="27">
        <f>IF(B344="","",IF(LEN(TRIM(INDEX('PEGAR'!$C$13:$C$512,IF(L344&gt;0,L344,K344))&amp;""))=0,"",TRIM(INDEX('PEGAR'!$C$13:$C$512,IF(L344&gt;0,L344,K344))&amp;"")))</f>
      </c>
      <c r="E344" s="27">
        <f>IF(B344="","",INDEX('PEGAR'!$S$13:$S$512,IF(L344&gt;0,L344,K344)))</f>
      </c>
      <c r="F344" s="39">
        <f>IF(B344="","",IF(L344&gt;0,INDEX('PEGAR'!$F$13:$F$512,L344),""))</f>
      </c>
      <c r="G344" s="39">
        <f>IF(B344="","",IF(OR(M344=0,N344&gt;0,O344&gt;0),"",SUMIFS('PEGAR'!$M$13:$M$512,'PEGAR'!$O$13:$O$512,B344)))</f>
      </c>
      <c r="H344" s="39">
        <f>IF(AND(ISNUMBER(F344),ISNUMBER(G344)),G344-F344,"")</f>
      </c>
      <c r="I344" s="27">
        <f>IF(B344="","",IF(W344=2,"ROJO",IF(W344=1,"ÁMBAR","VERDE")))</f>
      </c>
      <c r="J344" s="30">
        <f>IF(B344="","",IF(W344=0,"Sin avisos numéricos. Revisamos el alcance aparte.",IF(L344=0,"Faltan datos completos de partida; no elegimos un total por suposición."&amp;CHAR(10),"")&amp;IF(N344&gt;0,"Hay filas incompletas o contradictorias; las revisamos en PEGAR."&amp;CHAR(10),"")&amp;IF(O344&gt;0,"Faltan las medidas de alguna fila; no cerramos la suma."&amp;CHAR(10),"")&amp;IF(M344=0,"No constan líneas de medición."&amp;CHAR(10),"")&amp;IF(IF(ISNUMBER(H344),ROUND(ABS(H344),8)&gt;$F$6,FALSE),"Las líneas difieren del total en más de 0,01; confirmamos cantidad o exclusión."&amp;CHAR(10),"")&amp;IF(P344&gt;0,"Parece m³: encontramos tres dimensiones bajo m²."&amp;CHAR(10),"")&amp;IF(R344&gt;0,"Código repetido dentro del capítulo; mantenemos sus ID separados."&amp;CHAR(10),"")&amp;IF(S344&gt;0,"Código repetido en otro capítulo; no unimos las partidas."&amp;CHAR(10),"")&amp;IF(T344&gt;0,"Mismo código con unidades distintas; pedimos aclaración."&amp;CHAR(10),"")&amp;IF(Q344&gt;0,"Hay más precisión que los decimales indicados; cotejamos el formato original."&amp;CHAR(10),"")&amp;IF(U344&gt;0,"Unidad sin normalizar; cotejamos su significado antes de sumar unidades."&amp;CHAR(10),"")&amp;IF(V344&gt;0,"Revisamos dimensiones, cantidades directas, ceros o deducciones en PEGAR."&amp;CHAR(10),"")))</f>
      </c>
      <c r="K344" s="0">
        <f>IF(332&gt;'RESUMEN'!$E$6,"",MATCH(332,'PEGAR'!$W$13:$W$512,0))</f>
      </c>
      <c r="L344" s="0">
        <f>IF(K344="","",INDEX('PEGAR'!$R$13:$R$512,K344))</f>
      </c>
      <c r="M344" s="0">
        <f>IF(B344="","",COUNTIFS('PEGAR'!$O$13:$O$512,B344,'PEGAR'!$P$13:$P$512,"DIMENSIONES")+COUNTIFS('PEGAR'!$O$13:$O$512,B344,'PEGAR'!$P$13:$P$512,"DIRECTA"))</f>
      </c>
      <c r="N344" s="0">
        <f>IF(B344="","",COUNTIFS('PEGAR'!$O$13:$O$512,B344,'PEGAR'!$X$13:$X$512,2))</f>
      </c>
      <c r="O344" s="0">
        <f>IF(B344="","",COUNTIFS('PEGAR'!$O$13:$O$512,B344,'PEGAR'!$P$13:$P$512,"SIN LÍNEAS"))</f>
      </c>
      <c r="P344" s="0">
        <f>IF(B344="","",SUMIFS('PEGAR'!$Y$13:$Y$512,'PEGAR'!$O$13:$O$512,B344))</f>
      </c>
      <c r="Q344" s="0">
        <f>IF(B344="","",SUMIFS('PEGAR'!$Z$13:$Z$512,'PEGAR'!$O$13:$O$512,B344))</f>
      </c>
      <c r="R344" s="0" t="n">
        <f>IF(OR(B344="",D344=""),0,SUMPRODUCT(--($B$13:$B$512&lt;&gt;""),--($D$13:$D$512=D344),--($C$13:$C$512=C344))-1)</f>
        <v>0</v>
      </c>
      <c r="S344" s="0" t="n">
        <f>IF(OR(B344="",D344=""),0,SUMPRODUCT(--($B$13:$B$512&lt;&gt;""),--($D$13:$D$512=D344),--($C$13:$C$512&lt;&gt;C344)))</f>
        <v>0</v>
      </c>
      <c r="T344" s="0" t="n">
        <f>IF(OR(B344="",D344=""),0,SUMPRODUCT(--($B$13:$B$512&lt;&gt;""),--($D$13:$D$512=D344),--($E$13:$E$512&lt;&gt;E344)))</f>
        <v>0</v>
      </c>
      <c r="U344" s="0" t="n">
        <f>IF(B344="",0,IF(SUMPRODUCT(--('LÉEME'!$C$65:$C$86=E344))=0,1,0))</f>
        <v>0</v>
      </c>
      <c r="V344" s="0">
        <f>IF(B344="","",SUMIFS('PEGAR'!$AA$13:$AA$512,'PEGAR'!$O$13:$O$512,B344))</f>
      </c>
      <c r="W344" s="0">
        <f>IF(B344="","",IF(OR(L344=0,N344&gt;0,T344&gt;0,IF(ISNUMBER(H344),ROUND(ABS(H344),8)&gt;$F$6,FALSE)),2,IF(OR(M344=0,O344&gt;0,P344&gt;0,Q344&gt;0,R344&gt;0,S344&gt;0,U344&gt;0,V344&gt;0),1,0)))</f>
      </c>
      <c r="X344" s="0">
        <f>IF(B344="","",IF(ISNUMBER(G344),1,0))</f>
      </c>
      <c r="AB344" s="0">
        <f>IF(AND(ISNUMBER(W344),W344&gt;0),"ID "&amp;B344,"")</f>
      </c>
      <c r="AC344" s="0">
        <f>IF(AND(ISNUMBER(W344),W344&gt;0),C344,"")</f>
      </c>
      <c r="AD344" s="0">
        <f>IF(AND(ISNUMBER(W344),W344&gt;0),D344,"")</f>
      </c>
      <c r="AE344" s="0">
        <f>IF(AND(ISNUMBER(W344),W344&gt;0),IF(INDEX('PEGAR'!$D$13:$D$512,IF(L344&gt;0,L344,K344))="","Sin descripción",INDEX('PEGAR'!$D$13:$D$512,IF(L344&gt;0,L344,K344))),"")</f>
      </c>
      <c r="AF344" s="0">
        <f>IF(AND(ISNUMBER(W344),W344&gt;0),J344,"")</f>
      </c>
      <c r="AG344" s="0" t="n">
        <f>IF(AND(ISNUMBER(W344),W344&gt;0),W344,0)</f>
        <v>0</v>
      </c>
      <c r="AH344" s="0">
        <f>IF(AG344&gt;0,COUNTIFS($AG$13:AG344,"&gt;0"),"")</f>
      </c>
    </row>
    <row r="345" ht="22" customHeight="1">
      <c r="B345" s="27">
        <f>IF(K345="","",INDEX('PEGAR'!$O$13:$O$512,K345))</f>
      </c>
      <c r="C345" s="30">
        <f>IF(B345="","",IF(LEN(TRIM(INDEX('PEGAR'!$B$13:$B$512,IF(L345&gt;0,L345,K345))&amp;""))=0,"Sin capítulo",TRIM(INDEX('PEGAR'!$B$13:$B$512,IF(L345&gt;0,L345,K345))&amp;"")))</f>
      </c>
      <c r="D345" s="27">
        <f>IF(B345="","",IF(LEN(TRIM(INDEX('PEGAR'!$C$13:$C$512,IF(L345&gt;0,L345,K345))&amp;""))=0,"",TRIM(INDEX('PEGAR'!$C$13:$C$512,IF(L345&gt;0,L345,K345))&amp;"")))</f>
      </c>
      <c r="E345" s="27">
        <f>IF(B345="","",INDEX('PEGAR'!$S$13:$S$512,IF(L345&gt;0,L345,K345)))</f>
      </c>
      <c r="F345" s="39">
        <f>IF(B345="","",IF(L345&gt;0,INDEX('PEGAR'!$F$13:$F$512,L345),""))</f>
      </c>
      <c r="G345" s="39">
        <f>IF(B345="","",IF(OR(M345=0,N345&gt;0,O345&gt;0),"",SUMIFS('PEGAR'!$M$13:$M$512,'PEGAR'!$O$13:$O$512,B345)))</f>
      </c>
      <c r="H345" s="39">
        <f>IF(AND(ISNUMBER(F345),ISNUMBER(G345)),G345-F345,"")</f>
      </c>
      <c r="I345" s="27">
        <f>IF(B345="","",IF(W345=2,"ROJO",IF(W345=1,"ÁMBAR","VERDE")))</f>
      </c>
      <c r="J345" s="30">
        <f>IF(B345="","",IF(W345=0,"Sin avisos numéricos. Revisamos el alcance aparte.",IF(L345=0,"Faltan datos completos de partida; no elegimos un total por suposición."&amp;CHAR(10),"")&amp;IF(N345&gt;0,"Hay filas incompletas o contradictorias; las revisamos en PEGAR."&amp;CHAR(10),"")&amp;IF(O345&gt;0,"Faltan las medidas de alguna fila; no cerramos la suma."&amp;CHAR(10),"")&amp;IF(M345=0,"No constan líneas de medición."&amp;CHAR(10),"")&amp;IF(IF(ISNUMBER(H345),ROUND(ABS(H345),8)&gt;$F$6,FALSE),"Las líneas difieren del total en más de 0,01; confirmamos cantidad o exclusión."&amp;CHAR(10),"")&amp;IF(P345&gt;0,"Parece m³: encontramos tres dimensiones bajo m²."&amp;CHAR(10),"")&amp;IF(R345&gt;0,"Código repetido dentro del capítulo; mantenemos sus ID separados."&amp;CHAR(10),"")&amp;IF(S345&gt;0,"Código repetido en otro capítulo; no unimos las partidas."&amp;CHAR(10),"")&amp;IF(T345&gt;0,"Mismo código con unidades distintas; pedimos aclaración."&amp;CHAR(10),"")&amp;IF(Q345&gt;0,"Hay más precisión que los decimales indicados; cotejamos el formato original."&amp;CHAR(10),"")&amp;IF(U345&gt;0,"Unidad sin normalizar; cotejamos su significado antes de sumar unidades."&amp;CHAR(10),"")&amp;IF(V345&gt;0,"Revisamos dimensiones, cantidades directas, ceros o deducciones en PEGAR."&amp;CHAR(10),"")))</f>
      </c>
      <c r="K345" s="0">
        <f>IF(333&gt;'RESUMEN'!$E$6,"",MATCH(333,'PEGAR'!$W$13:$W$512,0))</f>
      </c>
      <c r="L345" s="0">
        <f>IF(K345="","",INDEX('PEGAR'!$R$13:$R$512,K345))</f>
      </c>
      <c r="M345" s="0">
        <f>IF(B345="","",COUNTIFS('PEGAR'!$O$13:$O$512,B345,'PEGAR'!$P$13:$P$512,"DIMENSIONES")+COUNTIFS('PEGAR'!$O$13:$O$512,B345,'PEGAR'!$P$13:$P$512,"DIRECTA"))</f>
      </c>
      <c r="N345" s="0">
        <f>IF(B345="","",COUNTIFS('PEGAR'!$O$13:$O$512,B345,'PEGAR'!$X$13:$X$512,2))</f>
      </c>
      <c r="O345" s="0">
        <f>IF(B345="","",COUNTIFS('PEGAR'!$O$13:$O$512,B345,'PEGAR'!$P$13:$P$512,"SIN LÍNEAS"))</f>
      </c>
      <c r="P345" s="0">
        <f>IF(B345="","",SUMIFS('PEGAR'!$Y$13:$Y$512,'PEGAR'!$O$13:$O$512,B345))</f>
      </c>
      <c r="Q345" s="0">
        <f>IF(B345="","",SUMIFS('PEGAR'!$Z$13:$Z$512,'PEGAR'!$O$13:$O$512,B345))</f>
      </c>
      <c r="R345" s="0" t="n">
        <f>IF(OR(B345="",D345=""),0,SUMPRODUCT(--($B$13:$B$512&lt;&gt;""),--($D$13:$D$512=D345),--($C$13:$C$512=C345))-1)</f>
        <v>0</v>
      </c>
      <c r="S345" s="0" t="n">
        <f>IF(OR(B345="",D345=""),0,SUMPRODUCT(--($B$13:$B$512&lt;&gt;""),--($D$13:$D$512=D345),--($C$13:$C$512&lt;&gt;C345)))</f>
        <v>0</v>
      </c>
      <c r="T345" s="0" t="n">
        <f>IF(OR(B345="",D345=""),0,SUMPRODUCT(--($B$13:$B$512&lt;&gt;""),--($D$13:$D$512=D345),--($E$13:$E$512&lt;&gt;E345)))</f>
        <v>0</v>
      </c>
      <c r="U345" s="0" t="n">
        <f>IF(B345="",0,IF(SUMPRODUCT(--('LÉEME'!$C$65:$C$86=E345))=0,1,0))</f>
        <v>0</v>
      </c>
      <c r="V345" s="0">
        <f>IF(B345="","",SUMIFS('PEGAR'!$AA$13:$AA$512,'PEGAR'!$O$13:$O$512,B345))</f>
      </c>
      <c r="W345" s="0">
        <f>IF(B345="","",IF(OR(L345=0,N345&gt;0,T345&gt;0,IF(ISNUMBER(H345),ROUND(ABS(H345),8)&gt;$F$6,FALSE)),2,IF(OR(M345=0,O345&gt;0,P345&gt;0,Q345&gt;0,R345&gt;0,S345&gt;0,U345&gt;0,V345&gt;0),1,0)))</f>
      </c>
      <c r="X345" s="0">
        <f>IF(B345="","",IF(ISNUMBER(G345),1,0))</f>
      </c>
      <c r="AB345" s="0">
        <f>IF(AND(ISNUMBER(W345),W345&gt;0),"ID "&amp;B345,"")</f>
      </c>
      <c r="AC345" s="0">
        <f>IF(AND(ISNUMBER(W345),W345&gt;0),C345,"")</f>
      </c>
      <c r="AD345" s="0">
        <f>IF(AND(ISNUMBER(W345),W345&gt;0),D345,"")</f>
      </c>
      <c r="AE345" s="0">
        <f>IF(AND(ISNUMBER(W345),W345&gt;0),IF(INDEX('PEGAR'!$D$13:$D$512,IF(L345&gt;0,L345,K345))="","Sin descripción",INDEX('PEGAR'!$D$13:$D$512,IF(L345&gt;0,L345,K345))),"")</f>
      </c>
      <c r="AF345" s="0">
        <f>IF(AND(ISNUMBER(W345),W345&gt;0),J345,"")</f>
      </c>
      <c r="AG345" s="0" t="n">
        <f>IF(AND(ISNUMBER(W345),W345&gt;0),W345,0)</f>
        <v>0</v>
      </c>
      <c r="AH345" s="0">
        <f>IF(AG345&gt;0,COUNTIFS($AG$13:AG345,"&gt;0"),"")</f>
      </c>
    </row>
    <row r="346" ht="22" customHeight="1">
      <c r="B346" s="27">
        <f>IF(K346="","",INDEX('PEGAR'!$O$13:$O$512,K346))</f>
      </c>
      <c r="C346" s="30">
        <f>IF(B346="","",IF(LEN(TRIM(INDEX('PEGAR'!$B$13:$B$512,IF(L346&gt;0,L346,K346))&amp;""))=0,"Sin capítulo",TRIM(INDEX('PEGAR'!$B$13:$B$512,IF(L346&gt;0,L346,K346))&amp;"")))</f>
      </c>
      <c r="D346" s="27">
        <f>IF(B346="","",IF(LEN(TRIM(INDEX('PEGAR'!$C$13:$C$512,IF(L346&gt;0,L346,K346))&amp;""))=0,"",TRIM(INDEX('PEGAR'!$C$13:$C$512,IF(L346&gt;0,L346,K346))&amp;"")))</f>
      </c>
      <c r="E346" s="27">
        <f>IF(B346="","",INDEX('PEGAR'!$S$13:$S$512,IF(L346&gt;0,L346,K346)))</f>
      </c>
      <c r="F346" s="39">
        <f>IF(B346="","",IF(L346&gt;0,INDEX('PEGAR'!$F$13:$F$512,L346),""))</f>
      </c>
      <c r="G346" s="39">
        <f>IF(B346="","",IF(OR(M346=0,N346&gt;0,O346&gt;0),"",SUMIFS('PEGAR'!$M$13:$M$512,'PEGAR'!$O$13:$O$512,B346)))</f>
      </c>
      <c r="H346" s="39">
        <f>IF(AND(ISNUMBER(F346),ISNUMBER(G346)),G346-F346,"")</f>
      </c>
      <c r="I346" s="27">
        <f>IF(B346="","",IF(W346=2,"ROJO",IF(W346=1,"ÁMBAR","VERDE")))</f>
      </c>
      <c r="J346" s="30">
        <f>IF(B346="","",IF(W346=0,"Sin avisos numéricos. Revisamos el alcance aparte.",IF(L346=0,"Faltan datos completos de partida; no elegimos un total por suposición."&amp;CHAR(10),"")&amp;IF(N346&gt;0,"Hay filas incompletas o contradictorias; las revisamos en PEGAR."&amp;CHAR(10),"")&amp;IF(O346&gt;0,"Faltan las medidas de alguna fila; no cerramos la suma."&amp;CHAR(10),"")&amp;IF(M346=0,"No constan líneas de medición."&amp;CHAR(10),"")&amp;IF(IF(ISNUMBER(H346),ROUND(ABS(H346),8)&gt;$F$6,FALSE),"Las líneas difieren del total en más de 0,01; confirmamos cantidad o exclusión."&amp;CHAR(10),"")&amp;IF(P346&gt;0,"Parece m³: encontramos tres dimensiones bajo m²."&amp;CHAR(10),"")&amp;IF(R346&gt;0,"Código repetido dentro del capítulo; mantenemos sus ID separados."&amp;CHAR(10),"")&amp;IF(S346&gt;0,"Código repetido en otro capítulo; no unimos las partidas."&amp;CHAR(10),"")&amp;IF(T346&gt;0,"Mismo código con unidades distintas; pedimos aclaración."&amp;CHAR(10),"")&amp;IF(Q346&gt;0,"Hay más precisión que los decimales indicados; cotejamos el formato original."&amp;CHAR(10),"")&amp;IF(U346&gt;0,"Unidad sin normalizar; cotejamos su significado antes de sumar unidades."&amp;CHAR(10),"")&amp;IF(V346&gt;0,"Revisamos dimensiones, cantidades directas, ceros o deducciones en PEGAR."&amp;CHAR(10),"")))</f>
      </c>
      <c r="K346" s="0">
        <f>IF(334&gt;'RESUMEN'!$E$6,"",MATCH(334,'PEGAR'!$W$13:$W$512,0))</f>
      </c>
      <c r="L346" s="0">
        <f>IF(K346="","",INDEX('PEGAR'!$R$13:$R$512,K346))</f>
      </c>
      <c r="M346" s="0">
        <f>IF(B346="","",COUNTIFS('PEGAR'!$O$13:$O$512,B346,'PEGAR'!$P$13:$P$512,"DIMENSIONES")+COUNTIFS('PEGAR'!$O$13:$O$512,B346,'PEGAR'!$P$13:$P$512,"DIRECTA"))</f>
      </c>
      <c r="N346" s="0">
        <f>IF(B346="","",COUNTIFS('PEGAR'!$O$13:$O$512,B346,'PEGAR'!$X$13:$X$512,2))</f>
      </c>
      <c r="O346" s="0">
        <f>IF(B346="","",COUNTIFS('PEGAR'!$O$13:$O$512,B346,'PEGAR'!$P$13:$P$512,"SIN LÍNEAS"))</f>
      </c>
      <c r="P346" s="0">
        <f>IF(B346="","",SUMIFS('PEGAR'!$Y$13:$Y$512,'PEGAR'!$O$13:$O$512,B346))</f>
      </c>
      <c r="Q346" s="0">
        <f>IF(B346="","",SUMIFS('PEGAR'!$Z$13:$Z$512,'PEGAR'!$O$13:$O$512,B346))</f>
      </c>
      <c r="R346" s="0" t="n">
        <f>IF(OR(B346="",D346=""),0,SUMPRODUCT(--($B$13:$B$512&lt;&gt;""),--($D$13:$D$512=D346),--($C$13:$C$512=C346))-1)</f>
        <v>0</v>
      </c>
      <c r="S346" s="0" t="n">
        <f>IF(OR(B346="",D346=""),0,SUMPRODUCT(--($B$13:$B$512&lt;&gt;""),--($D$13:$D$512=D346),--($C$13:$C$512&lt;&gt;C346)))</f>
        <v>0</v>
      </c>
      <c r="T346" s="0" t="n">
        <f>IF(OR(B346="",D346=""),0,SUMPRODUCT(--($B$13:$B$512&lt;&gt;""),--($D$13:$D$512=D346),--($E$13:$E$512&lt;&gt;E346)))</f>
        <v>0</v>
      </c>
      <c r="U346" s="0" t="n">
        <f>IF(B346="",0,IF(SUMPRODUCT(--('LÉEME'!$C$65:$C$86=E346))=0,1,0))</f>
        <v>0</v>
      </c>
      <c r="V346" s="0">
        <f>IF(B346="","",SUMIFS('PEGAR'!$AA$13:$AA$512,'PEGAR'!$O$13:$O$512,B346))</f>
      </c>
      <c r="W346" s="0">
        <f>IF(B346="","",IF(OR(L346=0,N346&gt;0,T346&gt;0,IF(ISNUMBER(H346),ROUND(ABS(H346),8)&gt;$F$6,FALSE)),2,IF(OR(M346=0,O346&gt;0,P346&gt;0,Q346&gt;0,R346&gt;0,S346&gt;0,U346&gt;0,V346&gt;0),1,0)))</f>
      </c>
      <c r="X346" s="0">
        <f>IF(B346="","",IF(ISNUMBER(G346),1,0))</f>
      </c>
      <c r="AB346" s="0">
        <f>IF(AND(ISNUMBER(W346),W346&gt;0),"ID "&amp;B346,"")</f>
      </c>
      <c r="AC346" s="0">
        <f>IF(AND(ISNUMBER(W346),W346&gt;0),C346,"")</f>
      </c>
      <c r="AD346" s="0">
        <f>IF(AND(ISNUMBER(W346),W346&gt;0),D346,"")</f>
      </c>
      <c r="AE346" s="0">
        <f>IF(AND(ISNUMBER(W346),W346&gt;0),IF(INDEX('PEGAR'!$D$13:$D$512,IF(L346&gt;0,L346,K346))="","Sin descripción",INDEX('PEGAR'!$D$13:$D$512,IF(L346&gt;0,L346,K346))),"")</f>
      </c>
      <c r="AF346" s="0">
        <f>IF(AND(ISNUMBER(W346),W346&gt;0),J346,"")</f>
      </c>
      <c r="AG346" s="0" t="n">
        <f>IF(AND(ISNUMBER(W346),W346&gt;0),W346,0)</f>
        <v>0</v>
      </c>
      <c r="AH346" s="0">
        <f>IF(AG346&gt;0,COUNTIFS($AG$13:AG346,"&gt;0"),"")</f>
      </c>
    </row>
    <row r="347" ht="22" customHeight="1">
      <c r="B347" s="27">
        <f>IF(K347="","",INDEX('PEGAR'!$O$13:$O$512,K347))</f>
      </c>
      <c r="C347" s="30">
        <f>IF(B347="","",IF(LEN(TRIM(INDEX('PEGAR'!$B$13:$B$512,IF(L347&gt;0,L347,K347))&amp;""))=0,"Sin capítulo",TRIM(INDEX('PEGAR'!$B$13:$B$512,IF(L347&gt;0,L347,K347))&amp;"")))</f>
      </c>
      <c r="D347" s="27">
        <f>IF(B347="","",IF(LEN(TRIM(INDEX('PEGAR'!$C$13:$C$512,IF(L347&gt;0,L347,K347))&amp;""))=0,"",TRIM(INDEX('PEGAR'!$C$13:$C$512,IF(L347&gt;0,L347,K347))&amp;"")))</f>
      </c>
      <c r="E347" s="27">
        <f>IF(B347="","",INDEX('PEGAR'!$S$13:$S$512,IF(L347&gt;0,L347,K347)))</f>
      </c>
      <c r="F347" s="39">
        <f>IF(B347="","",IF(L347&gt;0,INDEX('PEGAR'!$F$13:$F$512,L347),""))</f>
      </c>
      <c r="G347" s="39">
        <f>IF(B347="","",IF(OR(M347=0,N347&gt;0,O347&gt;0),"",SUMIFS('PEGAR'!$M$13:$M$512,'PEGAR'!$O$13:$O$512,B347)))</f>
      </c>
      <c r="H347" s="39">
        <f>IF(AND(ISNUMBER(F347),ISNUMBER(G347)),G347-F347,"")</f>
      </c>
      <c r="I347" s="27">
        <f>IF(B347="","",IF(W347=2,"ROJO",IF(W347=1,"ÁMBAR","VERDE")))</f>
      </c>
      <c r="J347" s="30">
        <f>IF(B347="","",IF(W347=0,"Sin avisos numéricos. Revisamos el alcance aparte.",IF(L347=0,"Faltan datos completos de partida; no elegimos un total por suposición."&amp;CHAR(10),"")&amp;IF(N347&gt;0,"Hay filas incompletas o contradictorias; las revisamos en PEGAR."&amp;CHAR(10),"")&amp;IF(O347&gt;0,"Faltan las medidas de alguna fila; no cerramos la suma."&amp;CHAR(10),"")&amp;IF(M347=0,"No constan líneas de medición."&amp;CHAR(10),"")&amp;IF(IF(ISNUMBER(H347),ROUND(ABS(H347),8)&gt;$F$6,FALSE),"Las líneas difieren del total en más de 0,01; confirmamos cantidad o exclusión."&amp;CHAR(10),"")&amp;IF(P347&gt;0,"Parece m³: encontramos tres dimensiones bajo m²."&amp;CHAR(10),"")&amp;IF(R347&gt;0,"Código repetido dentro del capítulo; mantenemos sus ID separados."&amp;CHAR(10),"")&amp;IF(S347&gt;0,"Código repetido en otro capítulo; no unimos las partidas."&amp;CHAR(10),"")&amp;IF(T347&gt;0,"Mismo código con unidades distintas; pedimos aclaración."&amp;CHAR(10),"")&amp;IF(Q347&gt;0,"Hay más precisión que los decimales indicados; cotejamos el formato original."&amp;CHAR(10),"")&amp;IF(U347&gt;0,"Unidad sin normalizar; cotejamos su significado antes de sumar unidades."&amp;CHAR(10),"")&amp;IF(V347&gt;0,"Revisamos dimensiones, cantidades directas, ceros o deducciones en PEGAR."&amp;CHAR(10),"")))</f>
      </c>
      <c r="K347" s="0">
        <f>IF(335&gt;'RESUMEN'!$E$6,"",MATCH(335,'PEGAR'!$W$13:$W$512,0))</f>
      </c>
      <c r="L347" s="0">
        <f>IF(K347="","",INDEX('PEGAR'!$R$13:$R$512,K347))</f>
      </c>
      <c r="M347" s="0">
        <f>IF(B347="","",COUNTIFS('PEGAR'!$O$13:$O$512,B347,'PEGAR'!$P$13:$P$512,"DIMENSIONES")+COUNTIFS('PEGAR'!$O$13:$O$512,B347,'PEGAR'!$P$13:$P$512,"DIRECTA"))</f>
      </c>
      <c r="N347" s="0">
        <f>IF(B347="","",COUNTIFS('PEGAR'!$O$13:$O$512,B347,'PEGAR'!$X$13:$X$512,2))</f>
      </c>
      <c r="O347" s="0">
        <f>IF(B347="","",COUNTIFS('PEGAR'!$O$13:$O$512,B347,'PEGAR'!$P$13:$P$512,"SIN LÍNEAS"))</f>
      </c>
      <c r="P347" s="0">
        <f>IF(B347="","",SUMIFS('PEGAR'!$Y$13:$Y$512,'PEGAR'!$O$13:$O$512,B347))</f>
      </c>
      <c r="Q347" s="0">
        <f>IF(B347="","",SUMIFS('PEGAR'!$Z$13:$Z$512,'PEGAR'!$O$13:$O$512,B347))</f>
      </c>
      <c r="R347" s="0" t="n">
        <f>IF(OR(B347="",D347=""),0,SUMPRODUCT(--($B$13:$B$512&lt;&gt;""),--($D$13:$D$512=D347),--($C$13:$C$512=C347))-1)</f>
        <v>0</v>
      </c>
      <c r="S347" s="0" t="n">
        <f>IF(OR(B347="",D347=""),0,SUMPRODUCT(--($B$13:$B$512&lt;&gt;""),--($D$13:$D$512=D347),--($C$13:$C$512&lt;&gt;C347)))</f>
        <v>0</v>
      </c>
      <c r="T347" s="0" t="n">
        <f>IF(OR(B347="",D347=""),0,SUMPRODUCT(--($B$13:$B$512&lt;&gt;""),--($D$13:$D$512=D347),--($E$13:$E$512&lt;&gt;E347)))</f>
        <v>0</v>
      </c>
      <c r="U347" s="0" t="n">
        <f>IF(B347="",0,IF(SUMPRODUCT(--('LÉEME'!$C$65:$C$86=E347))=0,1,0))</f>
        <v>0</v>
      </c>
      <c r="V347" s="0">
        <f>IF(B347="","",SUMIFS('PEGAR'!$AA$13:$AA$512,'PEGAR'!$O$13:$O$512,B347))</f>
      </c>
      <c r="W347" s="0">
        <f>IF(B347="","",IF(OR(L347=0,N347&gt;0,T347&gt;0,IF(ISNUMBER(H347),ROUND(ABS(H347),8)&gt;$F$6,FALSE)),2,IF(OR(M347=0,O347&gt;0,P347&gt;0,Q347&gt;0,R347&gt;0,S347&gt;0,U347&gt;0,V347&gt;0),1,0)))</f>
      </c>
      <c r="X347" s="0">
        <f>IF(B347="","",IF(ISNUMBER(G347),1,0))</f>
      </c>
      <c r="AB347" s="0">
        <f>IF(AND(ISNUMBER(W347),W347&gt;0),"ID "&amp;B347,"")</f>
      </c>
      <c r="AC347" s="0">
        <f>IF(AND(ISNUMBER(W347),W347&gt;0),C347,"")</f>
      </c>
      <c r="AD347" s="0">
        <f>IF(AND(ISNUMBER(W347),W347&gt;0),D347,"")</f>
      </c>
      <c r="AE347" s="0">
        <f>IF(AND(ISNUMBER(W347),W347&gt;0),IF(INDEX('PEGAR'!$D$13:$D$512,IF(L347&gt;0,L347,K347))="","Sin descripción",INDEX('PEGAR'!$D$13:$D$512,IF(L347&gt;0,L347,K347))),"")</f>
      </c>
      <c r="AF347" s="0">
        <f>IF(AND(ISNUMBER(W347),W347&gt;0),J347,"")</f>
      </c>
      <c r="AG347" s="0" t="n">
        <f>IF(AND(ISNUMBER(W347),W347&gt;0),W347,0)</f>
        <v>0</v>
      </c>
      <c r="AH347" s="0">
        <f>IF(AG347&gt;0,COUNTIFS($AG$13:AG347,"&gt;0"),"")</f>
      </c>
    </row>
    <row r="348" ht="22" customHeight="1">
      <c r="B348" s="27">
        <f>IF(K348="","",INDEX('PEGAR'!$O$13:$O$512,K348))</f>
      </c>
      <c r="C348" s="30">
        <f>IF(B348="","",IF(LEN(TRIM(INDEX('PEGAR'!$B$13:$B$512,IF(L348&gt;0,L348,K348))&amp;""))=0,"Sin capítulo",TRIM(INDEX('PEGAR'!$B$13:$B$512,IF(L348&gt;0,L348,K348))&amp;"")))</f>
      </c>
      <c r="D348" s="27">
        <f>IF(B348="","",IF(LEN(TRIM(INDEX('PEGAR'!$C$13:$C$512,IF(L348&gt;0,L348,K348))&amp;""))=0,"",TRIM(INDEX('PEGAR'!$C$13:$C$512,IF(L348&gt;0,L348,K348))&amp;"")))</f>
      </c>
      <c r="E348" s="27">
        <f>IF(B348="","",INDEX('PEGAR'!$S$13:$S$512,IF(L348&gt;0,L348,K348)))</f>
      </c>
      <c r="F348" s="39">
        <f>IF(B348="","",IF(L348&gt;0,INDEX('PEGAR'!$F$13:$F$512,L348),""))</f>
      </c>
      <c r="G348" s="39">
        <f>IF(B348="","",IF(OR(M348=0,N348&gt;0,O348&gt;0),"",SUMIFS('PEGAR'!$M$13:$M$512,'PEGAR'!$O$13:$O$512,B348)))</f>
      </c>
      <c r="H348" s="39">
        <f>IF(AND(ISNUMBER(F348),ISNUMBER(G348)),G348-F348,"")</f>
      </c>
      <c r="I348" s="27">
        <f>IF(B348="","",IF(W348=2,"ROJO",IF(W348=1,"ÁMBAR","VERDE")))</f>
      </c>
      <c r="J348" s="30">
        <f>IF(B348="","",IF(W348=0,"Sin avisos numéricos. Revisamos el alcance aparte.",IF(L348=0,"Faltan datos completos de partida; no elegimos un total por suposición."&amp;CHAR(10),"")&amp;IF(N348&gt;0,"Hay filas incompletas o contradictorias; las revisamos en PEGAR."&amp;CHAR(10),"")&amp;IF(O348&gt;0,"Faltan las medidas de alguna fila; no cerramos la suma."&amp;CHAR(10),"")&amp;IF(M348=0,"No constan líneas de medición."&amp;CHAR(10),"")&amp;IF(IF(ISNUMBER(H348),ROUND(ABS(H348),8)&gt;$F$6,FALSE),"Las líneas difieren del total en más de 0,01; confirmamos cantidad o exclusión."&amp;CHAR(10),"")&amp;IF(P348&gt;0,"Parece m³: encontramos tres dimensiones bajo m²."&amp;CHAR(10),"")&amp;IF(R348&gt;0,"Código repetido dentro del capítulo; mantenemos sus ID separados."&amp;CHAR(10),"")&amp;IF(S348&gt;0,"Código repetido en otro capítulo; no unimos las partidas."&amp;CHAR(10),"")&amp;IF(T348&gt;0,"Mismo código con unidades distintas; pedimos aclaración."&amp;CHAR(10),"")&amp;IF(Q348&gt;0,"Hay más precisión que los decimales indicados; cotejamos el formato original."&amp;CHAR(10),"")&amp;IF(U348&gt;0,"Unidad sin normalizar; cotejamos su significado antes de sumar unidades."&amp;CHAR(10),"")&amp;IF(V348&gt;0,"Revisamos dimensiones, cantidades directas, ceros o deducciones en PEGAR."&amp;CHAR(10),"")))</f>
      </c>
      <c r="K348" s="0">
        <f>IF(336&gt;'RESUMEN'!$E$6,"",MATCH(336,'PEGAR'!$W$13:$W$512,0))</f>
      </c>
      <c r="L348" s="0">
        <f>IF(K348="","",INDEX('PEGAR'!$R$13:$R$512,K348))</f>
      </c>
      <c r="M348" s="0">
        <f>IF(B348="","",COUNTIFS('PEGAR'!$O$13:$O$512,B348,'PEGAR'!$P$13:$P$512,"DIMENSIONES")+COUNTIFS('PEGAR'!$O$13:$O$512,B348,'PEGAR'!$P$13:$P$512,"DIRECTA"))</f>
      </c>
      <c r="N348" s="0">
        <f>IF(B348="","",COUNTIFS('PEGAR'!$O$13:$O$512,B348,'PEGAR'!$X$13:$X$512,2))</f>
      </c>
      <c r="O348" s="0">
        <f>IF(B348="","",COUNTIFS('PEGAR'!$O$13:$O$512,B348,'PEGAR'!$P$13:$P$512,"SIN LÍNEAS"))</f>
      </c>
      <c r="P348" s="0">
        <f>IF(B348="","",SUMIFS('PEGAR'!$Y$13:$Y$512,'PEGAR'!$O$13:$O$512,B348))</f>
      </c>
      <c r="Q348" s="0">
        <f>IF(B348="","",SUMIFS('PEGAR'!$Z$13:$Z$512,'PEGAR'!$O$13:$O$512,B348))</f>
      </c>
      <c r="R348" s="0" t="n">
        <f>IF(OR(B348="",D348=""),0,SUMPRODUCT(--($B$13:$B$512&lt;&gt;""),--($D$13:$D$512=D348),--($C$13:$C$512=C348))-1)</f>
        <v>0</v>
      </c>
      <c r="S348" s="0" t="n">
        <f>IF(OR(B348="",D348=""),0,SUMPRODUCT(--($B$13:$B$512&lt;&gt;""),--($D$13:$D$512=D348),--($C$13:$C$512&lt;&gt;C348)))</f>
        <v>0</v>
      </c>
      <c r="T348" s="0" t="n">
        <f>IF(OR(B348="",D348=""),0,SUMPRODUCT(--($B$13:$B$512&lt;&gt;""),--($D$13:$D$512=D348),--($E$13:$E$512&lt;&gt;E348)))</f>
        <v>0</v>
      </c>
      <c r="U348" s="0" t="n">
        <f>IF(B348="",0,IF(SUMPRODUCT(--('LÉEME'!$C$65:$C$86=E348))=0,1,0))</f>
        <v>0</v>
      </c>
      <c r="V348" s="0">
        <f>IF(B348="","",SUMIFS('PEGAR'!$AA$13:$AA$512,'PEGAR'!$O$13:$O$512,B348))</f>
      </c>
      <c r="W348" s="0">
        <f>IF(B348="","",IF(OR(L348=0,N348&gt;0,T348&gt;0,IF(ISNUMBER(H348),ROUND(ABS(H348),8)&gt;$F$6,FALSE)),2,IF(OR(M348=0,O348&gt;0,P348&gt;0,Q348&gt;0,R348&gt;0,S348&gt;0,U348&gt;0,V348&gt;0),1,0)))</f>
      </c>
      <c r="X348" s="0">
        <f>IF(B348="","",IF(ISNUMBER(G348),1,0))</f>
      </c>
      <c r="AB348" s="0">
        <f>IF(AND(ISNUMBER(W348),W348&gt;0),"ID "&amp;B348,"")</f>
      </c>
      <c r="AC348" s="0">
        <f>IF(AND(ISNUMBER(W348),W348&gt;0),C348,"")</f>
      </c>
      <c r="AD348" s="0">
        <f>IF(AND(ISNUMBER(W348),W348&gt;0),D348,"")</f>
      </c>
      <c r="AE348" s="0">
        <f>IF(AND(ISNUMBER(W348),W348&gt;0),IF(INDEX('PEGAR'!$D$13:$D$512,IF(L348&gt;0,L348,K348))="","Sin descripción",INDEX('PEGAR'!$D$13:$D$512,IF(L348&gt;0,L348,K348))),"")</f>
      </c>
      <c r="AF348" s="0">
        <f>IF(AND(ISNUMBER(W348),W348&gt;0),J348,"")</f>
      </c>
      <c r="AG348" s="0" t="n">
        <f>IF(AND(ISNUMBER(W348),W348&gt;0),W348,0)</f>
        <v>0</v>
      </c>
      <c r="AH348" s="0">
        <f>IF(AG348&gt;0,COUNTIFS($AG$13:AG348,"&gt;0"),"")</f>
      </c>
    </row>
    <row r="349" ht="22" customHeight="1">
      <c r="B349" s="27">
        <f>IF(K349="","",INDEX('PEGAR'!$O$13:$O$512,K349))</f>
      </c>
      <c r="C349" s="30">
        <f>IF(B349="","",IF(LEN(TRIM(INDEX('PEGAR'!$B$13:$B$512,IF(L349&gt;0,L349,K349))&amp;""))=0,"Sin capítulo",TRIM(INDEX('PEGAR'!$B$13:$B$512,IF(L349&gt;0,L349,K349))&amp;"")))</f>
      </c>
      <c r="D349" s="27">
        <f>IF(B349="","",IF(LEN(TRIM(INDEX('PEGAR'!$C$13:$C$512,IF(L349&gt;0,L349,K349))&amp;""))=0,"",TRIM(INDEX('PEGAR'!$C$13:$C$512,IF(L349&gt;0,L349,K349))&amp;"")))</f>
      </c>
      <c r="E349" s="27">
        <f>IF(B349="","",INDEX('PEGAR'!$S$13:$S$512,IF(L349&gt;0,L349,K349)))</f>
      </c>
      <c r="F349" s="39">
        <f>IF(B349="","",IF(L349&gt;0,INDEX('PEGAR'!$F$13:$F$512,L349),""))</f>
      </c>
      <c r="G349" s="39">
        <f>IF(B349="","",IF(OR(M349=0,N349&gt;0,O349&gt;0),"",SUMIFS('PEGAR'!$M$13:$M$512,'PEGAR'!$O$13:$O$512,B349)))</f>
      </c>
      <c r="H349" s="39">
        <f>IF(AND(ISNUMBER(F349),ISNUMBER(G349)),G349-F349,"")</f>
      </c>
      <c r="I349" s="27">
        <f>IF(B349="","",IF(W349=2,"ROJO",IF(W349=1,"ÁMBAR","VERDE")))</f>
      </c>
      <c r="J349" s="30">
        <f>IF(B349="","",IF(W349=0,"Sin avisos numéricos. Revisamos el alcance aparte.",IF(L349=0,"Faltan datos completos de partida; no elegimos un total por suposición."&amp;CHAR(10),"")&amp;IF(N349&gt;0,"Hay filas incompletas o contradictorias; las revisamos en PEGAR."&amp;CHAR(10),"")&amp;IF(O349&gt;0,"Faltan las medidas de alguna fila; no cerramos la suma."&amp;CHAR(10),"")&amp;IF(M349=0,"No constan líneas de medición."&amp;CHAR(10),"")&amp;IF(IF(ISNUMBER(H349),ROUND(ABS(H349),8)&gt;$F$6,FALSE),"Las líneas difieren del total en más de 0,01; confirmamos cantidad o exclusión."&amp;CHAR(10),"")&amp;IF(P349&gt;0,"Parece m³: encontramos tres dimensiones bajo m²."&amp;CHAR(10),"")&amp;IF(R349&gt;0,"Código repetido dentro del capítulo; mantenemos sus ID separados."&amp;CHAR(10),"")&amp;IF(S349&gt;0,"Código repetido en otro capítulo; no unimos las partidas."&amp;CHAR(10),"")&amp;IF(T349&gt;0,"Mismo código con unidades distintas; pedimos aclaración."&amp;CHAR(10),"")&amp;IF(Q349&gt;0,"Hay más precisión que los decimales indicados; cotejamos el formato original."&amp;CHAR(10),"")&amp;IF(U349&gt;0,"Unidad sin normalizar; cotejamos su significado antes de sumar unidades."&amp;CHAR(10),"")&amp;IF(V349&gt;0,"Revisamos dimensiones, cantidades directas, ceros o deducciones en PEGAR."&amp;CHAR(10),"")))</f>
      </c>
      <c r="K349" s="0">
        <f>IF(337&gt;'RESUMEN'!$E$6,"",MATCH(337,'PEGAR'!$W$13:$W$512,0))</f>
      </c>
      <c r="L349" s="0">
        <f>IF(K349="","",INDEX('PEGAR'!$R$13:$R$512,K349))</f>
      </c>
      <c r="M349" s="0">
        <f>IF(B349="","",COUNTIFS('PEGAR'!$O$13:$O$512,B349,'PEGAR'!$P$13:$P$512,"DIMENSIONES")+COUNTIFS('PEGAR'!$O$13:$O$512,B349,'PEGAR'!$P$13:$P$512,"DIRECTA"))</f>
      </c>
      <c r="N349" s="0">
        <f>IF(B349="","",COUNTIFS('PEGAR'!$O$13:$O$512,B349,'PEGAR'!$X$13:$X$512,2))</f>
      </c>
      <c r="O349" s="0">
        <f>IF(B349="","",COUNTIFS('PEGAR'!$O$13:$O$512,B349,'PEGAR'!$P$13:$P$512,"SIN LÍNEAS"))</f>
      </c>
      <c r="P349" s="0">
        <f>IF(B349="","",SUMIFS('PEGAR'!$Y$13:$Y$512,'PEGAR'!$O$13:$O$512,B349))</f>
      </c>
      <c r="Q349" s="0">
        <f>IF(B349="","",SUMIFS('PEGAR'!$Z$13:$Z$512,'PEGAR'!$O$13:$O$512,B349))</f>
      </c>
      <c r="R349" s="0" t="n">
        <f>IF(OR(B349="",D349=""),0,SUMPRODUCT(--($B$13:$B$512&lt;&gt;""),--($D$13:$D$512=D349),--($C$13:$C$512=C349))-1)</f>
        <v>0</v>
      </c>
      <c r="S349" s="0" t="n">
        <f>IF(OR(B349="",D349=""),0,SUMPRODUCT(--($B$13:$B$512&lt;&gt;""),--($D$13:$D$512=D349),--($C$13:$C$512&lt;&gt;C349)))</f>
        <v>0</v>
      </c>
      <c r="T349" s="0" t="n">
        <f>IF(OR(B349="",D349=""),0,SUMPRODUCT(--($B$13:$B$512&lt;&gt;""),--($D$13:$D$512=D349),--($E$13:$E$512&lt;&gt;E349)))</f>
        <v>0</v>
      </c>
      <c r="U349" s="0" t="n">
        <f>IF(B349="",0,IF(SUMPRODUCT(--('LÉEME'!$C$65:$C$86=E349))=0,1,0))</f>
        <v>0</v>
      </c>
      <c r="V349" s="0">
        <f>IF(B349="","",SUMIFS('PEGAR'!$AA$13:$AA$512,'PEGAR'!$O$13:$O$512,B349))</f>
      </c>
      <c r="W349" s="0">
        <f>IF(B349="","",IF(OR(L349=0,N349&gt;0,T349&gt;0,IF(ISNUMBER(H349),ROUND(ABS(H349),8)&gt;$F$6,FALSE)),2,IF(OR(M349=0,O349&gt;0,P349&gt;0,Q349&gt;0,R349&gt;0,S349&gt;0,U349&gt;0,V349&gt;0),1,0)))</f>
      </c>
      <c r="X349" s="0">
        <f>IF(B349="","",IF(ISNUMBER(G349),1,0))</f>
      </c>
      <c r="AB349" s="0">
        <f>IF(AND(ISNUMBER(W349),W349&gt;0),"ID "&amp;B349,"")</f>
      </c>
      <c r="AC349" s="0">
        <f>IF(AND(ISNUMBER(W349),W349&gt;0),C349,"")</f>
      </c>
      <c r="AD349" s="0">
        <f>IF(AND(ISNUMBER(W349),W349&gt;0),D349,"")</f>
      </c>
      <c r="AE349" s="0">
        <f>IF(AND(ISNUMBER(W349),W349&gt;0),IF(INDEX('PEGAR'!$D$13:$D$512,IF(L349&gt;0,L349,K349))="","Sin descripción",INDEX('PEGAR'!$D$13:$D$512,IF(L349&gt;0,L349,K349))),"")</f>
      </c>
      <c r="AF349" s="0">
        <f>IF(AND(ISNUMBER(W349),W349&gt;0),J349,"")</f>
      </c>
      <c r="AG349" s="0" t="n">
        <f>IF(AND(ISNUMBER(W349),W349&gt;0),W349,0)</f>
        <v>0</v>
      </c>
      <c r="AH349" s="0">
        <f>IF(AG349&gt;0,COUNTIFS($AG$13:AG349,"&gt;0"),"")</f>
      </c>
    </row>
    <row r="350" ht="22" customHeight="1">
      <c r="B350" s="27">
        <f>IF(K350="","",INDEX('PEGAR'!$O$13:$O$512,K350))</f>
      </c>
      <c r="C350" s="30">
        <f>IF(B350="","",IF(LEN(TRIM(INDEX('PEGAR'!$B$13:$B$512,IF(L350&gt;0,L350,K350))&amp;""))=0,"Sin capítulo",TRIM(INDEX('PEGAR'!$B$13:$B$512,IF(L350&gt;0,L350,K350))&amp;"")))</f>
      </c>
      <c r="D350" s="27">
        <f>IF(B350="","",IF(LEN(TRIM(INDEX('PEGAR'!$C$13:$C$512,IF(L350&gt;0,L350,K350))&amp;""))=0,"",TRIM(INDEX('PEGAR'!$C$13:$C$512,IF(L350&gt;0,L350,K350))&amp;"")))</f>
      </c>
      <c r="E350" s="27">
        <f>IF(B350="","",INDEX('PEGAR'!$S$13:$S$512,IF(L350&gt;0,L350,K350)))</f>
      </c>
      <c r="F350" s="39">
        <f>IF(B350="","",IF(L350&gt;0,INDEX('PEGAR'!$F$13:$F$512,L350),""))</f>
      </c>
      <c r="G350" s="39">
        <f>IF(B350="","",IF(OR(M350=0,N350&gt;0,O350&gt;0),"",SUMIFS('PEGAR'!$M$13:$M$512,'PEGAR'!$O$13:$O$512,B350)))</f>
      </c>
      <c r="H350" s="39">
        <f>IF(AND(ISNUMBER(F350),ISNUMBER(G350)),G350-F350,"")</f>
      </c>
      <c r="I350" s="27">
        <f>IF(B350="","",IF(W350=2,"ROJO",IF(W350=1,"ÁMBAR","VERDE")))</f>
      </c>
      <c r="J350" s="30">
        <f>IF(B350="","",IF(W350=0,"Sin avisos numéricos. Revisamos el alcance aparte.",IF(L350=0,"Faltan datos completos de partida; no elegimos un total por suposición."&amp;CHAR(10),"")&amp;IF(N350&gt;0,"Hay filas incompletas o contradictorias; las revisamos en PEGAR."&amp;CHAR(10),"")&amp;IF(O350&gt;0,"Faltan las medidas de alguna fila; no cerramos la suma."&amp;CHAR(10),"")&amp;IF(M350=0,"No constan líneas de medición."&amp;CHAR(10),"")&amp;IF(IF(ISNUMBER(H350),ROUND(ABS(H350),8)&gt;$F$6,FALSE),"Las líneas difieren del total en más de 0,01; confirmamos cantidad o exclusión."&amp;CHAR(10),"")&amp;IF(P350&gt;0,"Parece m³: encontramos tres dimensiones bajo m²."&amp;CHAR(10),"")&amp;IF(R350&gt;0,"Código repetido dentro del capítulo; mantenemos sus ID separados."&amp;CHAR(10),"")&amp;IF(S350&gt;0,"Código repetido en otro capítulo; no unimos las partidas."&amp;CHAR(10),"")&amp;IF(T350&gt;0,"Mismo código con unidades distintas; pedimos aclaración."&amp;CHAR(10),"")&amp;IF(Q350&gt;0,"Hay más precisión que los decimales indicados; cotejamos el formato original."&amp;CHAR(10),"")&amp;IF(U350&gt;0,"Unidad sin normalizar; cotejamos su significado antes de sumar unidades."&amp;CHAR(10),"")&amp;IF(V350&gt;0,"Revisamos dimensiones, cantidades directas, ceros o deducciones en PEGAR."&amp;CHAR(10),"")))</f>
      </c>
      <c r="K350" s="0">
        <f>IF(338&gt;'RESUMEN'!$E$6,"",MATCH(338,'PEGAR'!$W$13:$W$512,0))</f>
      </c>
      <c r="L350" s="0">
        <f>IF(K350="","",INDEX('PEGAR'!$R$13:$R$512,K350))</f>
      </c>
      <c r="M350" s="0">
        <f>IF(B350="","",COUNTIFS('PEGAR'!$O$13:$O$512,B350,'PEGAR'!$P$13:$P$512,"DIMENSIONES")+COUNTIFS('PEGAR'!$O$13:$O$512,B350,'PEGAR'!$P$13:$P$512,"DIRECTA"))</f>
      </c>
      <c r="N350" s="0">
        <f>IF(B350="","",COUNTIFS('PEGAR'!$O$13:$O$512,B350,'PEGAR'!$X$13:$X$512,2))</f>
      </c>
      <c r="O350" s="0">
        <f>IF(B350="","",COUNTIFS('PEGAR'!$O$13:$O$512,B350,'PEGAR'!$P$13:$P$512,"SIN LÍNEAS"))</f>
      </c>
      <c r="P350" s="0">
        <f>IF(B350="","",SUMIFS('PEGAR'!$Y$13:$Y$512,'PEGAR'!$O$13:$O$512,B350))</f>
      </c>
      <c r="Q350" s="0">
        <f>IF(B350="","",SUMIFS('PEGAR'!$Z$13:$Z$512,'PEGAR'!$O$13:$O$512,B350))</f>
      </c>
      <c r="R350" s="0" t="n">
        <f>IF(OR(B350="",D350=""),0,SUMPRODUCT(--($B$13:$B$512&lt;&gt;""),--($D$13:$D$512=D350),--($C$13:$C$512=C350))-1)</f>
        <v>0</v>
      </c>
      <c r="S350" s="0" t="n">
        <f>IF(OR(B350="",D350=""),0,SUMPRODUCT(--($B$13:$B$512&lt;&gt;""),--($D$13:$D$512=D350),--($C$13:$C$512&lt;&gt;C350)))</f>
        <v>0</v>
      </c>
      <c r="T350" s="0" t="n">
        <f>IF(OR(B350="",D350=""),0,SUMPRODUCT(--($B$13:$B$512&lt;&gt;""),--($D$13:$D$512=D350),--($E$13:$E$512&lt;&gt;E350)))</f>
        <v>0</v>
      </c>
      <c r="U350" s="0" t="n">
        <f>IF(B350="",0,IF(SUMPRODUCT(--('LÉEME'!$C$65:$C$86=E350))=0,1,0))</f>
        <v>0</v>
      </c>
      <c r="V350" s="0">
        <f>IF(B350="","",SUMIFS('PEGAR'!$AA$13:$AA$512,'PEGAR'!$O$13:$O$512,B350))</f>
      </c>
      <c r="W350" s="0">
        <f>IF(B350="","",IF(OR(L350=0,N350&gt;0,T350&gt;0,IF(ISNUMBER(H350),ROUND(ABS(H350),8)&gt;$F$6,FALSE)),2,IF(OR(M350=0,O350&gt;0,P350&gt;0,Q350&gt;0,R350&gt;0,S350&gt;0,U350&gt;0,V350&gt;0),1,0)))</f>
      </c>
      <c r="X350" s="0">
        <f>IF(B350="","",IF(ISNUMBER(G350),1,0))</f>
      </c>
      <c r="AB350" s="0">
        <f>IF(AND(ISNUMBER(W350),W350&gt;0),"ID "&amp;B350,"")</f>
      </c>
      <c r="AC350" s="0">
        <f>IF(AND(ISNUMBER(W350),W350&gt;0),C350,"")</f>
      </c>
      <c r="AD350" s="0">
        <f>IF(AND(ISNUMBER(W350),W350&gt;0),D350,"")</f>
      </c>
      <c r="AE350" s="0">
        <f>IF(AND(ISNUMBER(W350),W350&gt;0),IF(INDEX('PEGAR'!$D$13:$D$512,IF(L350&gt;0,L350,K350))="","Sin descripción",INDEX('PEGAR'!$D$13:$D$512,IF(L350&gt;0,L350,K350))),"")</f>
      </c>
      <c r="AF350" s="0">
        <f>IF(AND(ISNUMBER(W350),W350&gt;0),J350,"")</f>
      </c>
      <c r="AG350" s="0" t="n">
        <f>IF(AND(ISNUMBER(W350),W350&gt;0),W350,0)</f>
        <v>0</v>
      </c>
      <c r="AH350" s="0">
        <f>IF(AG350&gt;0,COUNTIFS($AG$13:AG350,"&gt;0"),"")</f>
      </c>
    </row>
    <row r="351" ht="22" customHeight="1">
      <c r="B351" s="27">
        <f>IF(K351="","",INDEX('PEGAR'!$O$13:$O$512,K351))</f>
      </c>
      <c r="C351" s="30">
        <f>IF(B351="","",IF(LEN(TRIM(INDEX('PEGAR'!$B$13:$B$512,IF(L351&gt;0,L351,K351))&amp;""))=0,"Sin capítulo",TRIM(INDEX('PEGAR'!$B$13:$B$512,IF(L351&gt;0,L351,K351))&amp;"")))</f>
      </c>
      <c r="D351" s="27">
        <f>IF(B351="","",IF(LEN(TRIM(INDEX('PEGAR'!$C$13:$C$512,IF(L351&gt;0,L351,K351))&amp;""))=0,"",TRIM(INDEX('PEGAR'!$C$13:$C$512,IF(L351&gt;0,L351,K351))&amp;"")))</f>
      </c>
      <c r="E351" s="27">
        <f>IF(B351="","",INDEX('PEGAR'!$S$13:$S$512,IF(L351&gt;0,L351,K351)))</f>
      </c>
      <c r="F351" s="39">
        <f>IF(B351="","",IF(L351&gt;0,INDEX('PEGAR'!$F$13:$F$512,L351),""))</f>
      </c>
      <c r="G351" s="39">
        <f>IF(B351="","",IF(OR(M351=0,N351&gt;0,O351&gt;0),"",SUMIFS('PEGAR'!$M$13:$M$512,'PEGAR'!$O$13:$O$512,B351)))</f>
      </c>
      <c r="H351" s="39">
        <f>IF(AND(ISNUMBER(F351),ISNUMBER(G351)),G351-F351,"")</f>
      </c>
      <c r="I351" s="27">
        <f>IF(B351="","",IF(W351=2,"ROJO",IF(W351=1,"ÁMBAR","VERDE")))</f>
      </c>
      <c r="J351" s="30">
        <f>IF(B351="","",IF(W351=0,"Sin avisos numéricos. Revisamos el alcance aparte.",IF(L351=0,"Faltan datos completos de partida; no elegimos un total por suposición."&amp;CHAR(10),"")&amp;IF(N351&gt;0,"Hay filas incompletas o contradictorias; las revisamos en PEGAR."&amp;CHAR(10),"")&amp;IF(O351&gt;0,"Faltan las medidas de alguna fila; no cerramos la suma."&amp;CHAR(10),"")&amp;IF(M351=0,"No constan líneas de medición."&amp;CHAR(10),"")&amp;IF(IF(ISNUMBER(H351),ROUND(ABS(H351),8)&gt;$F$6,FALSE),"Las líneas difieren del total en más de 0,01; confirmamos cantidad o exclusión."&amp;CHAR(10),"")&amp;IF(P351&gt;0,"Parece m³: encontramos tres dimensiones bajo m²."&amp;CHAR(10),"")&amp;IF(R351&gt;0,"Código repetido dentro del capítulo; mantenemos sus ID separados."&amp;CHAR(10),"")&amp;IF(S351&gt;0,"Código repetido en otro capítulo; no unimos las partidas."&amp;CHAR(10),"")&amp;IF(T351&gt;0,"Mismo código con unidades distintas; pedimos aclaración."&amp;CHAR(10),"")&amp;IF(Q351&gt;0,"Hay más precisión que los decimales indicados; cotejamos el formato original."&amp;CHAR(10),"")&amp;IF(U351&gt;0,"Unidad sin normalizar; cotejamos su significado antes de sumar unidades."&amp;CHAR(10),"")&amp;IF(V351&gt;0,"Revisamos dimensiones, cantidades directas, ceros o deducciones en PEGAR."&amp;CHAR(10),"")))</f>
      </c>
      <c r="K351" s="0">
        <f>IF(339&gt;'RESUMEN'!$E$6,"",MATCH(339,'PEGAR'!$W$13:$W$512,0))</f>
      </c>
      <c r="L351" s="0">
        <f>IF(K351="","",INDEX('PEGAR'!$R$13:$R$512,K351))</f>
      </c>
      <c r="M351" s="0">
        <f>IF(B351="","",COUNTIFS('PEGAR'!$O$13:$O$512,B351,'PEGAR'!$P$13:$P$512,"DIMENSIONES")+COUNTIFS('PEGAR'!$O$13:$O$512,B351,'PEGAR'!$P$13:$P$512,"DIRECTA"))</f>
      </c>
      <c r="N351" s="0">
        <f>IF(B351="","",COUNTIFS('PEGAR'!$O$13:$O$512,B351,'PEGAR'!$X$13:$X$512,2))</f>
      </c>
      <c r="O351" s="0">
        <f>IF(B351="","",COUNTIFS('PEGAR'!$O$13:$O$512,B351,'PEGAR'!$P$13:$P$512,"SIN LÍNEAS"))</f>
      </c>
      <c r="P351" s="0">
        <f>IF(B351="","",SUMIFS('PEGAR'!$Y$13:$Y$512,'PEGAR'!$O$13:$O$512,B351))</f>
      </c>
      <c r="Q351" s="0">
        <f>IF(B351="","",SUMIFS('PEGAR'!$Z$13:$Z$512,'PEGAR'!$O$13:$O$512,B351))</f>
      </c>
      <c r="R351" s="0" t="n">
        <f>IF(OR(B351="",D351=""),0,SUMPRODUCT(--($B$13:$B$512&lt;&gt;""),--($D$13:$D$512=D351),--($C$13:$C$512=C351))-1)</f>
        <v>0</v>
      </c>
      <c r="S351" s="0" t="n">
        <f>IF(OR(B351="",D351=""),0,SUMPRODUCT(--($B$13:$B$512&lt;&gt;""),--($D$13:$D$512=D351),--($C$13:$C$512&lt;&gt;C351)))</f>
        <v>0</v>
      </c>
      <c r="T351" s="0" t="n">
        <f>IF(OR(B351="",D351=""),0,SUMPRODUCT(--($B$13:$B$512&lt;&gt;""),--($D$13:$D$512=D351),--($E$13:$E$512&lt;&gt;E351)))</f>
        <v>0</v>
      </c>
      <c r="U351" s="0" t="n">
        <f>IF(B351="",0,IF(SUMPRODUCT(--('LÉEME'!$C$65:$C$86=E351))=0,1,0))</f>
        <v>0</v>
      </c>
      <c r="V351" s="0">
        <f>IF(B351="","",SUMIFS('PEGAR'!$AA$13:$AA$512,'PEGAR'!$O$13:$O$512,B351))</f>
      </c>
      <c r="W351" s="0">
        <f>IF(B351="","",IF(OR(L351=0,N351&gt;0,T351&gt;0,IF(ISNUMBER(H351),ROUND(ABS(H351),8)&gt;$F$6,FALSE)),2,IF(OR(M351=0,O351&gt;0,P351&gt;0,Q351&gt;0,R351&gt;0,S351&gt;0,U351&gt;0,V351&gt;0),1,0)))</f>
      </c>
      <c r="X351" s="0">
        <f>IF(B351="","",IF(ISNUMBER(G351),1,0))</f>
      </c>
      <c r="AB351" s="0">
        <f>IF(AND(ISNUMBER(W351),W351&gt;0),"ID "&amp;B351,"")</f>
      </c>
      <c r="AC351" s="0">
        <f>IF(AND(ISNUMBER(W351),W351&gt;0),C351,"")</f>
      </c>
      <c r="AD351" s="0">
        <f>IF(AND(ISNUMBER(W351),W351&gt;0),D351,"")</f>
      </c>
      <c r="AE351" s="0">
        <f>IF(AND(ISNUMBER(W351),W351&gt;0),IF(INDEX('PEGAR'!$D$13:$D$512,IF(L351&gt;0,L351,K351))="","Sin descripción",INDEX('PEGAR'!$D$13:$D$512,IF(L351&gt;0,L351,K351))),"")</f>
      </c>
      <c r="AF351" s="0">
        <f>IF(AND(ISNUMBER(W351),W351&gt;0),J351,"")</f>
      </c>
      <c r="AG351" s="0" t="n">
        <f>IF(AND(ISNUMBER(W351),W351&gt;0),W351,0)</f>
        <v>0</v>
      </c>
      <c r="AH351" s="0">
        <f>IF(AG351&gt;0,COUNTIFS($AG$13:AG351,"&gt;0"),"")</f>
      </c>
    </row>
    <row r="352" ht="22" customHeight="1">
      <c r="B352" s="27">
        <f>IF(K352="","",INDEX('PEGAR'!$O$13:$O$512,K352))</f>
      </c>
      <c r="C352" s="30">
        <f>IF(B352="","",IF(LEN(TRIM(INDEX('PEGAR'!$B$13:$B$512,IF(L352&gt;0,L352,K352))&amp;""))=0,"Sin capítulo",TRIM(INDEX('PEGAR'!$B$13:$B$512,IF(L352&gt;0,L352,K352))&amp;"")))</f>
      </c>
      <c r="D352" s="27">
        <f>IF(B352="","",IF(LEN(TRIM(INDEX('PEGAR'!$C$13:$C$512,IF(L352&gt;0,L352,K352))&amp;""))=0,"",TRIM(INDEX('PEGAR'!$C$13:$C$512,IF(L352&gt;0,L352,K352))&amp;"")))</f>
      </c>
      <c r="E352" s="27">
        <f>IF(B352="","",INDEX('PEGAR'!$S$13:$S$512,IF(L352&gt;0,L352,K352)))</f>
      </c>
      <c r="F352" s="39">
        <f>IF(B352="","",IF(L352&gt;0,INDEX('PEGAR'!$F$13:$F$512,L352),""))</f>
      </c>
      <c r="G352" s="39">
        <f>IF(B352="","",IF(OR(M352=0,N352&gt;0,O352&gt;0),"",SUMIFS('PEGAR'!$M$13:$M$512,'PEGAR'!$O$13:$O$512,B352)))</f>
      </c>
      <c r="H352" s="39">
        <f>IF(AND(ISNUMBER(F352),ISNUMBER(G352)),G352-F352,"")</f>
      </c>
      <c r="I352" s="27">
        <f>IF(B352="","",IF(W352=2,"ROJO",IF(W352=1,"ÁMBAR","VERDE")))</f>
      </c>
      <c r="J352" s="30">
        <f>IF(B352="","",IF(W352=0,"Sin avisos numéricos. Revisamos el alcance aparte.",IF(L352=0,"Faltan datos completos de partida; no elegimos un total por suposición."&amp;CHAR(10),"")&amp;IF(N352&gt;0,"Hay filas incompletas o contradictorias; las revisamos en PEGAR."&amp;CHAR(10),"")&amp;IF(O352&gt;0,"Faltan las medidas de alguna fila; no cerramos la suma."&amp;CHAR(10),"")&amp;IF(M352=0,"No constan líneas de medición."&amp;CHAR(10),"")&amp;IF(IF(ISNUMBER(H352),ROUND(ABS(H352),8)&gt;$F$6,FALSE),"Las líneas difieren del total en más de 0,01; confirmamos cantidad o exclusión."&amp;CHAR(10),"")&amp;IF(P352&gt;0,"Parece m³: encontramos tres dimensiones bajo m²."&amp;CHAR(10),"")&amp;IF(R352&gt;0,"Código repetido dentro del capítulo; mantenemos sus ID separados."&amp;CHAR(10),"")&amp;IF(S352&gt;0,"Código repetido en otro capítulo; no unimos las partidas."&amp;CHAR(10),"")&amp;IF(T352&gt;0,"Mismo código con unidades distintas; pedimos aclaración."&amp;CHAR(10),"")&amp;IF(Q352&gt;0,"Hay más precisión que los decimales indicados; cotejamos el formato original."&amp;CHAR(10),"")&amp;IF(U352&gt;0,"Unidad sin normalizar; cotejamos su significado antes de sumar unidades."&amp;CHAR(10),"")&amp;IF(V352&gt;0,"Revisamos dimensiones, cantidades directas, ceros o deducciones en PEGAR."&amp;CHAR(10),"")))</f>
      </c>
      <c r="K352" s="0">
        <f>IF(340&gt;'RESUMEN'!$E$6,"",MATCH(340,'PEGAR'!$W$13:$W$512,0))</f>
      </c>
      <c r="L352" s="0">
        <f>IF(K352="","",INDEX('PEGAR'!$R$13:$R$512,K352))</f>
      </c>
      <c r="M352" s="0">
        <f>IF(B352="","",COUNTIFS('PEGAR'!$O$13:$O$512,B352,'PEGAR'!$P$13:$P$512,"DIMENSIONES")+COUNTIFS('PEGAR'!$O$13:$O$512,B352,'PEGAR'!$P$13:$P$512,"DIRECTA"))</f>
      </c>
      <c r="N352" s="0">
        <f>IF(B352="","",COUNTIFS('PEGAR'!$O$13:$O$512,B352,'PEGAR'!$X$13:$X$512,2))</f>
      </c>
      <c r="O352" s="0">
        <f>IF(B352="","",COUNTIFS('PEGAR'!$O$13:$O$512,B352,'PEGAR'!$P$13:$P$512,"SIN LÍNEAS"))</f>
      </c>
      <c r="P352" s="0">
        <f>IF(B352="","",SUMIFS('PEGAR'!$Y$13:$Y$512,'PEGAR'!$O$13:$O$512,B352))</f>
      </c>
      <c r="Q352" s="0">
        <f>IF(B352="","",SUMIFS('PEGAR'!$Z$13:$Z$512,'PEGAR'!$O$13:$O$512,B352))</f>
      </c>
      <c r="R352" s="0" t="n">
        <f>IF(OR(B352="",D352=""),0,SUMPRODUCT(--($B$13:$B$512&lt;&gt;""),--($D$13:$D$512=D352),--($C$13:$C$512=C352))-1)</f>
        <v>0</v>
      </c>
      <c r="S352" s="0" t="n">
        <f>IF(OR(B352="",D352=""),0,SUMPRODUCT(--($B$13:$B$512&lt;&gt;""),--($D$13:$D$512=D352),--($C$13:$C$512&lt;&gt;C352)))</f>
        <v>0</v>
      </c>
      <c r="T352" s="0" t="n">
        <f>IF(OR(B352="",D352=""),0,SUMPRODUCT(--($B$13:$B$512&lt;&gt;""),--($D$13:$D$512=D352),--($E$13:$E$512&lt;&gt;E352)))</f>
        <v>0</v>
      </c>
      <c r="U352" s="0" t="n">
        <f>IF(B352="",0,IF(SUMPRODUCT(--('LÉEME'!$C$65:$C$86=E352))=0,1,0))</f>
        <v>0</v>
      </c>
      <c r="V352" s="0">
        <f>IF(B352="","",SUMIFS('PEGAR'!$AA$13:$AA$512,'PEGAR'!$O$13:$O$512,B352))</f>
      </c>
      <c r="W352" s="0">
        <f>IF(B352="","",IF(OR(L352=0,N352&gt;0,T352&gt;0,IF(ISNUMBER(H352),ROUND(ABS(H352),8)&gt;$F$6,FALSE)),2,IF(OR(M352=0,O352&gt;0,P352&gt;0,Q352&gt;0,R352&gt;0,S352&gt;0,U352&gt;0,V352&gt;0),1,0)))</f>
      </c>
      <c r="X352" s="0">
        <f>IF(B352="","",IF(ISNUMBER(G352),1,0))</f>
      </c>
      <c r="AB352" s="0">
        <f>IF(AND(ISNUMBER(W352),W352&gt;0),"ID "&amp;B352,"")</f>
      </c>
      <c r="AC352" s="0">
        <f>IF(AND(ISNUMBER(W352),W352&gt;0),C352,"")</f>
      </c>
      <c r="AD352" s="0">
        <f>IF(AND(ISNUMBER(W352),W352&gt;0),D352,"")</f>
      </c>
      <c r="AE352" s="0">
        <f>IF(AND(ISNUMBER(W352),W352&gt;0),IF(INDEX('PEGAR'!$D$13:$D$512,IF(L352&gt;0,L352,K352))="","Sin descripción",INDEX('PEGAR'!$D$13:$D$512,IF(L352&gt;0,L352,K352))),"")</f>
      </c>
      <c r="AF352" s="0">
        <f>IF(AND(ISNUMBER(W352),W352&gt;0),J352,"")</f>
      </c>
      <c r="AG352" s="0" t="n">
        <f>IF(AND(ISNUMBER(W352),W352&gt;0),W352,0)</f>
        <v>0</v>
      </c>
      <c r="AH352" s="0">
        <f>IF(AG352&gt;0,COUNTIFS($AG$13:AG352,"&gt;0"),"")</f>
      </c>
    </row>
    <row r="353" ht="22" customHeight="1">
      <c r="B353" s="27">
        <f>IF(K353="","",INDEX('PEGAR'!$O$13:$O$512,K353))</f>
      </c>
      <c r="C353" s="30">
        <f>IF(B353="","",IF(LEN(TRIM(INDEX('PEGAR'!$B$13:$B$512,IF(L353&gt;0,L353,K353))&amp;""))=0,"Sin capítulo",TRIM(INDEX('PEGAR'!$B$13:$B$512,IF(L353&gt;0,L353,K353))&amp;"")))</f>
      </c>
      <c r="D353" s="27">
        <f>IF(B353="","",IF(LEN(TRIM(INDEX('PEGAR'!$C$13:$C$512,IF(L353&gt;0,L353,K353))&amp;""))=0,"",TRIM(INDEX('PEGAR'!$C$13:$C$512,IF(L353&gt;0,L353,K353))&amp;"")))</f>
      </c>
      <c r="E353" s="27">
        <f>IF(B353="","",INDEX('PEGAR'!$S$13:$S$512,IF(L353&gt;0,L353,K353)))</f>
      </c>
      <c r="F353" s="39">
        <f>IF(B353="","",IF(L353&gt;0,INDEX('PEGAR'!$F$13:$F$512,L353),""))</f>
      </c>
      <c r="G353" s="39">
        <f>IF(B353="","",IF(OR(M353=0,N353&gt;0,O353&gt;0),"",SUMIFS('PEGAR'!$M$13:$M$512,'PEGAR'!$O$13:$O$512,B353)))</f>
      </c>
      <c r="H353" s="39">
        <f>IF(AND(ISNUMBER(F353),ISNUMBER(G353)),G353-F353,"")</f>
      </c>
      <c r="I353" s="27">
        <f>IF(B353="","",IF(W353=2,"ROJO",IF(W353=1,"ÁMBAR","VERDE")))</f>
      </c>
      <c r="J353" s="30">
        <f>IF(B353="","",IF(W353=0,"Sin avisos numéricos. Revisamos el alcance aparte.",IF(L353=0,"Faltan datos completos de partida; no elegimos un total por suposición."&amp;CHAR(10),"")&amp;IF(N353&gt;0,"Hay filas incompletas o contradictorias; las revisamos en PEGAR."&amp;CHAR(10),"")&amp;IF(O353&gt;0,"Faltan las medidas de alguna fila; no cerramos la suma."&amp;CHAR(10),"")&amp;IF(M353=0,"No constan líneas de medición."&amp;CHAR(10),"")&amp;IF(IF(ISNUMBER(H353),ROUND(ABS(H353),8)&gt;$F$6,FALSE),"Las líneas difieren del total en más de 0,01; confirmamos cantidad o exclusión."&amp;CHAR(10),"")&amp;IF(P353&gt;0,"Parece m³: encontramos tres dimensiones bajo m²."&amp;CHAR(10),"")&amp;IF(R353&gt;0,"Código repetido dentro del capítulo; mantenemos sus ID separados."&amp;CHAR(10),"")&amp;IF(S353&gt;0,"Código repetido en otro capítulo; no unimos las partidas."&amp;CHAR(10),"")&amp;IF(T353&gt;0,"Mismo código con unidades distintas; pedimos aclaración."&amp;CHAR(10),"")&amp;IF(Q353&gt;0,"Hay más precisión que los decimales indicados; cotejamos el formato original."&amp;CHAR(10),"")&amp;IF(U353&gt;0,"Unidad sin normalizar; cotejamos su significado antes de sumar unidades."&amp;CHAR(10),"")&amp;IF(V353&gt;0,"Revisamos dimensiones, cantidades directas, ceros o deducciones en PEGAR."&amp;CHAR(10),"")))</f>
      </c>
      <c r="K353" s="0">
        <f>IF(341&gt;'RESUMEN'!$E$6,"",MATCH(341,'PEGAR'!$W$13:$W$512,0))</f>
      </c>
      <c r="L353" s="0">
        <f>IF(K353="","",INDEX('PEGAR'!$R$13:$R$512,K353))</f>
      </c>
      <c r="M353" s="0">
        <f>IF(B353="","",COUNTIFS('PEGAR'!$O$13:$O$512,B353,'PEGAR'!$P$13:$P$512,"DIMENSIONES")+COUNTIFS('PEGAR'!$O$13:$O$512,B353,'PEGAR'!$P$13:$P$512,"DIRECTA"))</f>
      </c>
      <c r="N353" s="0">
        <f>IF(B353="","",COUNTIFS('PEGAR'!$O$13:$O$512,B353,'PEGAR'!$X$13:$X$512,2))</f>
      </c>
      <c r="O353" s="0">
        <f>IF(B353="","",COUNTIFS('PEGAR'!$O$13:$O$512,B353,'PEGAR'!$P$13:$P$512,"SIN LÍNEAS"))</f>
      </c>
      <c r="P353" s="0">
        <f>IF(B353="","",SUMIFS('PEGAR'!$Y$13:$Y$512,'PEGAR'!$O$13:$O$512,B353))</f>
      </c>
      <c r="Q353" s="0">
        <f>IF(B353="","",SUMIFS('PEGAR'!$Z$13:$Z$512,'PEGAR'!$O$13:$O$512,B353))</f>
      </c>
      <c r="R353" s="0" t="n">
        <f>IF(OR(B353="",D353=""),0,SUMPRODUCT(--($B$13:$B$512&lt;&gt;""),--($D$13:$D$512=D353),--($C$13:$C$512=C353))-1)</f>
        <v>0</v>
      </c>
      <c r="S353" s="0" t="n">
        <f>IF(OR(B353="",D353=""),0,SUMPRODUCT(--($B$13:$B$512&lt;&gt;""),--($D$13:$D$512=D353),--($C$13:$C$512&lt;&gt;C353)))</f>
        <v>0</v>
      </c>
      <c r="T353" s="0" t="n">
        <f>IF(OR(B353="",D353=""),0,SUMPRODUCT(--($B$13:$B$512&lt;&gt;""),--($D$13:$D$512=D353),--($E$13:$E$512&lt;&gt;E353)))</f>
        <v>0</v>
      </c>
      <c r="U353" s="0" t="n">
        <f>IF(B353="",0,IF(SUMPRODUCT(--('LÉEME'!$C$65:$C$86=E353))=0,1,0))</f>
        <v>0</v>
      </c>
      <c r="V353" s="0">
        <f>IF(B353="","",SUMIFS('PEGAR'!$AA$13:$AA$512,'PEGAR'!$O$13:$O$512,B353))</f>
      </c>
      <c r="W353" s="0">
        <f>IF(B353="","",IF(OR(L353=0,N353&gt;0,T353&gt;0,IF(ISNUMBER(H353),ROUND(ABS(H353),8)&gt;$F$6,FALSE)),2,IF(OR(M353=0,O353&gt;0,P353&gt;0,Q353&gt;0,R353&gt;0,S353&gt;0,U353&gt;0,V353&gt;0),1,0)))</f>
      </c>
      <c r="X353" s="0">
        <f>IF(B353="","",IF(ISNUMBER(G353),1,0))</f>
      </c>
      <c r="AB353" s="0">
        <f>IF(AND(ISNUMBER(W353),W353&gt;0),"ID "&amp;B353,"")</f>
      </c>
      <c r="AC353" s="0">
        <f>IF(AND(ISNUMBER(W353),W353&gt;0),C353,"")</f>
      </c>
      <c r="AD353" s="0">
        <f>IF(AND(ISNUMBER(W353),W353&gt;0),D353,"")</f>
      </c>
      <c r="AE353" s="0">
        <f>IF(AND(ISNUMBER(W353),W353&gt;0),IF(INDEX('PEGAR'!$D$13:$D$512,IF(L353&gt;0,L353,K353))="","Sin descripción",INDEX('PEGAR'!$D$13:$D$512,IF(L353&gt;0,L353,K353))),"")</f>
      </c>
      <c r="AF353" s="0">
        <f>IF(AND(ISNUMBER(W353),W353&gt;0),J353,"")</f>
      </c>
      <c r="AG353" s="0" t="n">
        <f>IF(AND(ISNUMBER(W353),W353&gt;0),W353,0)</f>
        <v>0</v>
      </c>
      <c r="AH353" s="0">
        <f>IF(AG353&gt;0,COUNTIFS($AG$13:AG353,"&gt;0"),"")</f>
      </c>
    </row>
    <row r="354" ht="22" customHeight="1">
      <c r="B354" s="27">
        <f>IF(K354="","",INDEX('PEGAR'!$O$13:$O$512,K354))</f>
      </c>
      <c r="C354" s="30">
        <f>IF(B354="","",IF(LEN(TRIM(INDEX('PEGAR'!$B$13:$B$512,IF(L354&gt;0,L354,K354))&amp;""))=0,"Sin capítulo",TRIM(INDEX('PEGAR'!$B$13:$B$512,IF(L354&gt;0,L354,K354))&amp;"")))</f>
      </c>
      <c r="D354" s="27">
        <f>IF(B354="","",IF(LEN(TRIM(INDEX('PEGAR'!$C$13:$C$512,IF(L354&gt;0,L354,K354))&amp;""))=0,"",TRIM(INDEX('PEGAR'!$C$13:$C$512,IF(L354&gt;0,L354,K354))&amp;"")))</f>
      </c>
      <c r="E354" s="27">
        <f>IF(B354="","",INDEX('PEGAR'!$S$13:$S$512,IF(L354&gt;0,L354,K354)))</f>
      </c>
      <c r="F354" s="39">
        <f>IF(B354="","",IF(L354&gt;0,INDEX('PEGAR'!$F$13:$F$512,L354),""))</f>
      </c>
      <c r="G354" s="39">
        <f>IF(B354="","",IF(OR(M354=0,N354&gt;0,O354&gt;0),"",SUMIFS('PEGAR'!$M$13:$M$512,'PEGAR'!$O$13:$O$512,B354)))</f>
      </c>
      <c r="H354" s="39">
        <f>IF(AND(ISNUMBER(F354),ISNUMBER(G354)),G354-F354,"")</f>
      </c>
      <c r="I354" s="27">
        <f>IF(B354="","",IF(W354=2,"ROJO",IF(W354=1,"ÁMBAR","VERDE")))</f>
      </c>
      <c r="J354" s="30">
        <f>IF(B354="","",IF(W354=0,"Sin avisos numéricos. Revisamos el alcance aparte.",IF(L354=0,"Faltan datos completos de partida; no elegimos un total por suposición."&amp;CHAR(10),"")&amp;IF(N354&gt;0,"Hay filas incompletas o contradictorias; las revisamos en PEGAR."&amp;CHAR(10),"")&amp;IF(O354&gt;0,"Faltan las medidas de alguna fila; no cerramos la suma."&amp;CHAR(10),"")&amp;IF(M354=0,"No constan líneas de medición."&amp;CHAR(10),"")&amp;IF(IF(ISNUMBER(H354),ROUND(ABS(H354),8)&gt;$F$6,FALSE),"Las líneas difieren del total en más de 0,01; confirmamos cantidad o exclusión."&amp;CHAR(10),"")&amp;IF(P354&gt;0,"Parece m³: encontramos tres dimensiones bajo m²."&amp;CHAR(10),"")&amp;IF(R354&gt;0,"Código repetido dentro del capítulo; mantenemos sus ID separados."&amp;CHAR(10),"")&amp;IF(S354&gt;0,"Código repetido en otro capítulo; no unimos las partidas."&amp;CHAR(10),"")&amp;IF(T354&gt;0,"Mismo código con unidades distintas; pedimos aclaración."&amp;CHAR(10),"")&amp;IF(Q354&gt;0,"Hay más precisión que los decimales indicados; cotejamos el formato original."&amp;CHAR(10),"")&amp;IF(U354&gt;0,"Unidad sin normalizar; cotejamos su significado antes de sumar unidades."&amp;CHAR(10),"")&amp;IF(V354&gt;0,"Revisamos dimensiones, cantidades directas, ceros o deducciones en PEGAR."&amp;CHAR(10),"")))</f>
      </c>
      <c r="K354" s="0">
        <f>IF(342&gt;'RESUMEN'!$E$6,"",MATCH(342,'PEGAR'!$W$13:$W$512,0))</f>
      </c>
      <c r="L354" s="0">
        <f>IF(K354="","",INDEX('PEGAR'!$R$13:$R$512,K354))</f>
      </c>
      <c r="M354" s="0">
        <f>IF(B354="","",COUNTIFS('PEGAR'!$O$13:$O$512,B354,'PEGAR'!$P$13:$P$512,"DIMENSIONES")+COUNTIFS('PEGAR'!$O$13:$O$512,B354,'PEGAR'!$P$13:$P$512,"DIRECTA"))</f>
      </c>
      <c r="N354" s="0">
        <f>IF(B354="","",COUNTIFS('PEGAR'!$O$13:$O$512,B354,'PEGAR'!$X$13:$X$512,2))</f>
      </c>
      <c r="O354" s="0">
        <f>IF(B354="","",COUNTIFS('PEGAR'!$O$13:$O$512,B354,'PEGAR'!$P$13:$P$512,"SIN LÍNEAS"))</f>
      </c>
      <c r="P354" s="0">
        <f>IF(B354="","",SUMIFS('PEGAR'!$Y$13:$Y$512,'PEGAR'!$O$13:$O$512,B354))</f>
      </c>
      <c r="Q354" s="0">
        <f>IF(B354="","",SUMIFS('PEGAR'!$Z$13:$Z$512,'PEGAR'!$O$13:$O$512,B354))</f>
      </c>
      <c r="R354" s="0" t="n">
        <f>IF(OR(B354="",D354=""),0,SUMPRODUCT(--($B$13:$B$512&lt;&gt;""),--($D$13:$D$512=D354),--($C$13:$C$512=C354))-1)</f>
        <v>0</v>
      </c>
      <c r="S354" s="0" t="n">
        <f>IF(OR(B354="",D354=""),0,SUMPRODUCT(--($B$13:$B$512&lt;&gt;""),--($D$13:$D$512=D354),--($C$13:$C$512&lt;&gt;C354)))</f>
        <v>0</v>
      </c>
      <c r="T354" s="0" t="n">
        <f>IF(OR(B354="",D354=""),0,SUMPRODUCT(--($B$13:$B$512&lt;&gt;""),--($D$13:$D$512=D354),--($E$13:$E$512&lt;&gt;E354)))</f>
        <v>0</v>
      </c>
      <c r="U354" s="0" t="n">
        <f>IF(B354="",0,IF(SUMPRODUCT(--('LÉEME'!$C$65:$C$86=E354))=0,1,0))</f>
        <v>0</v>
      </c>
      <c r="V354" s="0">
        <f>IF(B354="","",SUMIFS('PEGAR'!$AA$13:$AA$512,'PEGAR'!$O$13:$O$512,B354))</f>
      </c>
      <c r="W354" s="0">
        <f>IF(B354="","",IF(OR(L354=0,N354&gt;0,T354&gt;0,IF(ISNUMBER(H354),ROUND(ABS(H354),8)&gt;$F$6,FALSE)),2,IF(OR(M354=0,O354&gt;0,P354&gt;0,Q354&gt;0,R354&gt;0,S354&gt;0,U354&gt;0,V354&gt;0),1,0)))</f>
      </c>
      <c r="X354" s="0">
        <f>IF(B354="","",IF(ISNUMBER(G354),1,0))</f>
      </c>
      <c r="AB354" s="0">
        <f>IF(AND(ISNUMBER(W354),W354&gt;0),"ID "&amp;B354,"")</f>
      </c>
      <c r="AC354" s="0">
        <f>IF(AND(ISNUMBER(W354),W354&gt;0),C354,"")</f>
      </c>
      <c r="AD354" s="0">
        <f>IF(AND(ISNUMBER(W354),W354&gt;0),D354,"")</f>
      </c>
      <c r="AE354" s="0">
        <f>IF(AND(ISNUMBER(W354),W354&gt;0),IF(INDEX('PEGAR'!$D$13:$D$512,IF(L354&gt;0,L354,K354))="","Sin descripción",INDEX('PEGAR'!$D$13:$D$512,IF(L354&gt;0,L354,K354))),"")</f>
      </c>
      <c r="AF354" s="0">
        <f>IF(AND(ISNUMBER(W354),W354&gt;0),J354,"")</f>
      </c>
      <c r="AG354" s="0" t="n">
        <f>IF(AND(ISNUMBER(W354),W354&gt;0),W354,0)</f>
        <v>0</v>
      </c>
      <c r="AH354" s="0">
        <f>IF(AG354&gt;0,COUNTIFS($AG$13:AG354,"&gt;0"),"")</f>
      </c>
    </row>
    <row r="355" ht="22" customHeight="1">
      <c r="B355" s="27">
        <f>IF(K355="","",INDEX('PEGAR'!$O$13:$O$512,K355))</f>
      </c>
      <c r="C355" s="30">
        <f>IF(B355="","",IF(LEN(TRIM(INDEX('PEGAR'!$B$13:$B$512,IF(L355&gt;0,L355,K355))&amp;""))=0,"Sin capítulo",TRIM(INDEX('PEGAR'!$B$13:$B$512,IF(L355&gt;0,L355,K355))&amp;"")))</f>
      </c>
      <c r="D355" s="27">
        <f>IF(B355="","",IF(LEN(TRIM(INDEX('PEGAR'!$C$13:$C$512,IF(L355&gt;0,L355,K355))&amp;""))=0,"",TRIM(INDEX('PEGAR'!$C$13:$C$512,IF(L355&gt;0,L355,K355))&amp;"")))</f>
      </c>
      <c r="E355" s="27">
        <f>IF(B355="","",INDEX('PEGAR'!$S$13:$S$512,IF(L355&gt;0,L355,K355)))</f>
      </c>
      <c r="F355" s="39">
        <f>IF(B355="","",IF(L355&gt;0,INDEX('PEGAR'!$F$13:$F$512,L355),""))</f>
      </c>
      <c r="G355" s="39">
        <f>IF(B355="","",IF(OR(M355=0,N355&gt;0,O355&gt;0),"",SUMIFS('PEGAR'!$M$13:$M$512,'PEGAR'!$O$13:$O$512,B355)))</f>
      </c>
      <c r="H355" s="39">
        <f>IF(AND(ISNUMBER(F355),ISNUMBER(G355)),G355-F355,"")</f>
      </c>
      <c r="I355" s="27">
        <f>IF(B355="","",IF(W355=2,"ROJO",IF(W355=1,"ÁMBAR","VERDE")))</f>
      </c>
      <c r="J355" s="30">
        <f>IF(B355="","",IF(W355=0,"Sin avisos numéricos. Revisamos el alcance aparte.",IF(L355=0,"Faltan datos completos de partida; no elegimos un total por suposición."&amp;CHAR(10),"")&amp;IF(N355&gt;0,"Hay filas incompletas o contradictorias; las revisamos en PEGAR."&amp;CHAR(10),"")&amp;IF(O355&gt;0,"Faltan las medidas de alguna fila; no cerramos la suma."&amp;CHAR(10),"")&amp;IF(M355=0,"No constan líneas de medición."&amp;CHAR(10),"")&amp;IF(IF(ISNUMBER(H355),ROUND(ABS(H355),8)&gt;$F$6,FALSE),"Las líneas difieren del total en más de 0,01; confirmamos cantidad o exclusión."&amp;CHAR(10),"")&amp;IF(P355&gt;0,"Parece m³: encontramos tres dimensiones bajo m²."&amp;CHAR(10),"")&amp;IF(R355&gt;0,"Código repetido dentro del capítulo; mantenemos sus ID separados."&amp;CHAR(10),"")&amp;IF(S355&gt;0,"Código repetido en otro capítulo; no unimos las partidas."&amp;CHAR(10),"")&amp;IF(T355&gt;0,"Mismo código con unidades distintas; pedimos aclaración."&amp;CHAR(10),"")&amp;IF(Q355&gt;0,"Hay más precisión que los decimales indicados; cotejamos el formato original."&amp;CHAR(10),"")&amp;IF(U355&gt;0,"Unidad sin normalizar; cotejamos su significado antes de sumar unidades."&amp;CHAR(10),"")&amp;IF(V355&gt;0,"Revisamos dimensiones, cantidades directas, ceros o deducciones en PEGAR."&amp;CHAR(10),"")))</f>
      </c>
      <c r="K355" s="0">
        <f>IF(343&gt;'RESUMEN'!$E$6,"",MATCH(343,'PEGAR'!$W$13:$W$512,0))</f>
      </c>
      <c r="L355" s="0">
        <f>IF(K355="","",INDEX('PEGAR'!$R$13:$R$512,K355))</f>
      </c>
      <c r="M355" s="0">
        <f>IF(B355="","",COUNTIFS('PEGAR'!$O$13:$O$512,B355,'PEGAR'!$P$13:$P$512,"DIMENSIONES")+COUNTIFS('PEGAR'!$O$13:$O$512,B355,'PEGAR'!$P$13:$P$512,"DIRECTA"))</f>
      </c>
      <c r="N355" s="0">
        <f>IF(B355="","",COUNTIFS('PEGAR'!$O$13:$O$512,B355,'PEGAR'!$X$13:$X$512,2))</f>
      </c>
      <c r="O355" s="0">
        <f>IF(B355="","",COUNTIFS('PEGAR'!$O$13:$O$512,B355,'PEGAR'!$P$13:$P$512,"SIN LÍNEAS"))</f>
      </c>
      <c r="P355" s="0">
        <f>IF(B355="","",SUMIFS('PEGAR'!$Y$13:$Y$512,'PEGAR'!$O$13:$O$512,B355))</f>
      </c>
      <c r="Q355" s="0">
        <f>IF(B355="","",SUMIFS('PEGAR'!$Z$13:$Z$512,'PEGAR'!$O$13:$O$512,B355))</f>
      </c>
      <c r="R355" s="0" t="n">
        <f>IF(OR(B355="",D355=""),0,SUMPRODUCT(--($B$13:$B$512&lt;&gt;""),--($D$13:$D$512=D355),--($C$13:$C$512=C355))-1)</f>
        <v>0</v>
      </c>
      <c r="S355" s="0" t="n">
        <f>IF(OR(B355="",D355=""),0,SUMPRODUCT(--($B$13:$B$512&lt;&gt;""),--($D$13:$D$512=D355),--($C$13:$C$512&lt;&gt;C355)))</f>
        <v>0</v>
      </c>
      <c r="T355" s="0" t="n">
        <f>IF(OR(B355="",D355=""),0,SUMPRODUCT(--($B$13:$B$512&lt;&gt;""),--($D$13:$D$512=D355),--($E$13:$E$512&lt;&gt;E355)))</f>
        <v>0</v>
      </c>
      <c r="U355" s="0" t="n">
        <f>IF(B355="",0,IF(SUMPRODUCT(--('LÉEME'!$C$65:$C$86=E355))=0,1,0))</f>
        <v>0</v>
      </c>
      <c r="V355" s="0">
        <f>IF(B355="","",SUMIFS('PEGAR'!$AA$13:$AA$512,'PEGAR'!$O$13:$O$512,B355))</f>
      </c>
      <c r="W355" s="0">
        <f>IF(B355="","",IF(OR(L355=0,N355&gt;0,T355&gt;0,IF(ISNUMBER(H355),ROUND(ABS(H355),8)&gt;$F$6,FALSE)),2,IF(OR(M355=0,O355&gt;0,P355&gt;0,Q355&gt;0,R355&gt;0,S355&gt;0,U355&gt;0,V355&gt;0),1,0)))</f>
      </c>
      <c r="X355" s="0">
        <f>IF(B355="","",IF(ISNUMBER(G355),1,0))</f>
      </c>
      <c r="AB355" s="0">
        <f>IF(AND(ISNUMBER(W355),W355&gt;0),"ID "&amp;B355,"")</f>
      </c>
      <c r="AC355" s="0">
        <f>IF(AND(ISNUMBER(W355),W355&gt;0),C355,"")</f>
      </c>
      <c r="AD355" s="0">
        <f>IF(AND(ISNUMBER(W355),W355&gt;0),D355,"")</f>
      </c>
      <c r="AE355" s="0">
        <f>IF(AND(ISNUMBER(W355),W355&gt;0),IF(INDEX('PEGAR'!$D$13:$D$512,IF(L355&gt;0,L355,K355))="","Sin descripción",INDEX('PEGAR'!$D$13:$D$512,IF(L355&gt;0,L355,K355))),"")</f>
      </c>
      <c r="AF355" s="0">
        <f>IF(AND(ISNUMBER(W355),W355&gt;0),J355,"")</f>
      </c>
      <c r="AG355" s="0" t="n">
        <f>IF(AND(ISNUMBER(W355),W355&gt;0),W355,0)</f>
        <v>0</v>
      </c>
      <c r="AH355" s="0">
        <f>IF(AG355&gt;0,COUNTIFS($AG$13:AG355,"&gt;0"),"")</f>
      </c>
    </row>
    <row r="356" ht="22" customHeight="1">
      <c r="B356" s="27">
        <f>IF(K356="","",INDEX('PEGAR'!$O$13:$O$512,K356))</f>
      </c>
      <c r="C356" s="30">
        <f>IF(B356="","",IF(LEN(TRIM(INDEX('PEGAR'!$B$13:$B$512,IF(L356&gt;0,L356,K356))&amp;""))=0,"Sin capítulo",TRIM(INDEX('PEGAR'!$B$13:$B$512,IF(L356&gt;0,L356,K356))&amp;"")))</f>
      </c>
      <c r="D356" s="27">
        <f>IF(B356="","",IF(LEN(TRIM(INDEX('PEGAR'!$C$13:$C$512,IF(L356&gt;0,L356,K356))&amp;""))=0,"",TRIM(INDEX('PEGAR'!$C$13:$C$512,IF(L356&gt;0,L356,K356))&amp;"")))</f>
      </c>
      <c r="E356" s="27">
        <f>IF(B356="","",INDEX('PEGAR'!$S$13:$S$512,IF(L356&gt;0,L356,K356)))</f>
      </c>
      <c r="F356" s="39">
        <f>IF(B356="","",IF(L356&gt;0,INDEX('PEGAR'!$F$13:$F$512,L356),""))</f>
      </c>
      <c r="G356" s="39">
        <f>IF(B356="","",IF(OR(M356=0,N356&gt;0,O356&gt;0),"",SUMIFS('PEGAR'!$M$13:$M$512,'PEGAR'!$O$13:$O$512,B356)))</f>
      </c>
      <c r="H356" s="39">
        <f>IF(AND(ISNUMBER(F356),ISNUMBER(G356)),G356-F356,"")</f>
      </c>
      <c r="I356" s="27">
        <f>IF(B356="","",IF(W356=2,"ROJO",IF(W356=1,"ÁMBAR","VERDE")))</f>
      </c>
      <c r="J356" s="30">
        <f>IF(B356="","",IF(W356=0,"Sin avisos numéricos. Revisamos el alcance aparte.",IF(L356=0,"Faltan datos completos de partida; no elegimos un total por suposición."&amp;CHAR(10),"")&amp;IF(N356&gt;0,"Hay filas incompletas o contradictorias; las revisamos en PEGAR."&amp;CHAR(10),"")&amp;IF(O356&gt;0,"Faltan las medidas de alguna fila; no cerramos la suma."&amp;CHAR(10),"")&amp;IF(M356=0,"No constan líneas de medición."&amp;CHAR(10),"")&amp;IF(IF(ISNUMBER(H356),ROUND(ABS(H356),8)&gt;$F$6,FALSE),"Las líneas difieren del total en más de 0,01; confirmamos cantidad o exclusión."&amp;CHAR(10),"")&amp;IF(P356&gt;0,"Parece m³: encontramos tres dimensiones bajo m²."&amp;CHAR(10),"")&amp;IF(R356&gt;0,"Código repetido dentro del capítulo; mantenemos sus ID separados."&amp;CHAR(10),"")&amp;IF(S356&gt;0,"Código repetido en otro capítulo; no unimos las partidas."&amp;CHAR(10),"")&amp;IF(T356&gt;0,"Mismo código con unidades distintas; pedimos aclaración."&amp;CHAR(10),"")&amp;IF(Q356&gt;0,"Hay más precisión que los decimales indicados; cotejamos el formato original."&amp;CHAR(10),"")&amp;IF(U356&gt;0,"Unidad sin normalizar; cotejamos su significado antes de sumar unidades."&amp;CHAR(10),"")&amp;IF(V356&gt;0,"Revisamos dimensiones, cantidades directas, ceros o deducciones en PEGAR."&amp;CHAR(10),"")))</f>
      </c>
      <c r="K356" s="0">
        <f>IF(344&gt;'RESUMEN'!$E$6,"",MATCH(344,'PEGAR'!$W$13:$W$512,0))</f>
      </c>
      <c r="L356" s="0">
        <f>IF(K356="","",INDEX('PEGAR'!$R$13:$R$512,K356))</f>
      </c>
      <c r="M356" s="0">
        <f>IF(B356="","",COUNTIFS('PEGAR'!$O$13:$O$512,B356,'PEGAR'!$P$13:$P$512,"DIMENSIONES")+COUNTIFS('PEGAR'!$O$13:$O$512,B356,'PEGAR'!$P$13:$P$512,"DIRECTA"))</f>
      </c>
      <c r="N356" s="0">
        <f>IF(B356="","",COUNTIFS('PEGAR'!$O$13:$O$512,B356,'PEGAR'!$X$13:$X$512,2))</f>
      </c>
      <c r="O356" s="0">
        <f>IF(B356="","",COUNTIFS('PEGAR'!$O$13:$O$512,B356,'PEGAR'!$P$13:$P$512,"SIN LÍNEAS"))</f>
      </c>
      <c r="P356" s="0">
        <f>IF(B356="","",SUMIFS('PEGAR'!$Y$13:$Y$512,'PEGAR'!$O$13:$O$512,B356))</f>
      </c>
      <c r="Q356" s="0">
        <f>IF(B356="","",SUMIFS('PEGAR'!$Z$13:$Z$512,'PEGAR'!$O$13:$O$512,B356))</f>
      </c>
      <c r="R356" s="0" t="n">
        <f>IF(OR(B356="",D356=""),0,SUMPRODUCT(--($B$13:$B$512&lt;&gt;""),--($D$13:$D$512=D356),--($C$13:$C$512=C356))-1)</f>
        <v>0</v>
      </c>
      <c r="S356" s="0" t="n">
        <f>IF(OR(B356="",D356=""),0,SUMPRODUCT(--($B$13:$B$512&lt;&gt;""),--($D$13:$D$512=D356),--($C$13:$C$512&lt;&gt;C356)))</f>
        <v>0</v>
      </c>
      <c r="T356" s="0" t="n">
        <f>IF(OR(B356="",D356=""),0,SUMPRODUCT(--($B$13:$B$512&lt;&gt;""),--($D$13:$D$512=D356),--($E$13:$E$512&lt;&gt;E356)))</f>
        <v>0</v>
      </c>
      <c r="U356" s="0" t="n">
        <f>IF(B356="",0,IF(SUMPRODUCT(--('LÉEME'!$C$65:$C$86=E356))=0,1,0))</f>
        <v>0</v>
      </c>
      <c r="V356" s="0">
        <f>IF(B356="","",SUMIFS('PEGAR'!$AA$13:$AA$512,'PEGAR'!$O$13:$O$512,B356))</f>
      </c>
      <c r="W356" s="0">
        <f>IF(B356="","",IF(OR(L356=0,N356&gt;0,T356&gt;0,IF(ISNUMBER(H356),ROUND(ABS(H356),8)&gt;$F$6,FALSE)),2,IF(OR(M356=0,O356&gt;0,P356&gt;0,Q356&gt;0,R356&gt;0,S356&gt;0,U356&gt;0,V356&gt;0),1,0)))</f>
      </c>
      <c r="X356" s="0">
        <f>IF(B356="","",IF(ISNUMBER(G356),1,0))</f>
      </c>
      <c r="AB356" s="0">
        <f>IF(AND(ISNUMBER(W356),W356&gt;0),"ID "&amp;B356,"")</f>
      </c>
      <c r="AC356" s="0">
        <f>IF(AND(ISNUMBER(W356),W356&gt;0),C356,"")</f>
      </c>
      <c r="AD356" s="0">
        <f>IF(AND(ISNUMBER(W356),W356&gt;0),D356,"")</f>
      </c>
      <c r="AE356" s="0">
        <f>IF(AND(ISNUMBER(W356),W356&gt;0),IF(INDEX('PEGAR'!$D$13:$D$512,IF(L356&gt;0,L356,K356))="","Sin descripción",INDEX('PEGAR'!$D$13:$D$512,IF(L356&gt;0,L356,K356))),"")</f>
      </c>
      <c r="AF356" s="0">
        <f>IF(AND(ISNUMBER(W356),W356&gt;0),J356,"")</f>
      </c>
      <c r="AG356" s="0" t="n">
        <f>IF(AND(ISNUMBER(W356),W356&gt;0),W356,0)</f>
        <v>0</v>
      </c>
      <c r="AH356" s="0">
        <f>IF(AG356&gt;0,COUNTIFS($AG$13:AG356,"&gt;0"),"")</f>
      </c>
    </row>
    <row r="357" ht="22" customHeight="1">
      <c r="B357" s="27">
        <f>IF(K357="","",INDEX('PEGAR'!$O$13:$O$512,K357))</f>
      </c>
      <c r="C357" s="30">
        <f>IF(B357="","",IF(LEN(TRIM(INDEX('PEGAR'!$B$13:$B$512,IF(L357&gt;0,L357,K357))&amp;""))=0,"Sin capítulo",TRIM(INDEX('PEGAR'!$B$13:$B$512,IF(L357&gt;0,L357,K357))&amp;"")))</f>
      </c>
      <c r="D357" s="27">
        <f>IF(B357="","",IF(LEN(TRIM(INDEX('PEGAR'!$C$13:$C$512,IF(L357&gt;0,L357,K357))&amp;""))=0,"",TRIM(INDEX('PEGAR'!$C$13:$C$512,IF(L357&gt;0,L357,K357))&amp;"")))</f>
      </c>
      <c r="E357" s="27">
        <f>IF(B357="","",INDEX('PEGAR'!$S$13:$S$512,IF(L357&gt;0,L357,K357)))</f>
      </c>
      <c r="F357" s="39">
        <f>IF(B357="","",IF(L357&gt;0,INDEX('PEGAR'!$F$13:$F$512,L357),""))</f>
      </c>
      <c r="G357" s="39">
        <f>IF(B357="","",IF(OR(M357=0,N357&gt;0,O357&gt;0),"",SUMIFS('PEGAR'!$M$13:$M$512,'PEGAR'!$O$13:$O$512,B357)))</f>
      </c>
      <c r="H357" s="39">
        <f>IF(AND(ISNUMBER(F357),ISNUMBER(G357)),G357-F357,"")</f>
      </c>
      <c r="I357" s="27">
        <f>IF(B357="","",IF(W357=2,"ROJO",IF(W357=1,"ÁMBAR","VERDE")))</f>
      </c>
      <c r="J357" s="30">
        <f>IF(B357="","",IF(W357=0,"Sin avisos numéricos. Revisamos el alcance aparte.",IF(L357=0,"Faltan datos completos de partida; no elegimos un total por suposición."&amp;CHAR(10),"")&amp;IF(N357&gt;0,"Hay filas incompletas o contradictorias; las revisamos en PEGAR."&amp;CHAR(10),"")&amp;IF(O357&gt;0,"Faltan las medidas de alguna fila; no cerramos la suma."&amp;CHAR(10),"")&amp;IF(M357=0,"No constan líneas de medición."&amp;CHAR(10),"")&amp;IF(IF(ISNUMBER(H357),ROUND(ABS(H357),8)&gt;$F$6,FALSE),"Las líneas difieren del total en más de 0,01; confirmamos cantidad o exclusión."&amp;CHAR(10),"")&amp;IF(P357&gt;0,"Parece m³: encontramos tres dimensiones bajo m²."&amp;CHAR(10),"")&amp;IF(R357&gt;0,"Código repetido dentro del capítulo; mantenemos sus ID separados."&amp;CHAR(10),"")&amp;IF(S357&gt;0,"Código repetido en otro capítulo; no unimos las partidas."&amp;CHAR(10),"")&amp;IF(T357&gt;0,"Mismo código con unidades distintas; pedimos aclaración."&amp;CHAR(10),"")&amp;IF(Q357&gt;0,"Hay más precisión que los decimales indicados; cotejamos el formato original."&amp;CHAR(10),"")&amp;IF(U357&gt;0,"Unidad sin normalizar; cotejamos su significado antes de sumar unidades."&amp;CHAR(10),"")&amp;IF(V357&gt;0,"Revisamos dimensiones, cantidades directas, ceros o deducciones en PEGAR."&amp;CHAR(10),"")))</f>
      </c>
      <c r="K357" s="0">
        <f>IF(345&gt;'RESUMEN'!$E$6,"",MATCH(345,'PEGAR'!$W$13:$W$512,0))</f>
      </c>
      <c r="L357" s="0">
        <f>IF(K357="","",INDEX('PEGAR'!$R$13:$R$512,K357))</f>
      </c>
      <c r="M357" s="0">
        <f>IF(B357="","",COUNTIFS('PEGAR'!$O$13:$O$512,B357,'PEGAR'!$P$13:$P$512,"DIMENSIONES")+COUNTIFS('PEGAR'!$O$13:$O$512,B357,'PEGAR'!$P$13:$P$512,"DIRECTA"))</f>
      </c>
      <c r="N357" s="0">
        <f>IF(B357="","",COUNTIFS('PEGAR'!$O$13:$O$512,B357,'PEGAR'!$X$13:$X$512,2))</f>
      </c>
      <c r="O357" s="0">
        <f>IF(B357="","",COUNTIFS('PEGAR'!$O$13:$O$512,B357,'PEGAR'!$P$13:$P$512,"SIN LÍNEAS"))</f>
      </c>
      <c r="P357" s="0">
        <f>IF(B357="","",SUMIFS('PEGAR'!$Y$13:$Y$512,'PEGAR'!$O$13:$O$512,B357))</f>
      </c>
      <c r="Q357" s="0">
        <f>IF(B357="","",SUMIFS('PEGAR'!$Z$13:$Z$512,'PEGAR'!$O$13:$O$512,B357))</f>
      </c>
      <c r="R357" s="0" t="n">
        <f>IF(OR(B357="",D357=""),0,SUMPRODUCT(--($B$13:$B$512&lt;&gt;""),--($D$13:$D$512=D357),--($C$13:$C$512=C357))-1)</f>
        <v>0</v>
      </c>
      <c r="S357" s="0" t="n">
        <f>IF(OR(B357="",D357=""),0,SUMPRODUCT(--($B$13:$B$512&lt;&gt;""),--($D$13:$D$512=D357),--($C$13:$C$512&lt;&gt;C357)))</f>
        <v>0</v>
      </c>
      <c r="T357" s="0" t="n">
        <f>IF(OR(B357="",D357=""),0,SUMPRODUCT(--($B$13:$B$512&lt;&gt;""),--($D$13:$D$512=D357),--($E$13:$E$512&lt;&gt;E357)))</f>
        <v>0</v>
      </c>
      <c r="U357" s="0" t="n">
        <f>IF(B357="",0,IF(SUMPRODUCT(--('LÉEME'!$C$65:$C$86=E357))=0,1,0))</f>
        <v>0</v>
      </c>
      <c r="V357" s="0">
        <f>IF(B357="","",SUMIFS('PEGAR'!$AA$13:$AA$512,'PEGAR'!$O$13:$O$512,B357))</f>
      </c>
      <c r="W357" s="0">
        <f>IF(B357="","",IF(OR(L357=0,N357&gt;0,T357&gt;0,IF(ISNUMBER(H357),ROUND(ABS(H357),8)&gt;$F$6,FALSE)),2,IF(OR(M357=0,O357&gt;0,P357&gt;0,Q357&gt;0,R357&gt;0,S357&gt;0,U357&gt;0,V357&gt;0),1,0)))</f>
      </c>
      <c r="X357" s="0">
        <f>IF(B357="","",IF(ISNUMBER(G357),1,0))</f>
      </c>
      <c r="AB357" s="0">
        <f>IF(AND(ISNUMBER(W357),W357&gt;0),"ID "&amp;B357,"")</f>
      </c>
      <c r="AC357" s="0">
        <f>IF(AND(ISNUMBER(W357),W357&gt;0),C357,"")</f>
      </c>
      <c r="AD357" s="0">
        <f>IF(AND(ISNUMBER(W357),W357&gt;0),D357,"")</f>
      </c>
      <c r="AE357" s="0">
        <f>IF(AND(ISNUMBER(W357),W357&gt;0),IF(INDEX('PEGAR'!$D$13:$D$512,IF(L357&gt;0,L357,K357))="","Sin descripción",INDEX('PEGAR'!$D$13:$D$512,IF(L357&gt;0,L357,K357))),"")</f>
      </c>
      <c r="AF357" s="0">
        <f>IF(AND(ISNUMBER(W357),W357&gt;0),J357,"")</f>
      </c>
      <c r="AG357" s="0" t="n">
        <f>IF(AND(ISNUMBER(W357),W357&gt;0),W357,0)</f>
        <v>0</v>
      </c>
      <c r="AH357" s="0">
        <f>IF(AG357&gt;0,COUNTIFS($AG$13:AG357,"&gt;0"),"")</f>
      </c>
    </row>
    <row r="358" ht="22" customHeight="1">
      <c r="B358" s="27">
        <f>IF(K358="","",INDEX('PEGAR'!$O$13:$O$512,K358))</f>
      </c>
      <c r="C358" s="30">
        <f>IF(B358="","",IF(LEN(TRIM(INDEX('PEGAR'!$B$13:$B$512,IF(L358&gt;0,L358,K358))&amp;""))=0,"Sin capítulo",TRIM(INDEX('PEGAR'!$B$13:$B$512,IF(L358&gt;0,L358,K358))&amp;"")))</f>
      </c>
      <c r="D358" s="27">
        <f>IF(B358="","",IF(LEN(TRIM(INDEX('PEGAR'!$C$13:$C$512,IF(L358&gt;0,L358,K358))&amp;""))=0,"",TRIM(INDEX('PEGAR'!$C$13:$C$512,IF(L358&gt;0,L358,K358))&amp;"")))</f>
      </c>
      <c r="E358" s="27">
        <f>IF(B358="","",INDEX('PEGAR'!$S$13:$S$512,IF(L358&gt;0,L358,K358)))</f>
      </c>
      <c r="F358" s="39">
        <f>IF(B358="","",IF(L358&gt;0,INDEX('PEGAR'!$F$13:$F$512,L358),""))</f>
      </c>
      <c r="G358" s="39">
        <f>IF(B358="","",IF(OR(M358=0,N358&gt;0,O358&gt;0),"",SUMIFS('PEGAR'!$M$13:$M$512,'PEGAR'!$O$13:$O$512,B358)))</f>
      </c>
      <c r="H358" s="39">
        <f>IF(AND(ISNUMBER(F358),ISNUMBER(G358)),G358-F358,"")</f>
      </c>
      <c r="I358" s="27">
        <f>IF(B358="","",IF(W358=2,"ROJO",IF(W358=1,"ÁMBAR","VERDE")))</f>
      </c>
      <c r="J358" s="30">
        <f>IF(B358="","",IF(W358=0,"Sin avisos numéricos. Revisamos el alcance aparte.",IF(L358=0,"Faltan datos completos de partida; no elegimos un total por suposición."&amp;CHAR(10),"")&amp;IF(N358&gt;0,"Hay filas incompletas o contradictorias; las revisamos en PEGAR."&amp;CHAR(10),"")&amp;IF(O358&gt;0,"Faltan las medidas de alguna fila; no cerramos la suma."&amp;CHAR(10),"")&amp;IF(M358=0,"No constan líneas de medición."&amp;CHAR(10),"")&amp;IF(IF(ISNUMBER(H358),ROUND(ABS(H358),8)&gt;$F$6,FALSE),"Las líneas difieren del total en más de 0,01; confirmamos cantidad o exclusión."&amp;CHAR(10),"")&amp;IF(P358&gt;0,"Parece m³: encontramos tres dimensiones bajo m²."&amp;CHAR(10),"")&amp;IF(R358&gt;0,"Código repetido dentro del capítulo; mantenemos sus ID separados."&amp;CHAR(10),"")&amp;IF(S358&gt;0,"Código repetido en otro capítulo; no unimos las partidas."&amp;CHAR(10),"")&amp;IF(T358&gt;0,"Mismo código con unidades distintas; pedimos aclaración."&amp;CHAR(10),"")&amp;IF(Q358&gt;0,"Hay más precisión que los decimales indicados; cotejamos el formato original."&amp;CHAR(10),"")&amp;IF(U358&gt;0,"Unidad sin normalizar; cotejamos su significado antes de sumar unidades."&amp;CHAR(10),"")&amp;IF(V358&gt;0,"Revisamos dimensiones, cantidades directas, ceros o deducciones en PEGAR."&amp;CHAR(10),"")))</f>
      </c>
      <c r="K358" s="0">
        <f>IF(346&gt;'RESUMEN'!$E$6,"",MATCH(346,'PEGAR'!$W$13:$W$512,0))</f>
      </c>
      <c r="L358" s="0">
        <f>IF(K358="","",INDEX('PEGAR'!$R$13:$R$512,K358))</f>
      </c>
      <c r="M358" s="0">
        <f>IF(B358="","",COUNTIFS('PEGAR'!$O$13:$O$512,B358,'PEGAR'!$P$13:$P$512,"DIMENSIONES")+COUNTIFS('PEGAR'!$O$13:$O$512,B358,'PEGAR'!$P$13:$P$512,"DIRECTA"))</f>
      </c>
      <c r="N358" s="0">
        <f>IF(B358="","",COUNTIFS('PEGAR'!$O$13:$O$512,B358,'PEGAR'!$X$13:$X$512,2))</f>
      </c>
      <c r="O358" s="0">
        <f>IF(B358="","",COUNTIFS('PEGAR'!$O$13:$O$512,B358,'PEGAR'!$P$13:$P$512,"SIN LÍNEAS"))</f>
      </c>
      <c r="P358" s="0">
        <f>IF(B358="","",SUMIFS('PEGAR'!$Y$13:$Y$512,'PEGAR'!$O$13:$O$512,B358))</f>
      </c>
      <c r="Q358" s="0">
        <f>IF(B358="","",SUMIFS('PEGAR'!$Z$13:$Z$512,'PEGAR'!$O$13:$O$512,B358))</f>
      </c>
      <c r="R358" s="0" t="n">
        <f>IF(OR(B358="",D358=""),0,SUMPRODUCT(--($B$13:$B$512&lt;&gt;""),--($D$13:$D$512=D358),--($C$13:$C$512=C358))-1)</f>
        <v>0</v>
      </c>
      <c r="S358" s="0" t="n">
        <f>IF(OR(B358="",D358=""),0,SUMPRODUCT(--($B$13:$B$512&lt;&gt;""),--($D$13:$D$512=D358),--($C$13:$C$512&lt;&gt;C358)))</f>
        <v>0</v>
      </c>
      <c r="T358" s="0" t="n">
        <f>IF(OR(B358="",D358=""),0,SUMPRODUCT(--($B$13:$B$512&lt;&gt;""),--($D$13:$D$512=D358),--($E$13:$E$512&lt;&gt;E358)))</f>
        <v>0</v>
      </c>
      <c r="U358" s="0" t="n">
        <f>IF(B358="",0,IF(SUMPRODUCT(--('LÉEME'!$C$65:$C$86=E358))=0,1,0))</f>
        <v>0</v>
      </c>
      <c r="V358" s="0">
        <f>IF(B358="","",SUMIFS('PEGAR'!$AA$13:$AA$512,'PEGAR'!$O$13:$O$512,B358))</f>
      </c>
      <c r="W358" s="0">
        <f>IF(B358="","",IF(OR(L358=0,N358&gt;0,T358&gt;0,IF(ISNUMBER(H358),ROUND(ABS(H358),8)&gt;$F$6,FALSE)),2,IF(OR(M358=0,O358&gt;0,P358&gt;0,Q358&gt;0,R358&gt;0,S358&gt;0,U358&gt;0,V358&gt;0),1,0)))</f>
      </c>
      <c r="X358" s="0">
        <f>IF(B358="","",IF(ISNUMBER(G358),1,0))</f>
      </c>
      <c r="AB358" s="0">
        <f>IF(AND(ISNUMBER(W358),W358&gt;0),"ID "&amp;B358,"")</f>
      </c>
      <c r="AC358" s="0">
        <f>IF(AND(ISNUMBER(W358),W358&gt;0),C358,"")</f>
      </c>
      <c r="AD358" s="0">
        <f>IF(AND(ISNUMBER(W358),W358&gt;0),D358,"")</f>
      </c>
      <c r="AE358" s="0">
        <f>IF(AND(ISNUMBER(W358),W358&gt;0),IF(INDEX('PEGAR'!$D$13:$D$512,IF(L358&gt;0,L358,K358))="","Sin descripción",INDEX('PEGAR'!$D$13:$D$512,IF(L358&gt;0,L358,K358))),"")</f>
      </c>
      <c r="AF358" s="0">
        <f>IF(AND(ISNUMBER(W358),W358&gt;0),J358,"")</f>
      </c>
      <c r="AG358" s="0" t="n">
        <f>IF(AND(ISNUMBER(W358),W358&gt;0),W358,0)</f>
        <v>0</v>
      </c>
      <c r="AH358" s="0">
        <f>IF(AG358&gt;0,COUNTIFS($AG$13:AG358,"&gt;0"),"")</f>
      </c>
    </row>
    <row r="359" ht="22" customHeight="1">
      <c r="B359" s="27">
        <f>IF(K359="","",INDEX('PEGAR'!$O$13:$O$512,K359))</f>
      </c>
      <c r="C359" s="30">
        <f>IF(B359="","",IF(LEN(TRIM(INDEX('PEGAR'!$B$13:$B$512,IF(L359&gt;0,L359,K359))&amp;""))=0,"Sin capítulo",TRIM(INDEX('PEGAR'!$B$13:$B$512,IF(L359&gt;0,L359,K359))&amp;"")))</f>
      </c>
      <c r="D359" s="27">
        <f>IF(B359="","",IF(LEN(TRIM(INDEX('PEGAR'!$C$13:$C$512,IF(L359&gt;0,L359,K359))&amp;""))=0,"",TRIM(INDEX('PEGAR'!$C$13:$C$512,IF(L359&gt;0,L359,K359))&amp;"")))</f>
      </c>
      <c r="E359" s="27">
        <f>IF(B359="","",INDEX('PEGAR'!$S$13:$S$512,IF(L359&gt;0,L359,K359)))</f>
      </c>
      <c r="F359" s="39">
        <f>IF(B359="","",IF(L359&gt;0,INDEX('PEGAR'!$F$13:$F$512,L359),""))</f>
      </c>
      <c r="G359" s="39">
        <f>IF(B359="","",IF(OR(M359=0,N359&gt;0,O359&gt;0),"",SUMIFS('PEGAR'!$M$13:$M$512,'PEGAR'!$O$13:$O$512,B359)))</f>
      </c>
      <c r="H359" s="39">
        <f>IF(AND(ISNUMBER(F359),ISNUMBER(G359)),G359-F359,"")</f>
      </c>
      <c r="I359" s="27">
        <f>IF(B359="","",IF(W359=2,"ROJO",IF(W359=1,"ÁMBAR","VERDE")))</f>
      </c>
      <c r="J359" s="30">
        <f>IF(B359="","",IF(W359=0,"Sin avisos numéricos. Revisamos el alcance aparte.",IF(L359=0,"Faltan datos completos de partida; no elegimos un total por suposición."&amp;CHAR(10),"")&amp;IF(N359&gt;0,"Hay filas incompletas o contradictorias; las revisamos en PEGAR."&amp;CHAR(10),"")&amp;IF(O359&gt;0,"Faltan las medidas de alguna fila; no cerramos la suma."&amp;CHAR(10),"")&amp;IF(M359=0,"No constan líneas de medición."&amp;CHAR(10),"")&amp;IF(IF(ISNUMBER(H359),ROUND(ABS(H359),8)&gt;$F$6,FALSE),"Las líneas difieren del total en más de 0,01; confirmamos cantidad o exclusión."&amp;CHAR(10),"")&amp;IF(P359&gt;0,"Parece m³: encontramos tres dimensiones bajo m²."&amp;CHAR(10),"")&amp;IF(R359&gt;0,"Código repetido dentro del capítulo; mantenemos sus ID separados."&amp;CHAR(10),"")&amp;IF(S359&gt;0,"Código repetido en otro capítulo; no unimos las partidas."&amp;CHAR(10),"")&amp;IF(T359&gt;0,"Mismo código con unidades distintas; pedimos aclaración."&amp;CHAR(10),"")&amp;IF(Q359&gt;0,"Hay más precisión que los decimales indicados; cotejamos el formato original."&amp;CHAR(10),"")&amp;IF(U359&gt;0,"Unidad sin normalizar; cotejamos su significado antes de sumar unidades."&amp;CHAR(10),"")&amp;IF(V359&gt;0,"Revisamos dimensiones, cantidades directas, ceros o deducciones en PEGAR."&amp;CHAR(10),"")))</f>
      </c>
      <c r="K359" s="0">
        <f>IF(347&gt;'RESUMEN'!$E$6,"",MATCH(347,'PEGAR'!$W$13:$W$512,0))</f>
      </c>
      <c r="L359" s="0">
        <f>IF(K359="","",INDEX('PEGAR'!$R$13:$R$512,K359))</f>
      </c>
      <c r="M359" s="0">
        <f>IF(B359="","",COUNTIFS('PEGAR'!$O$13:$O$512,B359,'PEGAR'!$P$13:$P$512,"DIMENSIONES")+COUNTIFS('PEGAR'!$O$13:$O$512,B359,'PEGAR'!$P$13:$P$512,"DIRECTA"))</f>
      </c>
      <c r="N359" s="0">
        <f>IF(B359="","",COUNTIFS('PEGAR'!$O$13:$O$512,B359,'PEGAR'!$X$13:$X$512,2))</f>
      </c>
      <c r="O359" s="0">
        <f>IF(B359="","",COUNTIFS('PEGAR'!$O$13:$O$512,B359,'PEGAR'!$P$13:$P$512,"SIN LÍNEAS"))</f>
      </c>
      <c r="P359" s="0">
        <f>IF(B359="","",SUMIFS('PEGAR'!$Y$13:$Y$512,'PEGAR'!$O$13:$O$512,B359))</f>
      </c>
      <c r="Q359" s="0">
        <f>IF(B359="","",SUMIFS('PEGAR'!$Z$13:$Z$512,'PEGAR'!$O$13:$O$512,B359))</f>
      </c>
      <c r="R359" s="0" t="n">
        <f>IF(OR(B359="",D359=""),0,SUMPRODUCT(--($B$13:$B$512&lt;&gt;""),--($D$13:$D$512=D359),--($C$13:$C$512=C359))-1)</f>
        <v>0</v>
      </c>
      <c r="S359" s="0" t="n">
        <f>IF(OR(B359="",D359=""),0,SUMPRODUCT(--($B$13:$B$512&lt;&gt;""),--($D$13:$D$512=D359),--($C$13:$C$512&lt;&gt;C359)))</f>
        <v>0</v>
      </c>
      <c r="T359" s="0" t="n">
        <f>IF(OR(B359="",D359=""),0,SUMPRODUCT(--($B$13:$B$512&lt;&gt;""),--($D$13:$D$512=D359),--($E$13:$E$512&lt;&gt;E359)))</f>
        <v>0</v>
      </c>
      <c r="U359" s="0" t="n">
        <f>IF(B359="",0,IF(SUMPRODUCT(--('LÉEME'!$C$65:$C$86=E359))=0,1,0))</f>
        <v>0</v>
      </c>
      <c r="V359" s="0">
        <f>IF(B359="","",SUMIFS('PEGAR'!$AA$13:$AA$512,'PEGAR'!$O$13:$O$512,B359))</f>
      </c>
      <c r="W359" s="0">
        <f>IF(B359="","",IF(OR(L359=0,N359&gt;0,T359&gt;0,IF(ISNUMBER(H359),ROUND(ABS(H359),8)&gt;$F$6,FALSE)),2,IF(OR(M359=0,O359&gt;0,P359&gt;0,Q359&gt;0,R359&gt;0,S359&gt;0,U359&gt;0,V359&gt;0),1,0)))</f>
      </c>
      <c r="X359" s="0">
        <f>IF(B359="","",IF(ISNUMBER(G359),1,0))</f>
      </c>
      <c r="AB359" s="0">
        <f>IF(AND(ISNUMBER(W359),W359&gt;0),"ID "&amp;B359,"")</f>
      </c>
      <c r="AC359" s="0">
        <f>IF(AND(ISNUMBER(W359),W359&gt;0),C359,"")</f>
      </c>
      <c r="AD359" s="0">
        <f>IF(AND(ISNUMBER(W359),W359&gt;0),D359,"")</f>
      </c>
      <c r="AE359" s="0">
        <f>IF(AND(ISNUMBER(W359),W359&gt;0),IF(INDEX('PEGAR'!$D$13:$D$512,IF(L359&gt;0,L359,K359))="","Sin descripción",INDEX('PEGAR'!$D$13:$D$512,IF(L359&gt;0,L359,K359))),"")</f>
      </c>
      <c r="AF359" s="0">
        <f>IF(AND(ISNUMBER(W359),W359&gt;0),J359,"")</f>
      </c>
      <c r="AG359" s="0" t="n">
        <f>IF(AND(ISNUMBER(W359),W359&gt;0),W359,0)</f>
        <v>0</v>
      </c>
      <c r="AH359" s="0">
        <f>IF(AG359&gt;0,COUNTIFS($AG$13:AG359,"&gt;0"),"")</f>
      </c>
    </row>
    <row r="360" ht="22" customHeight="1">
      <c r="B360" s="27">
        <f>IF(K360="","",INDEX('PEGAR'!$O$13:$O$512,K360))</f>
      </c>
      <c r="C360" s="30">
        <f>IF(B360="","",IF(LEN(TRIM(INDEX('PEGAR'!$B$13:$B$512,IF(L360&gt;0,L360,K360))&amp;""))=0,"Sin capítulo",TRIM(INDEX('PEGAR'!$B$13:$B$512,IF(L360&gt;0,L360,K360))&amp;"")))</f>
      </c>
      <c r="D360" s="27">
        <f>IF(B360="","",IF(LEN(TRIM(INDEX('PEGAR'!$C$13:$C$512,IF(L360&gt;0,L360,K360))&amp;""))=0,"",TRIM(INDEX('PEGAR'!$C$13:$C$512,IF(L360&gt;0,L360,K360))&amp;"")))</f>
      </c>
      <c r="E360" s="27">
        <f>IF(B360="","",INDEX('PEGAR'!$S$13:$S$512,IF(L360&gt;0,L360,K360)))</f>
      </c>
      <c r="F360" s="39">
        <f>IF(B360="","",IF(L360&gt;0,INDEX('PEGAR'!$F$13:$F$512,L360),""))</f>
      </c>
      <c r="G360" s="39">
        <f>IF(B360="","",IF(OR(M360=0,N360&gt;0,O360&gt;0),"",SUMIFS('PEGAR'!$M$13:$M$512,'PEGAR'!$O$13:$O$512,B360)))</f>
      </c>
      <c r="H360" s="39">
        <f>IF(AND(ISNUMBER(F360),ISNUMBER(G360)),G360-F360,"")</f>
      </c>
      <c r="I360" s="27">
        <f>IF(B360="","",IF(W360=2,"ROJO",IF(W360=1,"ÁMBAR","VERDE")))</f>
      </c>
      <c r="J360" s="30">
        <f>IF(B360="","",IF(W360=0,"Sin avisos numéricos. Revisamos el alcance aparte.",IF(L360=0,"Faltan datos completos de partida; no elegimos un total por suposición."&amp;CHAR(10),"")&amp;IF(N360&gt;0,"Hay filas incompletas o contradictorias; las revisamos en PEGAR."&amp;CHAR(10),"")&amp;IF(O360&gt;0,"Faltan las medidas de alguna fila; no cerramos la suma."&amp;CHAR(10),"")&amp;IF(M360=0,"No constan líneas de medición."&amp;CHAR(10),"")&amp;IF(IF(ISNUMBER(H360),ROUND(ABS(H360),8)&gt;$F$6,FALSE),"Las líneas difieren del total en más de 0,01; confirmamos cantidad o exclusión."&amp;CHAR(10),"")&amp;IF(P360&gt;0,"Parece m³: encontramos tres dimensiones bajo m²."&amp;CHAR(10),"")&amp;IF(R360&gt;0,"Código repetido dentro del capítulo; mantenemos sus ID separados."&amp;CHAR(10),"")&amp;IF(S360&gt;0,"Código repetido en otro capítulo; no unimos las partidas."&amp;CHAR(10),"")&amp;IF(T360&gt;0,"Mismo código con unidades distintas; pedimos aclaración."&amp;CHAR(10),"")&amp;IF(Q360&gt;0,"Hay más precisión que los decimales indicados; cotejamos el formato original."&amp;CHAR(10),"")&amp;IF(U360&gt;0,"Unidad sin normalizar; cotejamos su significado antes de sumar unidades."&amp;CHAR(10),"")&amp;IF(V360&gt;0,"Revisamos dimensiones, cantidades directas, ceros o deducciones en PEGAR."&amp;CHAR(10),"")))</f>
      </c>
      <c r="K360" s="0">
        <f>IF(348&gt;'RESUMEN'!$E$6,"",MATCH(348,'PEGAR'!$W$13:$W$512,0))</f>
      </c>
      <c r="L360" s="0">
        <f>IF(K360="","",INDEX('PEGAR'!$R$13:$R$512,K360))</f>
      </c>
      <c r="M360" s="0">
        <f>IF(B360="","",COUNTIFS('PEGAR'!$O$13:$O$512,B360,'PEGAR'!$P$13:$P$512,"DIMENSIONES")+COUNTIFS('PEGAR'!$O$13:$O$512,B360,'PEGAR'!$P$13:$P$512,"DIRECTA"))</f>
      </c>
      <c r="N360" s="0">
        <f>IF(B360="","",COUNTIFS('PEGAR'!$O$13:$O$512,B360,'PEGAR'!$X$13:$X$512,2))</f>
      </c>
      <c r="O360" s="0">
        <f>IF(B360="","",COUNTIFS('PEGAR'!$O$13:$O$512,B360,'PEGAR'!$P$13:$P$512,"SIN LÍNEAS"))</f>
      </c>
      <c r="P360" s="0">
        <f>IF(B360="","",SUMIFS('PEGAR'!$Y$13:$Y$512,'PEGAR'!$O$13:$O$512,B360))</f>
      </c>
      <c r="Q360" s="0">
        <f>IF(B360="","",SUMIFS('PEGAR'!$Z$13:$Z$512,'PEGAR'!$O$13:$O$512,B360))</f>
      </c>
      <c r="R360" s="0" t="n">
        <f>IF(OR(B360="",D360=""),0,SUMPRODUCT(--($B$13:$B$512&lt;&gt;""),--($D$13:$D$512=D360),--($C$13:$C$512=C360))-1)</f>
        <v>0</v>
      </c>
      <c r="S360" s="0" t="n">
        <f>IF(OR(B360="",D360=""),0,SUMPRODUCT(--($B$13:$B$512&lt;&gt;""),--($D$13:$D$512=D360),--($C$13:$C$512&lt;&gt;C360)))</f>
        <v>0</v>
      </c>
      <c r="T360" s="0" t="n">
        <f>IF(OR(B360="",D360=""),0,SUMPRODUCT(--($B$13:$B$512&lt;&gt;""),--($D$13:$D$512=D360),--($E$13:$E$512&lt;&gt;E360)))</f>
        <v>0</v>
      </c>
      <c r="U360" s="0" t="n">
        <f>IF(B360="",0,IF(SUMPRODUCT(--('LÉEME'!$C$65:$C$86=E360))=0,1,0))</f>
        <v>0</v>
      </c>
      <c r="V360" s="0">
        <f>IF(B360="","",SUMIFS('PEGAR'!$AA$13:$AA$512,'PEGAR'!$O$13:$O$512,B360))</f>
      </c>
      <c r="W360" s="0">
        <f>IF(B360="","",IF(OR(L360=0,N360&gt;0,T360&gt;0,IF(ISNUMBER(H360),ROUND(ABS(H360),8)&gt;$F$6,FALSE)),2,IF(OR(M360=0,O360&gt;0,P360&gt;0,Q360&gt;0,R360&gt;0,S360&gt;0,U360&gt;0,V360&gt;0),1,0)))</f>
      </c>
      <c r="X360" s="0">
        <f>IF(B360="","",IF(ISNUMBER(G360),1,0))</f>
      </c>
      <c r="AB360" s="0">
        <f>IF(AND(ISNUMBER(W360),W360&gt;0),"ID "&amp;B360,"")</f>
      </c>
      <c r="AC360" s="0">
        <f>IF(AND(ISNUMBER(W360),W360&gt;0),C360,"")</f>
      </c>
      <c r="AD360" s="0">
        <f>IF(AND(ISNUMBER(W360),W360&gt;0),D360,"")</f>
      </c>
      <c r="AE360" s="0">
        <f>IF(AND(ISNUMBER(W360),W360&gt;0),IF(INDEX('PEGAR'!$D$13:$D$512,IF(L360&gt;0,L360,K360))="","Sin descripción",INDEX('PEGAR'!$D$13:$D$512,IF(L360&gt;0,L360,K360))),"")</f>
      </c>
      <c r="AF360" s="0">
        <f>IF(AND(ISNUMBER(W360),W360&gt;0),J360,"")</f>
      </c>
      <c r="AG360" s="0" t="n">
        <f>IF(AND(ISNUMBER(W360),W360&gt;0),W360,0)</f>
        <v>0</v>
      </c>
      <c r="AH360" s="0">
        <f>IF(AG360&gt;0,COUNTIFS($AG$13:AG360,"&gt;0"),"")</f>
      </c>
    </row>
    <row r="361" ht="22" customHeight="1">
      <c r="B361" s="27">
        <f>IF(K361="","",INDEX('PEGAR'!$O$13:$O$512,K361))</f>
      </c>
      <c r="C361" s="30">
        <f>IF(B361="","",IF(LEN(TRIM(INDEX('PEGAR'!$B$13:$B$512,IF(L361&gt;0,L361,K361))&amp;""))=0,"Sin capítulo",TRIM(INDEX('PEGAR'!$B$13:$B$512,IF(L361&gt;0,L361,K361))&amp;"")))</f>
      </c>
      <c r="D361" s="27">
        <f>IF(B361="","",IF(LEN(TRIM(INDEX('PEGAR'!$C$13:$C$512,IF(L361&gt;0,L361,K361))&amp;""))=0,"",TRIM(INDEX('PEGAR'!$C$13:$C$512,IF(L361&gt;0,L361,K361))&amp;"")))</f>
      </c>
      <c r="E361" s="27">
        <f>IF(B361="","",INDEX('PEGAR'!$S$13:$S$512,IF(L361&gt;0,L361,K361)))</f>
      </c>
      <c r="F361" s="39">
        <f>IF(B361="","",IF(L361&gt;0,INDEX('PEGAR'!$F$13:$F$512,L361),""))</f>
      </c>
      <c r="G361" s="39">
        <f>IF(B361="","",IF(OR(M361=0,N361&gt;0,O361&gt;0),"",SUMIFS('PEGAR'!$M$13:$M$512,'PEGAR'!$O$13:$O$512,B361)))</f>
      </c>
      <c r="H361" s="39">
        <f>IF(AND(ISNUMBER(F361),ISNUMBER(G361)),G361-F361,"")</f>
      </c>
      <c r="I361" s="27">
        <f>IF(B361="","",IF(W361=2,"ROJO",IF(W361=1,"ÁMBAR","VERDE")))</f>
      </c>
      <c r="J361" s="30">
        <f>IF(B361="","",IF(W361=0,"Sin avisos numéricos. Revisamos el alcance aparte.",IF(L361=0,"Faltan datos completos de partida; no elegimos un total por suposición."&amp;CHAR(10),"")&amp;IF(N361&gt;0,"Hay filas incompletas o contradictorias; las revisamos en PEGAR."&amp;CHAR(10),"")&amp;IF(O361&gt;0,"Faltan las medidas de alguna fila; no cerramos la suma."&amp;CHAR(10),"")&amp;IF(M361=0,"No constan líneas de medición."&amp;CHAR(10),"")&amp;IF(IF(ISNUMBER(H361),ROUND(ABS(H361),8)&gt;$F$6,FALSE),"Las líneas difieren del total en más de 0,01; confirmamos cantidad o exclusión."&amp;CHAR(10),"")&amp;IF(P361&gt;0,"Parece m³: encontramos tres dimensiones bajo m²."&amp;CHAR(10),"")&amp;IF(R361&gt;0,"Código repetido dentro del capítulo; mantenemos sus ID separados."&amp;CHAR(10),"")&amp;IF(S361&gt;0,"Código repetido en otro capítulo; no unimos las partidas."&amp;CHAR(10),"")&amp;IF(T361&gt;0,"Mismo código con unidades distintas; pedimos aclaración."&amp;CHAR(10),"")&amp;IF(Q361&gt;0,"Hay más precisión que los decimales indicados; cotejamos el formato original."&amp;CHAR(10),"")&amp;IF(U361&gt;0,"Unidad sin normalizar; cotejamos su significado antes de sumar unidades."&amp;CHAR(10),"")&amp;IF(V361&gt;0,"Revisamos dimensiones, cantidades directas, ceros o deducciones en PEGAR."&amp;CHAR(10),"")))</f>
      </c>
      <c r="K361" s="0">
        <f>IF(349&gt;'RESUMEN'!$E$6,"",MATCH(349,'PEGAR'!$W$13:$W$512,0))</f>
      </c>
      <c r="L361" s="0">
        <f>IF(K361="","",INDEX('PEGAR'!$R$13:$R$512,K361))</f>
      </c>
      <c r="M361" s="0">
        <f>IF(B361="","",COUNTIFS('PEGAR'!$O$13:$O$512,B361,'PEGAR'!$P$13:$P$512,"DIMENSIONES")+COUNTIFS('PEGAR'!$O$13:$O$512,B361,'PEGAR'!$P$13:$P$512,"DIRECTA"))</f>
      </c>
      <c r="N361" s="0">
        <f>IF(B361="","",COUNTIFS('PEGAR'!$O$13:$O$512,B361,'PEGAR'!$X$13:$X$512,2))</f>
      </c>
      <c r="O361" s="0">
        <f>IF(B361="","",COUNTIFS('PEGAR'!$O$13:$O$512,B361,'PEGAR'!$P$13:$P$512,"SIN LÍNEAS"))</f>
      </c>
      <c r="P361" s="0">
        <f>IF(B361="","",SUMIFS('PEGAR'!$Y$13:$Y$512,'PEGAR'!$O$13:$O$512,B361))</f>
      </c>
      <c r="Q361" s="0">
        <f>IF(B361="","",SUMIFS('PEGAR'!$Z$13:$Z$512,'PEGAR'!$O$13:$O$512,B361))</f>
      </c>
      <c r="R361" s="0" t="n">
        <f>IF(OR(B361="",D361=""),0,SUMPRODUCT(--($B$13:$B$512&lt;&gt;""),--($D$13:$D$512=D361),--($C$13:$C$512=C361))-1)</f>
        <v>0</v>
      </c>
      <c r="S361" s="0" t="n">
        <f>IF(OR(B361="",D361=""),0,SUMPRODUCT(--($B$13:$B$512&lt;&gt;""),--($D$13:$D$512=D361),--($C$13:$C$512&lt;&gt;C361)))</f>
        <v>0</v>
      </c>
      <c r="T361" s="0" t="n">
        <f>IF(OR(B361="",D361=""),0,SUMPRODUCT(--($B$13:$B$512&lt;&gt;""),--($D$13:$D$512=D361),--($E$13:$E$512&lt;&gt;E361)))</f>
        <v>0</v>
      </c>
      <c r="U361" s="0" t="n">
        <f>IF(B361="",0,IF(SUMPRODUCT(--('LÉEME'!$C$65:$C$86=E361))=0,1,0))</f>
        <v>0</v>
      </c>
      <c r="V361" s="0">
        <f>IF(B361="","",SUMIFS('PEGAR'!$AA$13:$AA$512,'PEGAR'!$O$13:$O$512,B361))</f>
      </c>
      <c r="W361" s="0">
        <f>IF(B361="","",IF(OR(L361=0,N361&gt;0,T361&gt;0,IF(ISNUMBER(H361),ROUND(ABS(H361),8)&gt;$F$6,FALSE)),2,IF(OR(M361=0,O361&gt;0,P361&gt;0,Q361&gt;0,R361&gt;0,S361&gt;0,U361&gt;0,V361&gt;0),1,0)))</f>
      </c>
      <c r="X361" s="0">
        <f>IF(B361="","",IF(ISNUMBER(G361),1,0))</f>
      </c>
      <c r="AB361" s="0">
        <f>IF(AND(ISNUMBER(W361),W361&gt;0),"ID "&amp;B361,"")</f>
      </c>
      <c r="AC361" s="0">
        <f>IF(AND(ISNUMBER(W361),W361&gt;0),C361,"")</f>
      </c>
      <c r="AD361" s="0">
        <f>IF(AND(ISNUMBER(W361),W361&gt;0),D361,"")</f>
      </c>
      <c r="AE361" s="0">
        <f>IF(AND(ISNUMBER(W361),W361&gt;0),IF(INDEX('PEGAR'!$D$13:$D$512,IF(L361&gt;0,L361,K361))="","Sin descripción",INDEX('PEGAR'!$D$13:$D$512,IF(L361&gt;0,L361,K361))),"")</f>
      </c>
      <c r="AF361" s="0">
        <f>IF(AND(ISNUMBER(W361),W361&gt;0),J361,"")</f>
      </c>
      <c r="AG361" s="0" t="n">
        <f>IF(AND(ISNUMBER(W361),W361&gt;0),W361,0)</f>
        <v>0</v>
      </c>
      <c r="AH361" s="0">
        <f>IF(AG361&gt;0,COUNTIFS($AG$13:AG361,"&gt;0"),"")</f>
      </c>
    </row>
    <row r="362" ht="22" customHeight="1">
      <c r="B362" s="27">
        <f>IF(K362="","",INDEX('PEGAR'!$O$13:$O$512,K362))</f>
      </c>
      <c r="C362" s="30">
        <f>IF(B362="","",IF(LEN(TRIM(INDEX('PEGAR'!$B$13:$B$512,IF(L362&gt;0,L362,K362))&amp;""))=0,"Sin capítulo",TRIM(INDEX('PEGAR'!$B$13:$B$512,IF(L362&gt;0,L362,K362))&amp;"")))</f>
      </c>
      <c r="D362" s="27">
        <f>IF(B362="","",IF(LEN(TRIM(INDEX('PEGAR'!$C$13:$C$512,IF(L362&gt;0,L362,K362))&amp;""))=0,"",TRIM(INDEX('PEGAR'!$C$13:$C$512,IF(L362&gt;0,L362,K362))&amp;"")))</f>
      </c>
      <c r="E362" s="27">
        <f>IF(B362="","",INDEX('PEGAR'!$S$13:$S$512,IF(L362&gt;0,L362,K362)))</f>
      </c>
      <c r="F362" s="39">
        <f>IF(B362="","",IF(L362&gt;0,INDEX('PEGAR'!$F$13:$F$512,L362),""))</f>
      </c>
      <c r="G362" s="39">
        <f>IF(B362="","",IF(OR(M362=0,N362&gt;0,O362&gt;0),"",SUMIFS('PEGAR'!$M$13:$M$512,'PEGAR'!$O$13:$O$512,B362)))</f>
      </c>
      <c r="H362" s="39">
        <f>IF(AND(ISNUMBER(F362),ISNUMBER(G362)),G362-F362,"")</f>
      </c>
      <c r="I362" s="27">
        <f>IF(B362="","",IF(W362=2,"ROJO",IF(W362=1,"ÁMBAR","VERDE")))</f>
      </c>
      <c r="J362" s="30">
        <f>IF(B362="","",IF(W362=0,"Sin avisos numéricos. Revisamos el alcance aparte.",IF(L362=0,"Faltan datos completos de partida; no elegimos un total por suposición."&amp;CHAR(10),"")&amp;IF(N362&gt;0,"Hay filas incompletas o contradictorias; las revisamos en PEGAR."&amp;CHAR(10),"")&amp;IF(O362&gt;0,"Faltan las medidas de alguna fila; no cerramos la suma."&amp;CHAR(10),"")&amp;IF(M362=0,"No constan líneas de medición."&amp;CHAR(10),"")&amp;IF(IF(ISNUMBER(H362),ROUND(ABS(H362),8)&gt;$F$6,FALSE),"Las líneas difieren del total en más de 0,01; confirmamos cantidad o exclusión."&amp;CHAR(10),"")&amp;IF(P362&gt;0,"Parece m³: encontramos tres dimensiones bajo m²."&amp;CHAR(10),"")&amp;IF(R362&gt;0,"Código repetido dentro del capítulo; mantenemos sus ID separados."&amp;CHAR(10),"")&amp;IF(S362&gt;0,"Código repetido en otro capítulo; no unimos las partidas."&amp;CHAR(10),"")&amp;IF(T362&gt;0,"Mismo código con unidades distintas; pedimos aclaración."&amp;CHAR(10),"")&amp;IF(Q362&gt;0,"Hay más precisión que los decimales indicados; cotejamos el formato original."&amp;CHAR(10),"")&amp;IF(U362&gt;0,"Unidad sin normalizar; cotejamos su significado antes de sumar unidades."&amp;CHAR(10),"")&amp;IF(V362&gt;0,"Revisamos dimensiones, cantidades directas, ceros o deducciones en PEGAR."&amp;CHAR(10),"")))</f>
      </c>
      <c r="K362" s="0">
        <f>IF(350&gt;'RESUMEN'!$E$6,"",MATCH(350,'PEGAR'!$W$13:$W$512,0))</f>
      </c>
      <c r="L362" s="0">
        <f>IF(K362="","",INDEX('PEGAR'!$R$13:$R$512,K362))</f>
      </c>
      <c r="M362" s="0">
        <f>IF(B362="","",COUNTIFS('PEGAR'!$O$13:$O$512,B362,'PEGAR'!$P$13:$P$512,"DIMENSIONES")+COUNTIFS('PEGAR'!$O$13:$O$512,B362,'PEGAR'!$P$13:$P$512,"DIRECTA"))</f>
      </c>
      <c r="N362" s="0">
        <f>IF(B362="","",COUNTIFS('PEGAR'!$O$13:$O$512,B362,'PEGAR'!$X$13:$X$512,2))</f>
      </c>
      <c r="O362" s="0">
        <f>IF(B362="","",COUNTIFS('PEGAR'!$O$13:$O$512,B362,'PEGAR'!$P$13:$P$512,"SIN LÍNEAS"))</f>
      </c>
      <c r="P362" s="0">
        <f>IF(B362="","",SUMIFS('PEGAR'!$Y$13:$Y$512,'PEGAR'!$O$13:$O$512,B362))</f>
      </c>
      <c r="Q362" s="0">
        <f>IF(B362="","",SUMIFS('PEGAR'!$Z$13:$Z$512,'PEGAR'!$O$13:$O$512,B362))</f>
      </c>
      <c r="R362" s="0" t="n">
        <f>IF(OR(B362="",D362=""),0,SUMPRODUCT(--($B$13:$B$512&lt;&gt;""),--($D$13:$D$512=D362),--($C$13:$C$512=C362))-1)</f>
        <v>0</v>
      </c>
      <c r="S362" s="0" t="n">
        <f>IF(OR(B362="",D362=""),0,SUMPRODUCT(--($B$13:$B$512&lt;&gt;""),--($D$13:$D$512=D362),--($C$13:$C$512&lt;&gt;C362)))</f>
        <v>0</v>
      </c>
      <c r="T362" s="0" t="n">
        <f>IF(OR(B362="",D362=""),0,SUMPRODUCT(--($B$13:$B$512&lt;&gt;""),--($D$13:$D$512=D362),--($E$13:$E$512&lt;&gt;E362)))</f>
        <v>0</v>
      </c>
      <c r="U362" s="0" t="n">
        <f>IF(B362="",0,IF(SUMPRODUCT(--('LÉEME'!$C$65:$C$86=E362))=0,1,0))</f>
        <v>0</v>
      </c>
      <c r="V362" s="0">
        <f>IF(B362="","",SUMIFS('PEGAR'!$AA$13:$AA$512,'PEGAR'!$O$13:$O$512,B362))</f>
      </c>
      <c r="W362" s="0">
        <f>IF(B362="","",IF(OR(L362=0,N362&gt;0,T362&gt;0,IF(ISNUMBER(H362),ROUND(ABS(H362),8)&gt;$F$6,FALSE)),2,IF(OR(M362=0,O362&gt;0,P362&gt;0,Q362&gt;0,R362&gt;0,S362&gt;0,U362&gt;0,V362&gt;0),1,0)))</f>
      </c>
      <c r="X362" s="0">
        <f>IF(B362="","",IF(ISNUMBER(G362),1,0))</f>
      </c>
      <c r="AB362" s="0">
        <f>IF(AND(ISNUMBER(W362),W362&gt;0),"ID "&amp;B362,"")</f>
      </c>
      <c r="AC362" s="0">
        <f>IF(AND(ISNUMBER(W362),W362&gt;0),C362,"")</f>
      </c>
      <c r="AD362" s="0">
        <f>IF(AND(ISNUMBER(W362),W362&gt;0),D362,"")</f>
      </c>
      <c r="AE362" s="0">
        <f>IF(AND(ISNUMBER(W362),W362&gt;0),IF(INDEX('PEGAR'!$D$13:$D$512,IF(L362&gt;0,L362,K362))="","Sin descripción",INDEX('PEGAR'!$D$13:$D$512,IF(L362&gt;0,L362,K362))),"")</f>
      </c>
      <c r="AF362" s="0">
        <f>IF(AND(ISNUMBER(W362),W362&gt;0),J362,"")</f>
      </c>
      <c r="AG362" s="0" t="n">
        <f>IF(AND(ISNUMBER(W362),W362&gt;0),W362,0)</f>
        <v>0</v>
      </c>
      <c r="AH362" s="0">
        <f>IF(AG362&gt;0,COUNTIFS($AG$13:AG362,"&gt;0"),"")</f>
      </c>
    </row>
    <row r="363" ht="22" customHeight="1">
      <c r="B363" s="27">
        <f>IF(K363="","",INDEX('PEGAR'!$O$13:$O$512,K363))</f>
      </c>
      <c r="C363" s="30">
        <f>IF(B363="","",IF(LEN(TRIM(INDEX('PEGAR'!$B$13:$B$512,IF(L363&gt;0,L363,K363))&amp;""))=0,"Sin capítulo",TRIM(INDEX('PEGAR'!$B$13:$B$512,IF(L363&gt;0,L363,K363))&amp;"")))</f>
      </c>
      <c r="D363" s="27">
        <f>IF(B363="","",IF(LEN(TRIM(INDEX('PEGAR'!$C$13:$C$512,IF(L363&gt;0,L363,K363))&amp;""))=0,"",TRIM(INDEX('PEGAR'!$C$13:$C$512,IF(L363&gt;0,L363,K363))&amp;"")))</f>
      </c>
      <c r="E363" s="27">
        <f>IF(B363="","",INDEX('PEGAR'!$S$13:$S$512,IF(L363&gt;0,L363,K363)))</f>
      </c>
      <c r="F363" s="39">
        <f>IF(B363="","",IF(L363&gt;0,INDEX('PEGAR'!$F$13:$F$512,L363),""))</f>
      </c>
      <c r="G363" s="39">
        <f>IF(B363="","",IF(OR(M363=0,N363&gt;0,O363&gt;0),"",SUMIFS('PEGAR'!$M$13:$M$512,'PEGAR'!$O$13:$O$512,B363)))</f>
      </c>
      <c r="H363" s="39">
        <f>IF(AND(ISNUMBER(F363),ISNUMBER(G363)),G363-F363,"")</f>
      </c>
      <c r="I363" s="27">
        <f>IF(B363="","",IF(W363=2,"ROJO",IF(W363=1,"ÁMBAR","VERDE")))</f>
      </c>
      <c r="J363" s="30">
        <f>IF(B363="","",IF(W363=0,"Sin avisos numéricos. Revisamos el alcance aparte.",IF(L363=0,"Faltan datos completos de partida; no elegimos un total por suposición."&amp;CHAR(10),"")&amp;IF(N363&gt;0,"Hay filas incompletas o contradictorias; las revisamos en PEGAR."&amp;CHAR(10),"")&amp;IF(O363&gt;0,"Faltan las medidas de alguna fila; no cerramos la suma."&amp;CHAR(10),"")&amp;IF(M363=0,"No constan líneas de medición."&amp;CHAR(10),"")&amp;IF(IF(ISNUMBER(H363),ROUND(ABS(H363),8)&gt;$F$6,FALSE),"Las líneas difieren del total en más de 0,01; confirmamos cantidad o exclusión."&amp;CHAR(10),"")&amp;IF(P363&gt;0,"Parece m³: encontramos tres dimensiones bajo m²."&amp;CHAR(10),"")&amp;IF(R363&gt;0,"Código repetido dentro del capítulo; mantenemos sus ID separados."&amp;CHAR(10),"")&amp;IF(S363&gt;0,"Código repetido en otro capítulo; no unimos las partidas."&amp;CHAR(10),"")&amp;IF(T363&gt;0,"Mismo código con unidades distintas; pedimos aclaración."&amp;CHAR(10),"")&amp;IF(Q363&gt;0,"Hay más precisión que los decimales indicados; cotejamos el formato original."&amp;CHAR(10),"")&amp;IF(U363&gt;0,"Unidad sin normalizar; cotejamos su significado antes de sumar unidades."&amp;CHAR(10),"")&amp;IF(V363&gt;0,"Revisamos dimensiones, cantidades directas, ceros o deducciones en PEGAR."&amp;CHAR(10),"")))</f>
      </c>
      <c r="K363" s="0">
        <f>IF(351&gt;'RESUMEN'!$E$6,"",MATCH(351,'PEGAR'!$W$13:$W$512,0))</f>
      </c>
      <c r="L363" s="0">
        <f>IF(K363="","",INDEX('PEGAR'!$R$13:$R$512,K363))</f>
      </c>
      <c r="M363" s="0">
        <f>IF(B363="","",COUNTIFS('PEGAR'!$O$13:$O$512,B363,'PEGAR'!$P$13:$P$512,"DIMENSIONES")+COUNTIFS('PEGAR'!$O$13:$O$512,B363,'PEGAR'!$P$13:$P$512,"DIRECTA"))</f>
      </c>
      <c r="N363" s="0">
        <f>IF(B363="","",COUNTIFS('PEGAR'!$O$13:$O$512,B363,'PEGAR'!$X$13:$X$512,2))</f>
      </c>
      <c r="O363" s="0">
        <f>IF(B363="","",COUNTIFS('PEGAR'!$O$13:$O$512,B363,'PEGAR'!$P$13:$P$512,"SIN LÍNEAS"))</f>
      </c>
      <c r="P363" s="0">
        <f>IF(B363="","",SUMIFS('PEGAR'!$Y$13:$Y$512,'PEGAR'!$O$13:$O$512,B363))</f>
      </c>
      <c r="Q363" s="0">
        <f>IF(B363="","",SUMIFS('PEGAR'!$Z$13:$Z$512,'PEGAR'!$O$13:$O$512,B363))</f>
      </c>
      <c r="R363" s="0" t="n">
        <f>IF(OR(B363="",D363=""),0,SUMPRODUCT(--($B$13:$B$512&lt;&gt;""),--($D$13:$D$512=D363),--($C$13:$C$512=C363))-1)</f>
        <v>0</v>
      </c>
      <c r="S363" s="0" t="n">
        <f>IF(OR(B363="",D363=""),0,SUMPRODUCT(--($B$13:$B$512&lt;&gt;""),--($D$13:$D$512=D363),--($C$13:$C$512&lt;&gt;C363)))</f>
        <v>0</v>
      </c>
      <c r="T363" s="0" t="n">
        <f>IF(OR(B363="",D363=""),0,SUMPRODUCT(--($B$13:$B$512&lt;&gt;""),--($D$13:$D$512=D363),--($E$13:$E$512&lt;&gt;E363)))</f>
        <v>0</v>
      </c>
      <c r="U363" s="0" t="n">
        <f>IF(B363="",0,IF(SUMPRODUCT(--('LÉEME'!$C$65:$C$86=E363))=0,1,0))</f>
        <v>0</v>
      </c>
      <c r="V363" s="0">
        <f>IF(B363="","",SUMIFS('PEGAR'!$AA$13:$AA$512,'PEGAR'!$O$13:$O$512,B363))</f>
      </c>
      <c r="W363" s="0">
        <f>IF(B363="","",IF(OR(L363=0,N363&gt;0,T363&gt;0,IF(ISNUMBER(H363),ROUND(ABS(H363),8)&gt;$F$6,FALSE)),2,IF(OR(M363=0,O363&gt;0,P363&gt;0,Q363&gt;0,R363&gt;0,S363&gt;0,U363&gt;0,V363&gt;0),1,0)))</f>
      </c>
      <c r="X363" s="0">
        <f>IF(B363="","",IF(ISNUMBER(G363),1,0))</f>
      </c>
      <c r="AB363" s="0">
        <f>IF(AND(ISNUMBER(W363),W363&gt;0),"ID "&amp;B363,"")</f>
      </c>
      <c r="AC363" s="0">
        <f>IF(AND(ISNUMBER(W363),W363&gt;0),C363,"")</f>
      </c>
      <c r="AD363" s="0">
        <f>IF(AND(ISNUMBER(W363),W363&gt;0),D363,"")</f>
      </c>
      <c r="AE363" s="0">
        <f>IF(AND(ISNUMBER(W363),W363&gt;0),IF(INDEX('PEGAR'!$D$13:$D$512,IF(L363&gt;0,L363,K363))="","Sin descripción",INDEX('PEGAR'!$D$13:$D$512,IF(L363&gt;0,L363,K363))),"")</f>
      </c>
      <c r="AF363" s="0">
        <f>IF(AND(ISNUMBER(W363),W363&gt;0),J363,"")</f>
      </c>
      <c r="AG363" s="0" t="n">
        <f>IF(AND(ISNUMBER(W363),W363&gt;0),W363,0)</f>
        <v>0</v>
      </c>
      <c r="AH363" s="0">
        <f>IF(AG363&gt;0,COUNTIFS($AG$13:AG363,"&gt;0"),"")</f>
      </c>
    </row>
    <row r="364" ht="22" customHeight="1">
      <c r="B364" s="27">
        <f>IF(K364="","",INDEX('PEGAR'!$O$13:$O$512,K364))</f>
      </c>
      <c r="C364" s="30">
        <f>IF(B364="","",IF(LEN(TRIM(INDEX('PEGAR'!$B$13:$B$512,IF(L364&gt;0,L364,K364))&amp;""))=0,"Sin capítulo",TRIM(INDEX('PEGAR'!$B$13:$B$512,IF(L364&gt;0,L364,K364))&amp;"")))</f>
      </c>
      <c r="D364" s="27">
        <f>IF(B364="","",IF(LEN(TRIM(INDEX('PEGAR'!$C$13:$C$512,IF(L364&gt;0,L364,K364))&amp;""))=0,"",TRIM(INDEX('PEGAR'!$C$13:$C$512,IF(L364&gt;0,L364,K364))&amp;"")))</f>
      </c>
      <c r="E364" s="27">
        <f>IF(B364="","",INDEX('PEGAR'!$S$13:$S$512,IF(L364&gt;0,L364,K364)))</f>
      </c>
      <c r="F364" s="39">
        <f>IF(B364="","",IF(L364&gt;0,INDEX('PEGAR'!$F$13:$F$512,L364),""))</f>
      </c>
      <c r="G364" s="39">
        <f>IF(B364="","",IF(OR(M364=0,N364&gt;0,O364&gt;0),"",SUMIFS('PEGAR'!$M$13:$M$512,'PEGAR'!$O$13:$O$512,B364)))</f>
      </c>
      <c r="H364" s="39">
        <f>IF(AND(ISNUMBER(F364),ISNUMBER(G364)),G364-F364,"")</f>
      </c>
      <c r="I364" s="27">
        <f>IF(B364="","",IF(W364=2,"ROJO",IF(W364=1,"ÁMBAR","VERDE")))</f>
      </c>
      <c r="J364" s="30">
        <f>IF(B364="","",IF(W364=0,"Sin avisos numéricos. Revisamos el alcance aparte.",IF(L364=0,"Faltan datos completos de partida; no elegimos un total por suposición."&amp;CHAR(10),"")&amp;IF(N364&gt;0,"Hay filas incompletas o contradictorias; las revisamos en PEGAR."&amp;CHAR(10),"")&amp;IF(O364&gt;0,"Faltan las medidas de alguna fila; no cerramos la suma."&amp;CHAR(10),"")&amp;IF(M364=0,"No constan líneas de medición."&amp;CHAR(10),"")&amp;IF(IF(ISNUMBER(H364),ROUND(ABS(H364),8)&gt;$F$6,FALSE),"Las líneas difieren del total en más de 0,01; confirmamos cantidad o exclusión."&amp;CHAR(10),"")&amp;IF(P364&gt;0,"Parece m³: encontramos tres dimensiones bajo m²."&amp;CHAR(10),"")&amp;IF(R364&gt;0,"Código repetido dentro del capítulo; mantenemos sus ID separados."&amp;CHAR(10),"")&amp;IF(S364&gt;0,"Código repetido en otro capítulo; no unimos las partidas."&amp;CHAR(10),"")&amp;IF(T364&gt;0,"Mismo código con unidades distintas; pedimos aclaración."&amp;CHAR(10),"")&amp;IF(Q364&gt;0,"Hay más precisión que los decimales indicados; cotejamos el formato original."&amp;CHAR(10),"")&amp;IF(U364&gt;0,"Unidad sin normalizar; cotejamos su significado antes de sumar unidades."&amp;CHAR(10),"")&amp;IF(V364&gt;0,"Revisamos dimensiones, cantidades directas, ceros o deducciones en PEGAR."&amp;CHAR(10),"")))</f>
      </c>
      <c r="K364" s="0">
        <f>IF(352&gt;'RESUMEN'!$E$6,"",MATCH(352,'PEGAR'!$W$13:$W$512,0))</f>
      </c>
      <c r="L364" s="0">
        <f>IF(K364="","",INDEX('PEGAR'!$R$13:$R$512,K364))</f>
      </c>
      <c r="M364" s="0">
        <f>IF(B364="","",COUNTIFS('PEGAR'!$O$13:$O$512,B364,'PEGAR'!$P$13:$P$512,"DIMENSIONES")+COUNTIFS('PEGAR'!$O$13:$O$512,B364,'PEGAR'!$P$13:$P$512,"DIRECTA"))</f>
      </c>
      <c r="N364" s="0">
        <f>IF(B364="","",COUNTIFS('PEGAR'!$O$13:$O$512,B364,'PEGAR'!$X$13:$X$512,2))</f>
      </c>
      <c r="O364" s="0">
        <f>IF(B364="","",COUNTIFS('PEGAR'!$O$13:$O$512,B364,'PEGAR'!$P$13:$P$512,"SIN LÍNEAS"))</f>
      </c>
      <c r="P364" s="0">
        <f>IF(B364="","",SUMIFS('PEGAR'!$Y$13:$Y$512,'PEGAR'!$O$13:$O$512,B364))</f>
      </c>
      <c r="Q364" s="0">
        <f>IF(B364="","",SUMIFS('PEGAR'!$Z$13:$Z$512,'PEGAR'!$O$13:$O$512,B364))</f>
      </c>
      <c r="R364" s="0" t="n">
        <f>IF(OR(B364="",D364=""),0,SUMPRODUCT(--($B$13:$B$512&lt;&gt;""),--($D$13:$D$512=D364),--($C$13:$C$512=C364))-1)</f>
        <v>0</v>
      </c>
      <c r="S364" s="0" t="n">
        <f>IF(OR(B364="",D364=""),0,SUMPRODUCT(--($B$13:$B$512&lt;&gt;""),--($D$13:$D$512=D364),--($C$13:$C$512&lt;&gt;C364)))</f>
        <v>0</v>
      </c>
      <c r="T364" s="0" t="n">
        <f>IF(OR(B364="",D364=""),0,SUMPRODUCT(--($B$13:$B$512&lt;&gt;""),--($D$13:$D$512=D364),--($E$13:$E$512&lt;&gt;E364)))</f>
        <v>0</v>
      </c>
      <c r="U364" s="0" t="n">
        <f>IF(B364="",0,IF(SUMPRODUCT(--('LÉEME'!$C$65:$C$86=E364))=0,1,0))</f>
        <v>0</v>
      </c>
      <c r="V364" s="0">
        <f>IF(B364="","",SUMIFS('PEGAR'!$AA$13:$AA$512,'PEGAR'!$O$13:$O$512,B364))</f>
      </c>
      <c r="W364" s="0">
        <f>IF(B364="","",IF(OR(L364=0,N364&gt;0,T364&gt;0,IF(ISNUMBER(H364),ROUND(ABS(H364),8)&gt;$F$6,FALSE)),2,IF(OR(M364=0,O364&gt;0,P364&gt;0,Q364&gt;0,R364&gt;0,S364&gt;0,U364&gt;0,V364&gt;0),1,0)))</f>
      </c>
      <c r="X364" s="0">
        <f>IF(B364="","",IF(ISNUMBER(G364),1,0))</f>
      </c>
      <c r="AB364" s="0">
        <f>IF(AND(ISNUMBER(W364),W364&gt;0),"ID "&amp;B364,"")</f>
      </c>
      <c r="AC364" s="0">
        <f>IF(AND(ISNUMBER(W364),W364&gt;0),C364,"")</f>
      </c>
      <c r="AD364" s="0">
        <f>IF(AND(ISNUMBER(W364),W364&gt;0),D364,"")</f>
      </c>
      <c r="AE364" s="0">
        <f>IF(AND(ISNUMBER(W364),W364&gt;0),IF(INDEX('PEGAR'!$D$13:$D$512,IF(L364&gt;0,L364,K364))="","Sin descripción",INDEX('PEGAR'!$D$13:$D$512,IF(L364&gt;0,L364,K364))),"")</f>
      </c>
      <c r="AF364" s="0">
        <f>IF(AND(ISNUMBER(W364),W364&gt;0),J364,"")</f>
      </c>
      <c r="AG364" s="0" t="n">
        <f>IF(AND(ISNUMBER(W364),W364&gt;0),W364,0)</f>
        <v>0</v>
      </c>
      <c r="AH364" s="0">
        <f>IF(AG364&gt;0,COUNTIFS($AG$13:AG364,"&gt;0"),"")</f>
      </c>
    </row>
    <row r="365" ht="22" customHeight="1">
      <c r="B365" s="27">
        <f>IF(K365="","",INDEX('PEGAR'!$O$13:$O$512,K365))</f>
      </c>
      <c r="C365" s="30">
        <f>IF(B365="","",IF(LEN(TRIM(INDEX('PEGAR'!$B$13:$B$512,IF(L365&gt;0,L365,K365))&amp;""))=0,"Sin capítulo",TRIM(INDEX('PEGAR'!$B$13:$B$512,IF(L365&gt;0,L365,K365))&amp;"")))</f>
      </c>
      <c r="D365" s="27">
        <f>IF(B365="","",IF(LEN(TRIM(INDEX('PEGAR'!$C$13:$C$512,IF(L365&gt;0,L365,K365))&amp;""))=0,"",TRIM(INDEX('PEGAR'!$C$13:$C$512,IF(L365&gt;0,L365,K365))&amp;"")))</f>
      </c>
      <c r="E365" s="27">
        <f>IF(B365="","",INDEX('PEGAR'!$S$13:$S$512,IF(L365&gt;0,L365,K365)))</f>
      </c>
      <c r="F365" s="39">
        <f>IF(B365="","",IF(L365&gt;0,INDEX('PEGAR'!$F$13:$F$512,L365),""))</f>
      </c>
      <c r="G365" s="39">
        <f>IF(B365="","",IF(OR(M365=0,N365&gt;0,O365&gt;0),"",SUMIFS('PEGAR'!$M$13:$M$512,'PEGAR'!$O$13:$O$512,B365)))</f>
      </c>
      <c r="H365" s="39">
        <f>IF(AND(ISNUMBER(F365),ISNUMBER(G365)),G365-F365,"")</f>
      </c>
      <c r="I365" s="27">
        <f>IF(B365="","",IF(W365=2,"ROJO",IF(W365=1,"ÁMBAR","VERDE")))</f>
      </c>
      <c r="J365" s="30">
        <f>IF(B365="","",IF(W365=0,"Sin avisos numéricos. Revisamos el alcance aparte.",IF(L365=0,"Faltan datos completos de partida; no elegimos un total por suposición."&amp;CHAR(10),"")&amp;IF(N365&gt;0,"Hay filas incompletas o contradictorias; las revisamos en PEGAR."&amp;CHAR(10),"")&amp;IF(O365&gt;0,"Faltan las medidas de alguna fila; no cerramos la suma."&amp;CHAR(10),"")&amp;IF(M365=0,"No constan líneas de medición."&amp;CHAR(10),"")&amp;IF(IF(ISNUMBER(H365),ROUND(ABS(H365),8)&gt;$F$6,FALSE),"Las líneas difieren del total en más de 0,01; confirmamos cantidad o exclusión."&amp;CHAR(10),"")&amp;IF(P365&gt;0,"Parece m³: encontramos tres dimensiones bajo m²."&amp;CHAR(10),"")&amp;IF(R365&gt;0,"Código repetido dentro del capítulo; mantenemos sus ID separados."&amp;CHAR(10),"")&amp;IF(S365&gt;0,"Código repetido en otro capítulo; no unimos las partidas."&amp;CHAR(10),"")&amp;IF(T365&gt;0,"Mismo código con unidades distintas; pedimos aclaración."&amp;CHAR(10),"")&amp;IF(Q365&gt;0,"Hay más precisión que los decimales indicados; cotejamos el formato original."&amp;CHAR(10),"")&amp;IF(U365&gt;0,"Unidad sin normalizar; cotejamos su significado antes de sumar unidades."&amp;CHAR(10),"")&amp;IF(V365&gt;0,"Revisamos dimensiones, cantidades directas, ceros o deducciones en PEGAR."&amp;CHAR(10),"")))</f>
      </c>
      <c r="K365" s="0">
        <f>IF(353&gt;'RESUMEN'!$E$6,"",MATCH(353,'PEGAR'!$W$13:$W$512,0))</f>
      </c>
      <c r="L365" s="0">
        <f>IF(K365="","",INDEX('PEGAR'!$R$13:$R$512,K365))</f>
      </c>
      <c r="M365" s="0">
        <f>IF(B365="","",COUNTIFS('PEGAR'!$O$13:$O$512,B365,'PEGAR'!$P$13:$P$512,"DIMENSIONES")+COUNTIFS('PEGAR'!$O$13:$O$512,B365,'PEGAR'!$P$13:$P$512,"DIRECTA"))</f>
      </c>
      <c r="N365" s="0">
        <f>IF(B365="","",COUNTIFS('PEGAR'!$O$13:$O$512,B365,'PEGAR'!$X$13:$X$512,2))</f>
      </c>
      <c r="O365" s="0">
        <f>IF(B365="","",COUNTIFS('PEGAR'!$O$13:$O$512,B365,'PEGAR'!$P$13:$P$512,"SIN LÍNEAS"))</f>
      </c>
      <c r="P365" s="0">
        <f>IF(B365="","",SUMIFS('PEGAR'!$Y$13:$Y$512,'PEGAR'!$O$13:$O$512,B365))</f>
      </c>
      <c r="Q365" s="0">
        <f>IF(B365="","",SUMIFS('PEGAR'!$Z$13:$Z$512,'PEGAR'!$O$13:$O$512,B365))</f>
      </c>
      <c r="R365" s="0" t="n">
        <f>IF(OR(B365="",D365=""),0,SUMPRODUCT(--($B$13:$B$512&lt;&gt;""),--($D$13:$D$512=D365),--($C$13:$C$512=C365))-1)</f>
        <v>0</v>
      </c>
      <c r="S365" s="0" t="n">
        <f>IF(OR(B365="",D365=""),0,SUMPRODUCT(--($B$13:$B$512&lt;&gt;""),--($D$13:$D$512=D365),--($C$13:$C$512&lt;&gt;C365)))</f>
        <v>0</v>
      </c>
      <c r="T365" s="0" t="n">
        <f>IF(OR(B365="",D365=""),0,SUMPRODUCT(--($B$13:$B$512&lt;&gt;""),--($D$13:$D$512=D365),--($E$13:$E$512&lt;&gt;E365)))</f>
        <v>0</v>
      </c>
      <c r="U365" s="0" t="n">
        <f>IF(B365="",0,IF(SUMPRODUCT(--('LÉEME'!$C$65:$C$86=E365))=0,1,0))</f>
        <v>0</v>
      </c>
      <c r="V365" s="0">
        <f>IF(B365="","",SUMIFS('PEGAR'!$AA$13:$AA$512,'PEGAR'!$O$13:$O$512,B365))</f>
      </c>
      <c r="W365" s="0">
        <f>IF(B365="","",IF(OR(L365=0,N365&gt;0,T365&gt;0,IF(ISNUMBER(H365),ROUND(ABS(H365),8)&gt;$F$6,FALSE)),2,IF(OR(M365=0,O365&gt;0,P365&gt;0,Q365&gt;0,R365&gt;0,S365&gt;0,U365&gt;0,V365&gt;0),1,0)))</f>
      </c>
      <c r="X365" s="0">
        <f>IF(B365="","",IF(ISNUMBER(G365),1,0))</f>
      </c>
      <c r="AB365" s="0">
        <f>IF(AND(ISNUMBER(W365),W365&gt;0),"ID "&amp;B365,"")</f>
      </c>
      <c r="AC365" s="0">
        <f>IF(AND(ISNUMBER(W365),W365&gt;0),C365,"")</f>
      </c>
      <c r="AD365" s="0">
        <f>IF(AND(ISNUMBER(W365),W365&gt;0),D365,"")</f>
      </c>
      <c r="AE365" s="0">
        <f>IF(AND(ISNUMBER(W365),W365&gt;0),IF(INDEX('PEGAR'!$D$13:$D$512,IF(L365&gt;0,L365,K365))="","Sin descripción",INDEX('PEGAR'!$D$13:$D$512,IF(L365&gt;0,L365,K365))),"")</f>
      </c>
      <c r="AF365" s="0">
        <f>IF(AND(ISNUMBER(W365),W365&gt;0),J365,"")</f>
      </c>
      <c r="AG365" s="0" t="n">
        <f>IF(AND(ISNUMBER(W365),W365&gt;0),W365,0)</f>
        <v>0</v>
      </c>
      <c r="AH365" s="0">
        <f>IF(AG365&gt;0,COUNTIFS($AG$13:AG365,"&gt;0"),"")</f>
      </c>
    </row>
    <row r="366" ht="22" customHeight="1">
      <c r="B366" s="27">
        <f>IF(K366="","",INDEX('PEGAR'!$O$13:$O$512,K366))</f>
      </c>
      <c r="C366" s="30">
        <f>IF(B366="","",IF(LEN(TRIM(INDEX('PEGAR'!$B$13:$B$512,IF(L366&gt;0,L366,K366))&amp;""))=0,"Sin capítulo",TRIM(INDEX('PEGAR'!$B$13:$B$512,IF(L366&gt;0,L366,K366))&amp;"")))</f>
      </c>
      <c r="D366" s="27">
        <f>IF(B366="","",IF(LEN(TRIM(INDEX('PEGAR'!$C$13:$C$512,IF(L366&gt;0,L366,K366))&amp;""))=0,"",TRIM(INDEX('PEGAR'!$C$13:$C$512,IF(L366&gt;0,L366,K366))&amp;"")))</f>
      </c>
      <c r="E366" s="27">
        <f>IF(B366="","",INDEX('PEGAR'!$S$13:$S$512,IF(L366&gt;0,L366,K366)))</f>
      </c>
      <c r="F366" s="39">
        <f>IF(B366="","",IF(L366&gt;0,INDEX('PEGAR'!$F$13:$F$512,L366),""))</f>
      </c>
      <c r="G366" s="39">
        <f>IF(B366="","",IF(OR(M366=0,N366&gt;0,O366&gt;0),"",SUMIFS('PEGAR'!$M$13:$M$512,'PEGAR'!$O$13:$O$512,B366)))</f>
      </c>
      <c r="H366" s="39">
        <f>IF(AND(ISNUMBER(F366),ISNUMBER(G366)),G366-F366,"")</f>
      </c>
      <c r="I366" s="27">
        <f>IF(B366="","",IF(W366=2,"ROJO",IF(W366=1,"ÁMBAR","VERDE")))</f>
      </c>
      <c r="J366" s="30">
        <f>IF(B366="","",IF(W366=0,"Sin avisos numéricos. Revisamos el alcance aparte.",IF(L366=0,"Faltan datos completos de partida; no elegimos un total por suposición."&amp;CHAR(10),"")&amp;IF(N366&gt;0,"Hay filas incompletas o contradictorias; las revisamos en PEGAR."&amp;CHAR(10),"")&amp;IF(O366&gt;0,"Faltan las medidas de alguna fila; no cerramos la suma."&amp;CHAR(10),"")&amp;IF(M366=0,"No constan líneas de medición."&amp;CHAR(10),"")&amp;IF(IF(ISNUMBER(H366),ROUND(ABS(H366),8)&gt;$F$6,FALSE),"Las líneas difieren del total en más de 0,01; confirmamos cantidad o exclusión."&amp;CHAR(10),"")&amp;IF(P366&gt;0,"Parece m³: encontramos tres dimensiones bajo m²."&amp;CHAR(10),"")&amp;IF(R366&gt;0,"Código repetido dentro del capítulo; mantenemos sus ID separados."&amp;CHAR(10),"")&amp;IF(S366&gt;0,"Código repetido en otro capítulo; no unimos las partidas."&amp;CHAR(10),"")&amp;IF(T366&gt;0,"Mismo código con unidades distintas; pedimos aclaración."&amp;CHAR(10),"")&amp;IF(Q366&gt;0,"Hay más precisión que los decimales indicados; cotejamos el formato original."&amp;CHAR(10),"")&amp;IF(U366&gt;0,"Unidad sin normalizar; cotejamos su significado antes de sumar unidades."&amp;CHAR(10),"")&amp;IF(V366&gt;0,"Revisamos dimensiones, cantidades directas, ceros o deducciones en PEGAR."&amp;CHAR(10),"")))</f>
      </c>
      <c r="K366" s="0">
        <f>IF(354&gt;'RESUMEN'!$E$6,"",MATCH(354,'PEGAR'!$W$13:$W$512,0))</f>
      </c>
      <c r="L366" s="0">
        <f>IF(K366="","",INDEX('PEGAR'!$R$13:$R$512,K366))</f>
      </c>
      <c r="M366" s="0">
        <f>IF(B366="","",COUNTIFS('PEGAR'!$O$13:$O$512,B366,'PEGAR'!$P$13:$P$512,"DIMENSIONES")+COUNTIFS('PEGAR'!$O$13:$O$512,B366,'PEGAR'!$P$13:$P$512,"DIRECTA"))</f>
      </c>
      <c r="N366" s="0">
        <f>IF(B366="","",COUNTIFS('PEGAR'!$O$13:$O$512,B366,'PEGAR'!$X$13:$X$512,2))</f>
      </c>
      <c r="O366" s="0">
        <f>IF(B366="","",COUNTIFS('PEGAR'!$O$13:$O$512,B366,'PEGAR'!$P$13:$P$512,"SIN LÍNEAS"))</f>
      </c>
      <c r="P366" s="0">
        <f>IF(B366="","",SUMIFS('PEGAR'!$Y$13:$Y$512,'PEGAR'!$O$13:$O$512,B366))</f>
      </c>
      <c r="Q366" s="0">
        <f>IF(B366="","",SUMIFS('PEGAR'!$Z$13:$Z$512,'PEGAR'!$O$13:$O$512,B366))</f>
      </c>
      <c r="R366" s="0" t="n">
        <f>IF(OR(B366="",D366=""),0,SUMPRODUCT(--($B$13:$B$512&lt;&gt;""),--($D$13:$D$512=D366),--($C$13:$C$512=C366))-1)</f>
        <v>0</v>
      </c>
      <c r="S366" s="0" t="n">
        <f>IF(OR(B366="",D366=""),0,SUMPRODUCT(--($B$13:$B$512&lt;&gt;""),--($D$13:$D$512=D366),--($C$13:$C$512&lt;&gt;C366)))</f>
        <v>0</v>
      </c>
      <c r="T366" s="0" t="n">
        <f>IF(OR(B366="",D366=""),0,SUMPRODUCT(--($B$13:$B$512&lt;&gt;""),--($D$13:$D$512=D366),--($E$13:$E$512&lt;&gt;E366)))</f>
        <v>0</v>
      </c>
      <c r="U366" s="0" t="n">
        <f>IF(B366="",0,IF(SUMPRODUCT(--('LÉEME'!$C$65:$C$86=E366))=0,1,0))</f>
        <v>0</v>
      </c>
      <c r="V366" s="0">
        <f>IF(B366="","",SUMIFS('PEGAR'!$AA$13:$AA$512,'PEGAR'!$O$13:$O$512,B366))</f>
      </c>
      <c r="W366" s="0">
        <f>IF(B366="","",IF(OR(L366=0,N366&gt;0,T366&gt;0,IF(ISNUMBER(H366),ROUND(ABS(H366),8)&gt;$F$6,FALSE)),2,IF(OR(M366=0,O366&gt;0,P366&gt;0,Q366&gt;0,R366&gt;0,S366&gt;0,U366&gt;0,V366&gt;0),1,0)))</f>
      </c>
      <c r="X366" s="0">
        <f>IF(B366="","",IF(ISNUMBER(G366),1,0))</f>
      </c>
      <c r="AB366" s="0">
        <f>IF(AND(ISNUMBER(W366),W366&gt;0),"ID "&amp;B366,"")</f>
      </c>
      <c r="AC366" s="0">
        <f>IF(AND(ISNUMBER(W366),W366&gt;0),C366,"")</f>
      </c>
      <c r="AD366" s="0">
        <f>IF(AND(ISNUMBER(W366),W366&gt;0),D366,"")</f>
      </c>
      <c r="AE366" s="0">
        <f>IF(AND(ISNUMBER(W366),W366&gt;0),IF(INDEX('PEGAR'!$D$13:$D$512,IF(L366&gt;0,L366,K366))="","Sin descripción",INDEX('PEGAR'!$D$13:$D$512,IF(L366&gt;0,L366,K366))),"")</f>
      </c>
      <c r="AF366" s="0">
        <f>IF(AND(ISNUMBER(W366),W366&gt;0),J366,"")</f>
      </c>
      <c r="AG366" s="0" t="n">
        <f>IF(AND(ISNUMBER(W366),W366&gt;0),W366,0)</f>
        <v>0</v>
      </c>
      <c r="AH366" s="0">
        <f>IF(AG366&gt;0,COUNTIFS($AG$13:AG366,"&gt;0"),"")</f>
      </c>
    </row>
    <row r="367" ht="22" customHeight="1">
      <c r="B367" s="27">
        <f>IF(K367="","",INDEX('PEGAR'!$O$13:$O$512,K367))</f>
      </c>
      <c r="C367" s="30">
        <f>IF(B367="","",IF(LEN(TRIM(INDEX('PEGAR'!$B$13:$B$512,IF(L367&gt;0,L367,K367))&amp;""))=0,"Sin capítulo",TRIM(INDEX('PEGAR'!$B$13:$B$512,IF(L367&gt;0,L367,K367))&amp;"")))</f>
      </c>
      <c r="D367" s="27">
        <f>IF(B367="","",IF(LEN(TRIM(INDEX('PEGAR'!$C$13:$C$512,IF(L367&gt;0,L367,K367))&amp;""))=0,"",TRIM(INDEX('PEGAR'!$C$13:$C$512,IF(L367&gt;0,L367,K367))&amp;"")))</f>
      </c>
      <c r="E367" s="27">
        <f>IF(B367="","",INDEX('PEGAR'!$S$13:$S$512,IF(L367&gt;0,L367,K367)))</f>
      </c>
      <c r="F367" s="39">
        <f>IF(B367="","",IF(L367&gt;0,INDEX('PEGAR'!$F$13:$F$512,L367),""))</f>
      </c>
      <c r="G367" s="39">
        <f>IF(B367="","",IF(OR(M367=0,N367&gt;0,O367&gt;0),"",SUMIFS('PEGAR'!$M$13:$M$512,'PEGAR'!$O$13:$O$512,B367)))</f>
      </c>
      <c r="H367" s="39">
        <f>IF(AND(ISNUMBER(F367),ISNUMBER(G367)),G367-F367,"")</f>
      </c>
      <c r="I367" s="27">
        <f>IF(B367="","",IF(W367=2,"ROJO",IF(W367=1,"ÁMBAR","VERDE")))</f>
      </c>
      <c r="J367" s="30">
        <f>IF(B367="","",IF(W367=0,"Sin avisos numéricos. Revisamos el alcance aparte.",IF(L367=0,"Faltan datos completos de partida; no elegimos un total por suposición."&amp;CHAR(10),"")&amp;IF(N367&gt;0,"Hay filas incompletas o contradictorias; las revisamos en PEGAR."&amp;CHAR(10),"")&amp;IF(O367&gt;0,"Faltan las medidas de alguna fila; no cerramos la suma."&amp;CHAR(10),"")&amp;IF(M367=0,"No constan líneas de medición."&amp;CHAR(10),"")&amp;IF(IF(ISNUMBER(H367),ROUND(ABS(H367),8)&gt;$F$6,FALSE),"Las líneas difieren del total en más de 0,01; confirmamos cantidad o exclusión."&amp;CHAR(10),"")&amp;IF(P367&gt;0,"Parece m³: encontramos tres dimensiones bajo m²."&amp;CHAR(10),"")&amp;IF(R367&gt;0,"Código repetido dentro del capítulo; mantenemos sus ID separados."&amp;CHAR(10),"")&amp;IF(S367&gt;0,"Código repetido en otro capítulo; no unimos las partidas."&amp;CHAR(10),"")&amp;IF(T367&gt;0,"Mismo código con unidades distintas; pedimos aclaración."&amp;CHAR(10),"")&amp;IF(Q367&gt;0,"Hay más precisión que los decimales indicados; cotejamos el formato original."&amp;CHAR(10),"")&amp;IF(U367&gt;0,"Unidad sin normalizar; cotejamos su significado antes de sumar unidades."&amp;CHAR(10),"")&amp;IF(V367&gt;0,"Revisamos dimensiones, cantidades directas, ceros o deducciones en PEGAR."&amp;CHAR(10),"")))</f>
      </c>
      <c r="K367" s="0">
        <f>IF(355&gt;'RESUMEN'!$E$6,"",MATCH(355,'PEGAR'!$W$13:$W$512,0))</f>
      </c>
      <c r="L367" s="0">
        <f>IF(K367="","",INDEX('PEGAR'!$R$13:$R$512,K367))</f>
      </c>
      <c r="M367" s="0">
        <f>IF(B367="","",COUNTIFS('PEGAR'!$O$13:$O$512,B367,'PEGAR'!$P$13:$P$512,"DIMENSIONES")+COUNTIFS('PEGAR'!$O$13:$O$512,B367,'PEGAR'!$P$13:$P$512,"DIRECTA"))</f>
      </c>
      <c r="N367" s="0">
        <f>IF(B367="","",COUNTIFS('PEGAR'!$O$13:$O$512,B367,'PEGAR'!$X$13:$X$512,2))</f>
      </c>
      <c r="O367" s="0">
        <f>IF(B367="","",COUNTIFS('PEGAR'!$O$13:$O$512,B367,'PEGAR'!$P$13:$P$512,"SIN LÍNEAS"))</f>
      </c>
      <c r="P367" s="0">
        <f>IF(B367="","",SUMIFS('PEGAR'!$Y$13:$Y$512,'PEGAR'!$O$13:$O$512,B367))</f>
      </c>
      <c r="Q367" s="0">
        <f>IF(B367="","",SUMIFS('PEGAR'!$Z$13:$Z$512,'PEGAR'!$O$13:$O$512,B367))</f>
      </c>
      <c r="R367" s="0" t="n">
        <f>IF(OR(B367="",D367=""),0,SUMPRODUCT(--($B$13:$B$512&lt;&gt;""),--($D$13:$D$512=D367),--($C$13:$C$512=C367))-1)</f>
        <v>0</v>
      </c>
      <c r="S367" s="0" t="n">
        <f>IF(OR(B367="",D367=""),0,SUMPRODUCT(--($B$13:$B$512&lt;&gt;""),--($D$13:$D$512=D367),--($C$13:$C$512&lt;&gt;C367)))</f>
        <v>0</v>
      </c>
      <c r="T367" s="0" t="n">
        <f>IF(OR(B367="",D367=""),0,SUMPRODUCT(--($B$13:$B$512&lt;&gt;""),--($D$13:$D$512=D367),--($E$13:$E$512&lt;&gt;E367)))</f>
        <v>0</v>
      </c>
      <c r="U367" s="0" t="n">
        <f>IF(B367="",0,IF(SUMPRODUCT(--('LÉEME'!$C$65:$C$86=E367))=0,1,0))</f>
        <v>0</v>
      </c>
      <c r="V367" s="0">
        <f>IF(B367="","",SUMIFS('PEGAR'!$AA$13:$AA$512,'PEGAR'!$O$13:$O$512,B367))</f>
      </c>
      <c r="W367" s="0">
        <f>IF(B367="","",IF(OR(L367=0,N367&gt;0,T367&gt;0,IF(ISNUMBER(H367),ROUND(ABS(H367),8)&gt;$F$6,FALSE)),2,IF(OR(M367=0,O367&gt;0,P367&gt;0,Q367&gt;0,R367&gt;0,S367&gt;0,U367&gt;0,V367&gt;0),1,0)))</f>
      </c>
      <c r="X367" s="0">
        <f>IF(B367="","",IF(ISNUMBER(G367),1,0))</f>
      </c>
      <c r="AB367" s="0">
        <f>IF(AND(ISNUMBER(W367),W367&gt;0),"ID "&amp;B367,"")</f>
      </c>
      <c r="AC367" s="0">
        <f>IF(AND(ISNUMBER(W367),W367&gt;0),C367,"")</f>
      </c>
      <c r="AD367" s="0">
        <f>IF(AND(ISNUMBER(W367),W367&gt;0),D367,"")</f>
      </c>
      <c r="AE367" s="0">
        <f>IF(AND(ISNUMBER(W367),W367&gt;0),IF(INDEX('PEGAR'!$D$13:$D$512,IF(L367&gt;0,L367,K367))="","Sin descripción",INDEX('PEGAR'!$D$13:$D$512,IF(L367&gt;0,L367,K367))),"")</f>
      </c>
      <c r="AF367" s="0">
        <f>IF(AND(ISNUMBER(W367),W367&gt;0),J367,"")</f>
      </c>
      <c r="AG367" s="0" t="n">
        <f>IF(AND(ISNUMBER(W367),W367&gt;0),W367,0)</f>
        <v>0</v>
      </c>
      <c r="AH367" s="0">
        <f>IF(AG367&gt;0,COUNTIFS($AG$13:AG367,"&gt;0"),"")</f>
      </c>
    </row>
    <row r="368" ht="22" customHeight="1">
      <c r="B368" s="27">
        <f>IF(K368="","",INDEX('PEGAR'!$O$13:$O$512,K368))</f>
      </c>
      <c r="C368" s="30">
        <f>IF(B368="","",IF(LEN(TRIM(INDEX('PEGAR'!$B$13:$B$512,IF(L368&gt;0,L368,K368))&amp;""))=0,"Sin capítulo",TRIM(INDEX('PEGAR'!$B$13:$B$512,IF(L368&gt;0,L368,K368))&amp;"")))</f>
      </c>
      <c r="D368" s="27">
        <f>IF(B368="","",IF(LEN(TRIM(INDEX('PEGAR'!$C$13:$C$512,IF(L368&gt;0,L368,K368))&amp;""))=0,"",TRIM(INDEX('PEGAR'!$C$13:$C$512,IF(L368&gt;0,L368,K368))&amp;"")))</f>
      </c>
      <c r="E368" s="27">
        <f>IF(B368="","",INDEX('PEGAR'!$S$13:$S$512,IF(L368&gt;0,L368,K368)))</f>
      </c>
      <c r="F368" s="39">
        <f>IF(B368="","",IF(L368&gt;0,INDEX('PEGAR'!$F$13:$F$512,L368),""))</f>
      </c>
      <c r="G368" s="39">
        <f>IF(B368="","",IF(OR(M368=0,N368&gt;0,O368&gt;0),"",SUMIFS('PEGAR'!$M$13:$M$512,'PEGAR'!$O$13:$O$512,B368)))</f>
      </c>
      <c r="H368" s="39">
        <f>IF(AND(ISNUMBER(F368),ISNUMBER(G368)),G368-F368,"")</f>
      </c>
      <c r="I368" s="27">
        <f>IF(B368="","",IF(W368=2,"ROJO",IF(W368=1,"ÁMBAR","VERDE")))</f>
      </c>
      <c r="J368" s="30">
        <f>IF(B368="","",IF(W368=0,"Sin avisos numéricos. Revisamos el alcance aparte.",IF(L368=0,"Faltan datos completos de partida; no elegimos un total por suposición."&amp;CHAR(10),"")&amp;IF(N368&gt;0,"Hay filas incompletas o contradictorias; las revisamos en PEGAR."&amp;CHAR(10),"")&amp;IF(O368&gt;0,"Faltan las medidas de alguna fila; no cerramos la suma."&amp;CHAR(10),"")&amp;IF(M368=0,"No constan líneas de medición."&amp;CHAR(10),"")&amp;IF(IF(ISNUMBER(H368),ROUND(ABS(H368),8)&gt;$F$6,FALSE),"Las líneas difieren del total en más de 0,01; confirmamos cantidad o exclusión."&amp;CHAR(10),"")&amp;IF(P368&gt;0,"Parece m³: encontramos tres dimensiones bajo m²."&amp;CHAR(10),"")&amp;IF(R368&gt;0,"Código repetido dentro del capítulo; mantenemos sus ID separados."&amp;CHAR(10),"")&amp;IF(S368&gt;0,"Código repetido en otro capítulo; no unimos las partidas."&amp;CHAR(10),"")&amp;IF(T368&gt;0,"Mismo código con unidades distintas; pedimos aclaración."&amp;CHAR(10),"")&amp;IF(Q368&gt;0,"Hay más precisión que los decimales indicados; cotejamos el formato original."&amp;CHAR(10),"")&amp;IF(U368&gt;0,"Unidad sin normalizar; cotejamos su significado antes de sumar unidades."&amp;CHAR(10),"")&amp;IF(V368&gt;0,"Revisamos dimensiones, cantidades directas, ceros o deducciones en PEGAR."&amp;CHAR(10),"")))</f>
      </c>
      <c r="K368" s="0">
        <f>IF(356&gt;'RESUMEN'!$E$6,"",MATCH(356,'PEGAR'!$W$13:$W$512,0))</f>
      </c>
      <c r="L368" s="0">
        <f>IF(K368="","",INDEX('PEGAR'!$R$13:$R$512,K368))</f>
      </c>
      <c r="M368" s="0">
        <f>IF(B368="","",COUNTIFS('PEGAR'!$O$13:$O$512,B368,'PEGAR'!$P$13:$P$512,"DIMENSIONES")+COUNTIFS('PEGAR'!$O$13:$O$512,B368,'PEGAR'!$P$13:$P$512,"DIRECTA"))</f>
      </c>
      <c r="N368" s="0">
        <f>IF(B368="","",COUNTIFS('PEGAR'!$O$13:$O$512,B368,'PEGAR'!$X$13:$X$512,2))</f>
      </c>
      <c r="O368" s="0">
        <f>IF(B368="","",COUNTIFS('PEGAR'!$O$13:$O$512,B368,'PEGAR'!$P$13:$P$512,"SIN LÍNEAS"))</f>
      </c>
      <c r="P368" s="0">
        <f>IF(B368="","",SUMIFS('PEGAR'!$Y$13:$Y$512,'PEGAR'!$O$13:$O$512,B368))</f>
      </c>
      <c r="Q368" s="0">
        <f>IF(B368="","",SUMIFS('PEGAR'!$Z$13:$Z$512,'PEGAR'!$O$13:$O$512,B368))</f>
      </c>
      <c r="R368" s="0" t="n">
        <f>IF(OR(B368="",D368=""),0,SUMPRODUCT(--($B$13:$B$512&lt;&gt;""),--($D$13:$D$512=D368),--($C$13:$C$512=C368))-1)</f>
        <v>0</v>
      </c>
      <c r="S368" s="0" t="n">
        <f>IF(OR(B368="",D368=""),0,SUMPRODUCT(--($B$13:$B$512&lt;&gt;""),--($D$13:$D$512=D368),--($C$13:$C$512&lt;&gt;C368)))</f>
        <v>0</v>
      </c>
      <c r="T368" s="0" t="n">
        <f>IF(OR(B368="",D368=""),0,SUMPRODUCT(--($B$13:$B$512&lt;&gt;""),--($D$13:$D$512=D368),--($E$13:$E$512&lt;&gt;E368)))</f>
        <v>0</v>
      </c>
      <c r="U368" s="0" t="n">
        <f>IF(B368="",0,IF(SUMPRODUCT(--('LÉEME'!$C$65:$C$86=E368))=0,1,0))</f>
        <v>0</v>
      </c>
      <c r="V368" s="0">
        <f>IF(B368="","",SUMIFS('PEGAR'!$AA$13:$AA$512,'PEGAR'!$O$13:$O$512,B368))</f>
      </c>
      <c r="W368" s="0">
        <f>IF(B368="","",IF(OR(L368=0,N368&gt;0,T368&gt;0,IF(ISNUMBER(H368),ROUND(ABS(H368),8)&gt;$F$6,FALSE)),2,IF(OR(M368=0,O368&gt;0,P368&gt;0,Q368&gt;0,R368&gt;0,S368&gt;0,U368&gt;0,V368&gt;0),1,0)))</f>
      </c>
      <c r="X368" s="0">
        <f>IF(B368="","",IF(ISNUMBER(G368),1,0))</f>
      </c>
      <c r="AB368" s="0">
        <f>IF(AND(ISNUMBER(W368),W368&gt;0),"ID "&amp;B368,"")</f>
      </c>
      <c r="AC368" s="0">
        <f>IF(AND(ISNUMBER(W368),W368&gt;0),C368,"")</f>
      </c>
      <c r="AD368" s="0">
        <f>IF(AND(ISNUMBER(W368),W368&gt;0),D368,"")</f>
      </c>
      <c r="AE368" s="0">
        <f>IF(AND(ISNUMBER(W368),W368&gt;0),IF(INDEX('PEGAR'!$D$13:$D$512,IF(L368&gt;0,L368,K368))="","Sin descripción",INDEX('PEGAR'!$D$13:$D$512,IF(L368&gt;0,L368,K368))),"")</f>
      </c>
      <c r="AF368" s="0">
        <f>IF(AND(ISNUMBER(W368),W368&gt;0),J368,"")</f>
      </c>
      <c r="AG368" s="0" t="n">
        <f>IF(AND(ISNUMBER(W368),W368&gt;0),W368,0)</f>
        <v>0</v>
      </c>
      <c r="AH368" s="0">
        <f>IF(AG368&gt;0,COUNTIFS($AG$13:AG368,"&gt;0"),"")</f>
      </c>
    </row>
    <row r="369" ht="22" customHeight="1">
      <c r="B369" s="27">
        <f>IF(K369="","",INDEX('PEGAR'!$O$13:$O$512,K369))</f>
      </c>
      <c r="C369" s="30">
        <f>IF(B369="","",IF(LEN(TRIM(INDEX('PEGAR'!$B$13:$B$512,IF(L369&gt;0,L369,K369))&amp;""))=0,"Sin capítulo",TRIM(INDEX('PEGAR'!$B$13:$B$512,IF(L369&gt;0,L369,K369))&amp;"")))</f>
      </c>
      <c r="D369" s="27">
        <f>IF(B369="","",IF(LEN(TRIM(INDEX('PEGAR'!$C$13:$C$512,IF(L369&gt;0,L369,K369))&amp;""))=0,"",TRIM(INDEX('PEGAR'!$C$13:$C$512,IF(L369&gt;0,L369,K369))&amp;"")))</f>
      </c>
      <c r="E369" s="27">
        <f>IF(B369="","",INDEX('PEGAR'!$S$13:$S$512,IF(L369&gt;0,L369,K369)))</f>
      </c>
      <c r="F369" s="39">
        <f>IF(B369="","",IF(L369&gt;0,INDEX('PEGAR'!$F$13:$F$512,L369),""))</f>
      </c>
      <c r="G369" s="39">
        <f>IF(B369="","",IF(OR(M369=0,N369&gt;0,O369&gt;0),"",SUMIFS('PEGAR'!$M$13:$M$512,'PEGAR'!$O$13:$O$512,B369)))</f>
      </c>
      <c r="H369" s="39">
        <f>IF(AND(ISNUMBER(F369),ISNUMBER(G369)),G369-F369,"")</f>
      </c>
      <c r="I369" s="27">
        <f>IF(B369="","",IF(W369=2,"ROJO",IF(W369=1,"ÁMBAR","VERDE")))</f>
      </c>
      <c r="J369" s="30">
        <f>IF(B369="","",IF(W369=0,"Sin avisos numéricos. Revisamos el alcance aparte.",IF(L369=0,"Faltan datos completos de partida; no elegimos un total por suposición."&amp;CHAR(10),"")&amp;IF(N369&gt;0,"Hay filas incompletas o contradictorias; las revisamos en PEGAR."&amp;CHAR(10),"")&amp;IF(O369&gt;0,"Faltan las medidas de alguna fila; no cerramos la suma."&amp;CHAR(10),"")&amp;IF(M369=0,"No constan líneas de medición."&amp;CHAR(10),"")&amp;IF(IF(ISNUMBER(H369),ROUND(ABS(H369),8)&gt;$F$6,FALSE),"Las líneas difieren del total en más de 0,01; confirmamos cantidad o exclusión."&amp;CHAR(10),"")&amp;IF(P369&gt;0,"Parece m³: encontramos tres dimensiones bajo m²."&amp;CHAR(10),"")&amp;IF(R369&gt;0,"Código repetido dentro del capítulo; mantenemos sus ID separados."&amp;CHAR(10),"")&amp;IF(S369&gt;0,"Código repetido en otro capítulo; no unimos las partidas."&amp;CHAR(10),"")&amp;IF(T369&gt;0,"Mismo código con unidades distintas; pedimos aclaración."&amp;CHAR(10),"")&amp;IF(Q369&gt;0,"Hay más precisión que los decimales indicados; cotejamos el formato original."&amp;CHAR(10),"")&amp;IF(U369&gt;0,"Unidad sin normalizar; cotejamos su significado antes de sumar unidades."&amp;CHAR(10),"")&amp;IF(V369&gt;0,"Revisamos dimensiones, cantidades directas, ceros o deducciones en PEGAR."&amp;CHAR(10),"")))</f>
      </c>
      <c r="K369" s="0">
        <f>IF(357&gt;'RESUMEN'!$E$6,"",MATCH(357,'PEGAR'!$W$13:$W$512,0))</f>
      </c>
      <c r="L369" s="0">
        <f>IF(K369="","",INDEX('PEGAR'!$R$13:$R$512,K369))</f>
      </c>
      <c r="M369" s="0">
        <f>IF(B369="","",COUNTIFS('PEGAR'!$O$13:$O$512,B369,'PEGAR'!$P$13:$P$512,"DIMENSIONES")+COUNTIFS('PEGAR'!$O$13:$O$512,B369,'PEGAR'!$P$13:$P$512,"DIRECTA"))</f>
      </c>
      <c r="N369" s="0">
        <f>IF(B369="","",COUNTIFS('PEGAR'!$O$13:$O$512,B369,'PEGAR'!$X$13:$X$512,2))</f>
      </c>
      <c r="O369" s="0">
        <f>IF(B369="","",COUNTIFS('PEGAR'!$O$13:$O$512,B369,'PEGAR'!$P$13:$P$512,"SIN LÍNEAS"))</f>
      </c>
      <c r="P369" s="0">
        <f>IF(B369="","",SUMIFS('PEGAR'!$Y$13:$Y$512,'PEGAR'!$O$13:$O$512,B369))</f>
      </c>
      <c r="Q369" s="0">
        <f>IF(B369="","",SUMIFS('PEGAR'!$Z$13:$Z$512,'PEGAR'!$O$13:$O$512,B369))</f>
      </c>
      <c r="R369" s="0" t="n">
        <f>IF(OR(B369="",D369=""),0,SUMPRODUCT(--($B$13:$B$512&lt;&gt;""),--($D$13:$D$512=D369),--($C$13:$C$512=C369))-1)</f>
        <v>0</v>
      </c>
      <c r="S369" s="0" t="n">
        <f>IF(OR(B369="",D369=""),0,SUMPRODUCT(--($B$13:$B$512&lt;&gt;""),--($D$13:$D$512=D369),--($C$13:$C$512&lt;&gt;C369)))</f>
        <v>0</v>
      </c>
      <c r="T369" s="0" t="n">
        <f>IF(OR(B369="",D369=""),0,SUMPRODUCT(--($B$13:$B$512&lt;&gt;""),--($D$13:$D$512=D369),--($E$13:$E$512&lt;&gt;E369)))</f>
        <v>0</v>
      </c>
      <c r="U369" s="0" t="n">
        <f>IF(B369="",0,IF(SUMPRODUCT(--('LÉEME'!$C$65:$C$86=E369))=0,1,0))</f>
        <v>0</v>
      </c>
      <c r="V369" s="0">
        <f>IF(B369="","",SUMIFS('PEGAR'!$AA$13:$AA$512,'PEGAR'!$O$13:$O$512,B369))</f>
      </c>
      <c r="W369" s="0">
        <f>IF(B369="","",IF(OR(L369=0,N369&gt;0,T369&gt;0,IF(ISNUMBER(H369),ROUND(ABS(H369),8)&gt;$F$6,FALSE)),2,IF(OR(M369=0,O369&gt;0,P369&gt;0,Q369&gt;0,R369&gt;0,S369&gt;0,U369&gt;0,V369&gt;0),1,0)))</f>
      </c>
      <c r="X369" s="0">
        <f>IF(B369="","",IF(ISNUMBER(G369),1,0))</f>
      </c>
      <c r="AB369" s="0">
        <f>IF(AND(ISNUMBER(W369),W369&gt;0),"ID "&amp;B369,"")</f>
      </c>
      <c r="AC369" s="0">
        <f>IF(AND(ISNUMBER(W369),W369&gt;0),C369,"")</f>
      </c>
      <c r="AD369" s="0">
        <f>IF(AND(ISNUMBER(W369),W369&gt;0),D369,"")</f>
      </c>
      <c r="AE369" s="0">
        <f>IF(AND(ISNUMBER(W369),W369&gt;0),IF(INDEX('PEGAR'!$D$13:$D$512,IF(L369&gt;0,L369,K369))="","Sin descripción",INDEX('PEGAR'!$D$13:$D$512,IF(L369&gt;0,L369,K369))),"")</f>
      </c>
      <c r="AF369" s="0">
        <f>IF(AND(ISNUMBER(W369),W369&gt;0),J369,"")</f>
      </c>
      <c r="AG369" s="0" t="n">
        <f>IF(AND(ISNUMBER(W369),W369&gt;0),W369,0)</f>
        <v>0</v>
      </c>
      <c r="AH369" s="0">
        <f>IF(AG369&gt;0,COUNTIFS($AG$13:AG369,"&gt;0"),"")</f>
      </c>
    </row>
    <row r="370" ht="22" customHeight="1">
      <c r="B370" s="27">
        <f>IF(K370="","",INDEX('PEGAR'!$O$13:$O$512,K370))</f>
      </c>
      <c r="C370" s="30">
        <f>IF(B370="","",IF(LEN(TRIM(INDEX('PEGAR'!$B$13:$B$512,IF(L370&gt;0,L370,K370))&amp;""))=0,"Sin capítulo",TRIM(INDEX('PEGAR'!$B$13:$B$512,IF(L370&gt;0,L370,K370))&amp;"")))</f>
      </c>
      <c r="D370" s="27">
        <f>IF(B370="","",IF(LEN(TRIM(INDEX('PEGAR'!$C$13:$C$512,IF(L370&gt;0,L370,K370))&amp;""))=0,"",TRIM(INDEX('PEGAR'!$C$13:$C$512,IF(L370&gt;0,L370,K370))&amp;"")))</f>
      </c>
      <c r="E370" s="27">
        <f>IF(B370="","",INDEX('PEGAR'!$S$13:$S$512,IF(L370&gt;0,L370,K370)))</f>
      </c>
      <c r="F370" s="39">
        <f>IF(B370="","",IF(L370&gt;0,INDEX('PEGAR'!$F$13:$F$512,L370),""))</f>
      </c>
      <c r="G370" s="39">
        <f>IF(B370="","",IF(OR(M370=0,N370&gt;0,O370&gt;0),"",SUMIFS('PEGAR'!$M$13:$M$512,'PEGAR'!$O$13:$O$512,B370)))</f>
      </c>
      <c r="H370" s="39">
        <f>IF(AND(ISNUMBER(F370),ISNUMBER(G370)),G370-F370,"")</f>
      </c>
      <c r="I370" s="27">
        <f>IF(B370="","",IF(W370=2,"ROJO",IF(W370=1,"ÁMBAR","VERDE")))</f>
      </c>
      <c r="J370" s="30">
        <f>IF(B370="","",IF(W370=0,"Sin avisos numéricos. Revisamos el alcance aparte.",IF(L370=0,"Faltan datos completos de partida; no elegimos un total por suposición."&amp;CHAR(10),"")&amp;IF(N370&gt;0,"Hay filas incompletas o contradictorias; las revisamos en PEGAR."&amp;CHAR(10),"")&amp;IF(O370&gt;0,"Faltan las medidas de alguna fila; no cerramos la suma."&amp;CHAR(10),"")&amp;IF(M370=0,"No constan líneas de medición."&amp;CHAR(10),"")&amp;IF(IF(ISNUMBER(H370),ROUND(ABS(H370),8)&gt;$F$6,FALSE),"Las líneas difieren del total en más de 0,01; confirmamos cantidad o exclusión."&amp;CHAR(10),"")&amp;IF(P370&gt;0,"Parece m³: encontramos tres dimensiones bajo m²."&amp;CHAR(10),"")&amp;IF(R370&gt;0,"Código repetido dentro del capítulo; mantenemos sus ID separados."&amp;CHAR(10),"")&amp;IF(S370&gt;0,"Código repetido en otro capítulo; no unimos las partidas."&amp;CHAR(10),"")&amp;IF(T370&gt;0,"Mismo código con unidades distintas; pedimos aclaración."&amp;CHAR(10),"")&amp;IF(Q370&gt;0,"Hay más precisión que los decimales indicados; cotejamos el formato original."&amp;CHAR(10),"")&amp;IF(U370&gt;0,"Unidad sin normalizar; cotejamos su significado antes de sumar unidades."&amp;CHAR(10),"")&amp;IF(V370&gt;0,"Revisamos dimensiones, cantidades directas, ceros o deducciones en PEGAR."&amp;CHAR(10),"")))</f>
      </c>
      <c r="K370" s="0">
        <f>IF(358&gt;'RESUMEN'!$E$6,"",MATCH(358,'PEGAR'!$W$13:$W$512,0))</f>
      </c>
      <c r="L370" s="0">
        <f>IF(K370="","",INDEX('PEGAR'!$R$13:$R$512,K370))</f>
      </c>
      <c r="M370" s="0">
        <f>IF(B370="","",COUNTIFS('PEGAR'!$O$13:$O$512,B370,'PEGAR'!$P$13:$P$512,"DIMENSIONES")+COUNTIFS('PEGAR'!$O$13:$O$512,B370,'PEGAR'!$P$13:$P$512,"DIRECTA"))</f>
      </c>
      <c r="N370" s="0">
        <f>IF(B370="","",COUNTIFS('PEGAR'!$O$13:$O$512,B370,'PEGAR'!$X$13:$X$512,2))</f>
      </c>
      <c r="O370" s="0">
        <f>IF(B370="","",COUNTIFS('PEGAR'!$O$13:$O$512,B370,'PEGAR'!$P$13:$P$512,"SIN LÍNEAS"))</f>
      </c>
      <c r="P370" s="0">
        <f>IF(B370="","",SUMIFS('PEGAR'!$Y$13:$Y$512,'PEGAR'!$O$13:$O$512,B370))</f>
      </c>
      <c r="Q370" s="0">
        <f>IF(B370="","",SUMIFS('PEGAR'!$Z$13:$Z$512,'PEGAR'!$O$13:$O$512,B370))</f>
      </c>
      <c r="R370" s="0" t="n">
        <f>IF(OR(B370="",D370=""),0,SUMPRODUCT(--($B$13:$B$512&lt;&gt;""),--($D$13:$D$512=D370),--($C$13:$C$512=C370))-1)</f>
        <v>0</v>
      </c>
      <c r="S370" s="0" t="n">
        <f>IF(OR(B370="",D370=""),0,SUMPRODUCT(--($B$13:$B$512&lt;&gt;""),--($D$13:$D$512=D370),--($C$13:$C$512&lt;&gt;C370)))</f>
        <v>0</v>
      </c>
      <c r="T370" s="0" t="n">
        <f>IF(OR(B370="",D370=""),0,SUMPRODUCT(--($B$13:$B$512&lt;&gt;""),--($D$13:$D$512=D370),--($E$13:$E$512&lt;&gt;E370)))</f>
        <v>0</v>
      </c>
      <c r="U370" s="0" t="n">
        <f>IF(B370="",0,IF(SUMPRODUCT(--('LÉEME'!$C$65:$C$86=E370))=0,1,0))</f>
        <v>0</v>
      </c>
      <c r="V370" s="0">
        <f>IF(B370="","",SUMIFS('PEGAR'!$AA$13:$AA$512,'PEGAR'!$O$13:$O$512,B370))</f>
      </c>
      <c r="W370" s="0">
        <f>IF(B370="","",IF(OR(L370=0,N370&gt;0,T370&gt;0,IF(ISNUMBER(H370),ROUND(ABS(H370),8)&gt;$F$6,FALSE)),2,IF(OR(M370=0,O370&gt;0,P370&gt;0,Q370&gt;0,R370&gt;0,S370&gt;0,U370&gt;0,V370&gt;0),1,0)))</f>
      </c>
      <c r="X370" s="0">
        <f>IF(B370="","",IF(ISNUMBER(G370),1,0))</f>
      </c>
      <c r="AB370" s="0">
        <f>IF(AND(ISNUMBER(W370),W370&gt;0),"ID "&amp;B370,"")</f>
      </c>
      <c r="AC370" s="0">
        <f>IF(AND(ISNUMBER(W370),W370&gt;0),C370,"")</f>
      </c>
      <c r="AD370" s="0">
        <f>IF(AND(ISNUMBER(W370),W370&gt;0),D370,"")</f>
      </c>
      <c r="AE370" s="0">
        <f>IF(AND(ISNUMBER(W370),W370&gt;0),IF(INDEX('PEGAR'!$D$13:$D$512,IF(L370&gt;0,L370,K370))="","Sin descripción",INDEX('PEGAR'!$D$13:$D$512,IF(L370&gt;0,L370,K370))),"")</f>
      </c>
      <c r="AF370" s="0">
        <f>IF(AND(ISNUMBER(W370),W370&gt;0),J370,"")</f>
      </c>
      <c r="AG370" s="0" t="n">
        <f>IF(AND(ISNUMBER(W370),W370&gt;0),W370,0)</f>
        <v>0</v>
      </c>
      <c r="AH370" s="0">
        <f>IF(AG370&gt;0,COUNTIFS($AG$13:AG370,"&gt;0"),"")</f>
      </c>
    </row>
    <row r="371" ht="22" customHeight="1">
      <c r="B371" s="27">
        <f>IF(K371="","",INDEX('PEGAR'!$O$13:$O$512,K371))</f>
      </c>
      <c r="C371" s="30">
        <f>IF(B371="","",IF(LEN(TRIM(INDEX('PEGAR'!$B$13:$B$512,IF(L371&gt;0,L371,K371))&amp;""))=0,"Sin capítulo",TRIM(INDEX('PEGAR'!$B$13:$B$512,IF(L371&gt;0,L371,K371))&amp;"")))</f>
      </c>
      <c r="D371" s="27">
        <f>IF(B371="","",IF(LEN(TRIM(INDEX('PEGAR'!$C$13:$C$512,IF(L371&gt;0,L371,K371))&amp;""))=0,"",TRIM(INDEX('PEGAR'!$C$13:$C$512,IF(L371&gt;0,L371,K371))&amp;"")))</f>
      </c>
      <c r="E371" s="27">
        <f>IF(B371="","",INDEX('PEGAR'!$S$13:$S$512,IF(L371&gt;0,L371,K371)))</f>
      </c>
      <c r="F371" s="39">
        <f>IF(B371="","",IF(L371&gt;0,INDEX('PEGAR'!$F$13:$F$512,L371),""))</f>
      </c>
      <c r="G371" s="39">
        <f>IF(B371="","",IF(OR(M371=0,N371&gt;0,O371&gt;0),"",SUMIFS('PEGAR'!$M$13:$M$512,'PEGAR'!$O$13:$O$512,B371)))</f>
      </c>
      <c r="H371" s="39">
        <f>IF(AND(ISNUMBER(F371),ISNUMBER(G371)),G371-F371,"")</f>
      </c>
      <c r="I371" s="27">
        <f>IF(B371="","",IF(W371=2,"ROJO",IF(W371=1,"ÁMBAR","VERDE")))</f>
      </c>
      <c r="J371" s="30">
        <f>IF(B371="","",IF(W371=0,"Sin avisos numéricos. Revisamos el alcance aparte.",IF(L371=0,"Faltan datos completos de partida; no elegimos un total por suposición."&amp;CHAR(10),"")&amp;IF(N371&gt;0,"Hay filas incompletas o contradictorias; las revisamos en PEGAR."&amp;CHAR(10),"")&amp;IF(O371&gt;0,"Faltan las medidas de alguna fila; no cerramos la suma."&amp;CHAR(10),"")&amp;IF(M371=0,"No constan líneas de medición."&amp;CHAR(10),"")&amp;IF(IF(ISNUMBER(H371),ROUND(ABS(H371),8)&gt;$F$6,FALSE),"Las líneas difieren del total en más de 0,01; confirmamos cantidad o exclusión."&amp;CHAR(10),"")&amp;IF(P371&gt;0,"Parece m³: encontramos tres dimensiones bajo m²."&amp;CHAR(10),"")&amp;IF(R371&gt;0,"Código repetido dentro del capítulo; mantenemos sus ID separados."&amp;CHAR(10),"")&amp;IF(S371&gt;0,"Código repetido en otro capítulo; no unimos las partidas."&amp;CHAR(10),"")&amp;IF(T371&gt;0,"Mismo código con unidades distintas; pedimos aclaración."&amp;CHAR(10),"")&amp;IF(Q371&gt;0,"Hay más precisión que los decimales indicados; cotejamos el formato original."&amp;CHAR(10),"")&amp;IF(U371&gt;0,"Unidad sin normalizar; cotejamos su significado antes de sumar unidades."&amp;CHAR(10),"")&amp;IF(V371&gt;0,"Revisamos dimensiones, cantidades directas, ceros o deducciones en PEGAR."&amp;CHAR(10),"")))</f>
      </c>
      <c r="K371" s="0">
        <f>IF(359&gt;'RESUMEN'!$E$6,"",MATCH(359,'PEGAR'!$W$13:$W$512,0))</f>
      </c>
      <c r="L371" s="0">
        <f>IF(K371="","",INDEX('PEGAR'!$R$13:$R$512,K371))</f>
      </c>
      <c r="M371" s="0">
        <f>IF(B371="","",COUNTIFS('PEGAR'!$O$13:$O$512,B371,'PEGAR'!$P$13:$P$512,"DIMENSIONES")+COUNTIFS('PEGAR'!$O$13:$O$512,B371,'PEGAR'!$P$13:$P$512,"DIRECTA"))</f>
      </c>
      <c r="N371" s="0">
        <f>IF(B371="","",COUNTIFS('PEGAR'!$O$13:$O$512,B371,'PEGAR'!$X$13:$X$512,2))</f>
      </c>
      <c r="O371" s="0">
        <f>IF(B371="","",COUNTIFS('PEGAR'!$O$13:$O$512,B371,'PEGAR'!$P$13:$P$512,"SIN LÍNEAS"))</f>
      </c>
      <c r="P371" s="0">
        <f>IF(B371="","",SUMIFS('PEGAR'!$Y$13:$Y$512,'PEGAR'!$O$13:$O$512,B371))</f>
      </c>
      <c r="Q371" s="0">
        <f>IF(B371="","",SUMIFS('PEGAR'!$Z$13:$Z$512,'PEGAR'!$O$13:$O$512,B371))</f>
      </c>
      <c r="R371" s="0" t="n">
        <f>IF(OR(B371="",D371=""),0,SUMPRODUCT(--($B$13:$B$512&lt;&gt;""),--($D$13:$D$512=D371),--($C$13:$C$512=C371))-1)</f>
        <v>0</v>
      </c>
      <c r="S371" s="0" t="n">
        <f>IF(OR(B371="",D371=""),0,SUMPRODUCT(--($B$13:$B$512&lt;&gt;""),--($D$13:$D$512=D371),--($C$13:$C$512&lt;&gt;C371)))</f>
        <v>0</v>
      </c>
      <c r="T371" s="0" t="n">
        <f>IF(OR(B371="",D371=""),0,SUMPRODUCT(--($B$13:$B$512&lt;&gt;""),--($D$13:$D$512=D371),--($E$13:$E$512&lt;&gt;E371)))</f>
        <v>0</v>
      </c>
      <c r="U371" s="0" t="n">
        <f>IF(B371="",0,IF(SUMPRODUCT(--('LÉEME'!$C$65:$C$86=E371))=0,1,0))</f>
        <v>0</v>
      </c>
      <c r="V371" s="0">
        <f>IF(B371="","",SUMIFS('PEGAR'!$AA$13:$AA$512,'PEGAR'!$O$13:$O$512,B371))</f>
      </c>
      <c r="W371" s="0">
        <f>IF(B371="","",IF(OR(L371=0,N371&gt;0,T371&gt;0,IF(ISNUMBER(H371),ROUND(ABS(H371),8)&gt;$F$6,FALSE)),2,IF(OR(M371=0,O371&gt;0,P371&gt;0,Q371&gt;0,R371&gt;0,S371&gt;0,U371&gt;0,V371&gt;0),1,0)))</f>
      </c>
      <c r="X371" s="0">
        <f>IF(B371="","",IF(ISNUMBER(G371),1,0))</f>
      </c>
      <c r="AB371" s="0">
        <f>IF(AND(ISNUMBER(W371),W371&gt;0),"ID "&amp;B371,"")</f>
      </c>
      <c r="AC371" s="0">
        <f>IF(AND(ISNUMBER(W371),W371&gt;0),C371,"")</f>
      </c>
      <c r="AD371" s="0">
        <f>IF(AND(ISNUMBER(W371),W371&gt;0),D371,"")</f>
      </c>
      <c r="AE371" s="0">
        <f>IF(AND(ISNUMBER(W371),W371&gt;0),IF(INDEX('PEGAR'!$D$13:$D$512,IF(L371&gt;0,L371,K371))="","Sin descripción",INDEX('PEGAR'!$D$13:$D$512,IF(L371&gt;0,L371,K371))),"")</f>
      </c>
      <c r="AF371" s="0">
        <f>IF(AND(ISNUMBER(W371),W371&gt;0),J371,"")</f>
      </c>
      <c r="AG371" s="0" t="n">
        <f>IF(AND(ISNUMBER(W371),W371&gt;0),W371,0)</f>
        <v>0</v>
      </c>
      <c r="AH371" s="0">
        <f>IF(AG371&gt;0,COUNTIFS($AG$13:AG371,"&gt;0"),"")</f>
      </c>
    </row>
    <row r="372" ht="22" customHeight="1">
      <c r="B372" s="27">
        <f>IF(K372="","",INDEX('PEGAR'!$O$13:$O$512,K372))</f>
      </c>
      <c r="C372" s="30">
        <f>IF(B372="","",IF(LEN(TRIM(INDEX('PEGAR'!$B$13:$B$512,IF(L372&gt;0,L372,K372))&amp;""))=0,"Sin capítulo",TRIM(INDEX('PEGAR'!$B$13:$B$512,IF(L372&gt;0,L372,K372))&amp;"")))</f>
      </c>
      <c r="D372" s="27">
        <f>IF(B372="","",IF(LEN(TRIM(INDEX('PEGAR'!$C$13:$C$512,IF(L372&gt;0,L372,K372))&amp;""))=0,"",TRIM(INDEX('PEGAR'!$C$13:$C$512,IF(L372&gt;0,L372,K372))&amp;"")))</f>
      </c>
      <c r="E372" s="27">
        <f>IF(B372="","",INDEX('PEGAR'!$S$13:$S$512,IF(L372&gt;0,L372,K372)))</f>
      </c>
      <c r="F372" s="39">
        <f>IF(B372="","",IF(L372&gt;0,INDEX('PEGAR'!$F$13:$F$512,L372),""))</f>
      </c>
      <c r="G372" s="39">
        <f>IF(B372="","",IF(OR(M372=0,N372&gt;0,O372&gt;0),"",SUMIFS('PEGAR'!$M$13:$M$512,'PEGAR'!$O$13:$O$512,B372)))</f>
      </c>
      <c r="H372" s="39">
        <f>IF(AND(ISNUMBER(F372),ISNUMBER(G372)),G372-F372,"")</f>
      </c>
      <c r="I372" s="27">
        <f>IF(B372="","",IF(W372=2,"ROJO",IF(W372=1,"ÁMBAR","VERDE")))</f>
      </c>
      <c r="J372" s="30">
        <f>IF(B372="","",IF(W372=0,"Sin avisos numéricos. Revisamos el alcance aparte.",IF(L372=0,"Faltan datos completos de partida; no elegimos un total por suposición."&amp;CHAR(10),"")&amp;IF(N372&gt;0,"Hay filas incompletas o contradictorias; las revisamos en PEGAR."&amp;CHAR(10),"")&amp;IF(O372&gt;0,"Faltan las medidas de alguna fila; no cerramos la suma."&amp;CHAR(10),"")&amp;IF(M372=0,"No constan líneas de medición."&amp;CHAR(10),"")&amp;IF(IF(ISNUMBER(H372),ROUND(ABS(H372),8)&gt;$F$6,FALSE),"Las líneas difieren del total en más de 0,01; confirmamos cantidad o exclusión."&amp;CHAR(10),"")&amp;IF(P372&gt;0,"Parece m³: encontramos tres dimensiones bajo m²."&amp;CHAR(10),"")&amp;IF(R372&gt;0,"Código repetido dentro del capítulo; mantenemos sus ID separados."&amp;CHAR(10),"")&amp;IF(S372&gt;0,"Código repetido en otro capítulo; no unimos las partidas."&amp;CHAR(10),"")&amp;IF(T372&gt;0,"Mismo código con unidades distintas; pedimos aclaración."&amp;CHAR(10),"")&amp;IF(Q372&gt;0,"Hay más precisión que los decimales indicados; cotejamos el formato original."&amp;CHAR(10),"")&amp;IF(U372&gt;0,"Unidad sin normalizar; cotejamos su significado antes de sumar unidades."&amp;CHAR(10),"")&amp;IF(V372&gt;0,"Revisamos dimensiones, cantidades directas, ceros o deducciones en PEGAR."&amp;CHAR(10),"")))</f>
      </c>
      <c r="K372" s="0">
        <f>IF(360&gt;'RESUMEN'!$E$6,"",MATCH(360,'PEGAR'!$W$13:$W$512,0))</f>
      </c>
      <c r="L372" s="0">
        <f>IF(K372="","",INDEX('PEGAR'!$R$13:$R$512,K372))</f>
      </c>
      <c r="M372" s="0">
        <f>IF(B372="","",COUNTIFS('PEGAR'!$O$13:$O$512,B372,'PEGAR'!$P$13:$P$512,"DIMENSIONES")+COUNTIFS('PEGAR'!$O$13:$O$512,B372,'PEGAR'!$P$13:$P$512,"DIRECTA"))</f>
      </c>
      <c r="N372" s="0">
        <f>IF(B372="","",COUNTIFS('PEGAR'!$O$13:$O$512,B372,'PEGAR'!$X$13:$X$512,2))</f>
      </c>
      <c r="O372" s="0">
        <f>IF(B372="","",COUNTIFS('PEGAR'!$O$13:$O$512,B372,'PEGAR'!$P$13:$P$512,"SIN LÍNEAS"))</f>
      </c>
      <c r="P372" s="0">
        <f>IF(B372="","",SUMIFS('PEGAR'!$Y$13:$Y$512,'PEGAR'!$O$13:$O$512,B372))</f>
      </c>
      <c r="Q372" s="0">
        <f>IF(B372="","",SUMIFS('PEGAR'!$Z$13:$Z$512,'PEGAR'!$O$13:$O$512,B372))</f>
      </c>
      <c r="R372" s="0" t="n">
        <f>IF(OR(B372="",D372=""),0,SUMPRODUCT(--($B$13:$B$512&lt;&gt;""),--($D$13:$D$512=D372),--($C$13:$C$512=C372))-1)</f>
        <v>0</v>
      </c>
      <c r="S372" s="0" t="n">
        <f>IF(OR(B372="",D372=""),0,SUMPRODUCT(--($B$13:$B$512&lt;&gt;""),--($D$13:$D$512=D372),--($C$13:$C$512&lt;&gt;C372)))</f>
        <v>0</v>
      </c>
      <c r="T372" s="0" t="n">
        <f>IF(OR(B372="",D372=""),0,SUMPRODUCT(--($B$13:$B$512&lt;&gt;""),--($D$13:$D$512=D372),--($E$13:$E$512&lt;&gt;E372)))</f>
        <v>0</v>
      </c>
      <c r="U372" s="0" t="n">
        <f>IF(B372="",0,IF(SUMPRODUCT(--('LÉEME'!$C$65:$C$86=E372))=0,1,0))</f>
        <v>0</v>
      </c>
      <c r="V372" s="0">
        <f>IF(B372="","",SUMIFS('PEGAR'!$AA$13:$AA$512,'PEGAR'!$O$13:$O$512,B372))</f>
      </c>
      <c r="W372" s="0">
        <f>IF(B372="","",IF(OR(L372=0,N372&gt;0,T372&gt;0,IF(ISNUMBER(H372),ROUND(ABS(H372),8)&gt;$F$6,FALSE)),2,IF(OR(M372=0,O372&gt;0,P372&gt;0,Q372&gt;0,R372&gt;0,S372&gt;0,U372&gt;0,V372&gt;0),1,0)))</f>
      </c>
      <c r="X372" s="0">
        <f>IF(B372="","",IF(ISNUMBER(G372),1,0))</f>
      </c>
      <c r="AB372" s="0">
        <f>IF(AND(ISNUMBER(W372),W372&gt;0),"ID "&amp;B372,"")</f>
      </c>
      <c r="AC372" s="0">
        <f>IF(AND(ISNUMBER(W372),W372&gt;0),C372,"")</f>
      </c>
      <c r="AD372" s="0">
        <f>IF(AND(ISNUMBER(W372),W372&gt;0),D372,"")</f>
      </c>
      <c r="AE372" s="0">
        <f>IF(AND(ISNUMBER(W372),W372&gt;0),IF(INDEX('PEGAR'!$D$13:$D$512,IF(L372&gt;0,L372,K372))="","Sin descripción",INDEX('PEGAR'!$D$13:$D$512,IF(L372&gt;0,L372,K372))),"")</f>
      </c>
      <c r="AF372" s="0">
        <f>IF(AND(ISNUMBER(W372),W372&gt;0),J372,"")</f>
      </c>
      <c r="AG372" s="0" t="n">
        <f>IF(AND(ISNUMBER(W372),W372&gt;0),W372,0)</f>
        <v>0</v>
      </c>
      <c r="AH372" s="0">
        <f>IF(AG372&gt;0,COUNTIFS($AG$13:AG372,"&gt;0"),"")</f>
      </c>
    </row>
    <row r="373" ht="22" customHeight="1">
      <c r="B373" s="27">
        <f>IF(K373="","",INDEX('PEGAR'!$O$13:$O$512,K373))</f>
      </c>
      <c r="C373" s="30">
        <f>IF(B373="","",IF(LEN(TRIM(INDEX('PEGAR'!$B$13:$B$512,IF(L373&gt;0,L373,K373))&amp;""))=0,"Sin capítulo",TRIM(INDEX('PEGAR'!$B$13:$B$512,IF(L373&gt;0,L373,K373))&amp;"")))</f>
      </c>
      <c r="D373" s="27">
        <f>IF(B373="","",IF(LEN(TRIM(INDEX('PEGAR'!$C$13:$C$512,IF(L373&gt;0,L373,K373))&amp;""))=0,"",TRIM(INDEX('PEGAR'!$C$13:$C$512,IF(L373&gt;0,L373,K373))&amp;"")))</f>
      </c>
      <c r="E373" s="27">
        <f>IF(B373="","",INDEX('PEGAR'!$S$13:$S$512,IF(L373&gt;0,L373,K373)))</f>
      </c>
      <c r="F373" s="39">
        <f>IF(B373="","",IF(L373&gt;0,INDEX('PEGAR'!$F$13:$F$512,L373),""))</f>
      </c>
      <c r="G373" s="39">
        <f>IF(B373="","",IF(OR(M373=0,N373&gt;0,O373&gt;0),"",SUMIFS('PEGAR'!$M$13:$M$512,'PEGAR'!$O$13:$O$512,B373)))</f>
      </c>
      <c r="H373" s="39">
        <f>IF(AND(ISNUMBER(F373),ISNUMBER(G373)),G373-F373,"")</f>
      </c>
      <c r="I373" s="27">
        <f>IF(B373="","",IF(W373=2,"ROJO",IF(W373=1,"ÁMBAR","VERDE")))</f>
      </c>
      <c r="J373" s="30">
        <f>IF(B373="","",IF(W373=0,"Sin avisos numéricos. Revisamos el alcance aparte.",IF(L373=0,"Faltan datos completos de partida; no elegimos un total por suposición."&amp;CHAR(10),"")&amp;IF(N373&gt;0,"Hay filas incompletas o contradictorias; las revisamos en PEGAR."&amp;CHAR(10),"")&amp;IF(O373&gt;0,"Faltan las medidas de alguna fila; no cerramos la suma."&amp;CHAR(10),"")&amp;IF(M373=0,"No constan líneas de medición."&amp;CHAR(10),"")&amp;IF(IF(ISNUMBER(H373),ROUND(ABS(H373),8)&gt;$F$6,FALSE),"Las líneas difieren del total en más de 0,01; confirmamos cantidad o exclusión."&amp;CHAR(10),"")&amp;IF(P373&gt;0,"Parece m³: encontramos tres dimensiones bajo m²."&amp;CHAR(10),"")&amp;IF(R373&gt;0,"Código repetido dentro del capítulo; mantenemos sus ID separados."&amp;CHAR(10),"")&amp;IF(S373&gt;0,"Código repetido en otro capítulo; no unimos las partidas."&amp;CHAR(10),"")&amp;IF(T373&gt;0,"Mismo código con unidades distintas; pedimos aclaración."&amp;CHAR(10),"")&amp;IF(Q373&gt;0,"Hay más precisión que los decimales indicados; cotejamos el formato original."&amp;CHAR(10),"")&amp;IF(U373&gt;0,"Unidad sin normalizar; cotejamos su significado antes de sumar unidades."&amp;CHAR(10),"")&amp;IF(V373&gt;0,"Revisamos dimensiones, cantidades directas, ceros o deducciones en PEGAR."&amp;CHAR(10),"")))</f>
      </c>
      <c r="K373" s="0">
        <f>IF(361&gt;'RESUMEN'!$E$6,"",MATCH(361,'PEGAR'!$W$13:$W$512,0))</f>
      </c>
      <c r="L373" s="0">
        <f>IF(K373="","",INDEX('PEGAR'!$R$13:$R$512,K373))</f>
      </c>
      <c r="M373" s="0">
        <f>IF(B373="","",COUNTIFS('PEGAR'!$O$13:$O$512,B373,'PEGAR'!$P$13:$P$512,"DIMENSIONES")+COUNTIFS('PEGAR'!$O$13:$O$512,B373,'PEGAR'!$P$13:$P$512,"DIRECTA"))</f>
      </c>
      <c r="N373" s="0">
        <f>IF(B373="","",COUNTIFS('PEGAR'!$O$13:$O$512,B373,'PEGAR'!$X$13:$X$512,2))</f>
      </c>
      <c r="O373" s="0">
        <f>IF(B373="","",COUNTIFS('PEGAR'!$O$13:$O$512,B373,'PEGAR'!$P$13:$P$512,"SIN LÍNEAS"))</f>
      </c>
      <c r="P373" s="0">
        <f>IF(B373="","",SUMIFS('PEGAR'!$Y$13:$Y$512,'PEGAR'!$O$13:$O$512,B373))</f>
      </c>
      <c r="Q373" s="0">
        <f>IF(B373="","",SUMIFS('PEGAR'!$Z$13:$Z$512,'PEGAR'!$O$13:$O$512,B373))</f>
      </c>
      <c r="R373" s="0" t="n">
        <f>IF(OR(B373="",D373=""),0,SUMPRODUCT(--($B$13:$B$512&lt;&gt;""),--($D$13:$D$512=D373),--($C$13:$C$512=C373))-1)</f>
        <v>0</v>
      </c>
      <c r="S373" s="0" t="n">
        <f>IF(OR(B373="",D373=""),0,SUMPRODUCT(--($B$13:$B$512&lt;&gt;""),--($D$13:$D$512=D373),--($C$13:$C$512&lt;&gt;C373)))</f>
        <v>0</v>
      </c>
      <c r="T373" s="0" t="n">
        <f>IF(OR(B373="",D373=""),0,SUMPRODUCT(--($B$13:$B$512&lt;&gt;""),--($D$13:$D$512=D373),--($E$13:$E$512&lt;&gt;E373)))</f>
        <v>0</v>
      </c>
      <c r="U373" s="0" t="n">
        <f>IF(B373="",0,IF(SUMPRODUCT(--('LÉEME'!$C$65:$C$86=E373))=0,1,0))</f>
        <v>0</v>
      </c>
      <c r="V373" s="0">
        <f>IF(B373="","",SUMIFS('PEGAR'!$AA$13:$AA$512,'PEGAR'!$O$13:$O$512,B373))</f>
      </c>
      <c r="W373" s="0">
        <f>IF(B373="","",IF(OR(L373=0,N373&gt;0,T373&gt;0,IF(ISNUMBER(H373),ROUND(ABS(H373),8)&gt;$F$6,FALSE)),2,IF(OR(M373=0,O373&gt;0,P373&gt;0,Q373&gt;0,R373&gt;0,S373&gt;0,U373&gt;0,V373&gt;0),1,0)))</f>
      </c>
      <c r="X373" s="0">
        <f>IF(B373="","",IF(ISNUMBER(G373),1,0))</f>
      </c>
      <c r="AB373" s="0">
        <f>IF(AND(ISNUMBER(W373),W373&gt;0),"ID "&amp;B373,"")</f>
      </c>
      <c r="AC373" s="0">
        <f>IF(AND(ISNUMBER(W373),W373&gt;0),C373,"")</f>
      </c>
      <c r="AD373" s="0">
        <f>IF(AND(ISNUMBER(W373),W373&gt;0),D373,"")</f>
      </c>
      <c r="AE373" s="0">
        <f>IF(AND(ISNUMBER(W373),W373&gt;0),IF(INDEX('PEGAR'!$D$13:$D$512,IF(L373&gt;0,L373,K373))="","Sin descripción",INDEX('PEGAR'!$D$13:$D$512,IF(L373&gt;0,L373,K373))),"")</f>
      </c>
      <c r="AF373" s="0">
        <f>IF(AND(ISNUMBER(W373),W373&gt;0),J373,"")</f>
      </c>
      <c r="AG373" s="0" t="n">
        <f>IF(AND(ISNUMBER(W373),W373&gt;0),W373,0)</f>
        <v>0</v>
      </c>
      <c r="AH373" s="0">
        <f>IF(AG373&gt;0,COUNTIFS($AG$13:AG373,"&gt;0"),"")</f>
      </c>
    </row>
    <row r="374" ht="22" customHeight="1">
      <c r="B374" s="27">
        <f>IF(K374="","",INDEX('PEGAR'!$O$13:$O$512,K374))</f>
      </c>
      <c r="C374" s="30">
        <f>IF(B374="","",IF(LEN(TRIM(INDEX('PEGAR'!$B$13:$B$512,IF(L374&gt;0,L374,K374))&amp;""))=0,"Sin capítulo",TRIM(INDEX('PEGAR'!$B$13:$B$512,IF(L374&gt;0,L374,K374))&amp;"")))</f>
      </c>
      <c r="D374" s="27">
        <f>IF(B374="","",IF(LEN(TRIM(INDEX('PEGAR'!$C$13:$C$512,IF(L374&gt;0,L374,K374))&amp;""))=0,"",TRIM(INDEX('PEGAR'!$C$13:$C$512,IF(L374&gt;0,L374,K374))&amp;"")))</f>
      </c>
      <c r="E374" s="27">
        <f>IF(B374="","",INDEX('PEGAR'!$S$13:$S$512,IF(L374&gt;0,L374,K374)))</f>
      </c>
      <c r="F374" s="39">
        <f>IF(B374="","",IF(L374&gt;0,INDEX('PEGAR'!$F$13:$F$512,L374),""))</f>
      </c>
      <c r="G374" s="39">
        <f>IF(B374="","",IF(OR(M374=0,N374&gt;0,O374&gt;0),"",SUMIFS('PEGAR'!$M$13:$M$512,'PEGAR'!$O$13:$O$512,B374)))</f>
      </c>
      <c r="H374" s="39">
        <f>IF(AND(ISNUMBER(F374),ISNUMBER(G374)),G374-F374,"")</f>
      </c>
      <c r="I374" s="27">
        <f>IF(B374="","",IF(W374=2,"ROJO",IF(W374=1,"ÁMBAR","VERDE")))</f>
      </c>
      <c r="J374" s="30">
        <f>IF(B374="","",IF(W374=0,"Sin avisos numéricos. Revisamos el alcance aparte.",IF(L374=0,"Faltan datos completos de partida; no elegimos un total por suposición."&amp;CHAR(10),"")&amp;IF(N374&gt;0,"Hay filas incompletas o contradictorias; las revisamos en PEGAR."&amp;CHAR(10),"")&amp;IF(O374&gt;0,"Faltan las medidas de alguna fila; no cerramos la suma."&amp;CHAR(10),"")&amp;IF(M374=0,"No constan líneas de medición."&amp;CHAR(10),"")&amp;IF(IF(ISNUMBER(H374),ROUND(ABS(H374),8)&gt;$F$6,FALSE),"Las líneas difieren del total en más de 0,01; confirmamos cantidad o exclusión."&amp;CHAR(10),"")&amp;IF(P374&gt;0,"Parece m³: encontramos tres dimensiones bajo m²."&amp;CHAR(10),"")&amp;IF(R374&gt;0,"Código repetido dentro del capítulo; mantenemos sus ID separados."&amp;CHAR(10),"")&amp;IF(S374&gt;0,"Código repetido en otro capítulo; no unimos las partidas."&amp;CHAR(10),"")&amp;IF(T374&gt;0,"Mismo código con unidades distintas; pedimos aclaración."&amp;CHAR(10),"")&amp;IF(Q374&gt;0,"Hay más precisión que los decimales indicados; cotejamos el formato original."&amp;CHAR(10),"")&amp;IF(U374&gt;0,"Unidad sin normalizar; cotejamos su significado antes de sumar unidades."&amp;CHAR(10),"")&amp;IF(V374&gt;0,"Revisamos dimensiones, cantidades directas, ceros o deducciones en PEGAR."&amp;CHAR(10),"")))</f>
      </c>
      <c r="K374" s="0">
        <f>IF(362&gt;'RESUMEN'!$E$6,"",MATCH(362,'PEGAR'!$W$13:$W$512,0))</f>
      </c>
      <c r="L374" s="0">
        <f>IF(K374="","",INDEX('PEGAR'!$R$13:$R$512,K374))</f>
      </c>
      <c r="M374" s="0">
        <f>IF(B374="","",COUNTIFS('PEGAR'!$O$13:$O$512,B374,'PEGAR'!$P$13:$P$512,"DIMENSIONES")+COUNTIFS('PEGAR'!$O$13:$O$512,B374,'PEGAR'!$P$13:$P$512,"DIRECTA"))</f>
      </c>
      <c r="N374" s="0">
        <f>IF(B374="","",COUNTIFS('PEGAR'!$O$13:$O$512,B374,'PEGAR'!$X$13:$X$512,2))</f>
      </c>
      <c r="O374" s="0">
        <f>IF(B374="","",COUNTIFS('PEGAR'!$O$13:$O$512,B374,'PEGAR'!$P$13:$P$512,"SIN LÍNEAS"))</f>
      </c>
      <c r="P374" s="0">
        <f>IF(B374="","",SUMIFS('PEGAR'!$Y$13:$Y$512,'PEGAR'!$O$13:$O$512,B374))</f>
      </c>
      <c r="Q374" s="0">
        <f>IF(B374="","",SUMIFS('PEGAR'!$Z$13:$Z$512,'PEGAR'!$O$13:$O$512,B374))</f>
      </c>
      <c r="R374" s="0" t="n">
        <f>IF(OR(B374="",D374=""),0,SUMPRODUCT(--($B$13:$B$512&lt;&gt;""),--($D$13:$D$512=D374),--($C$13:$C$512=C374))-1)</f>
        <v>0</v>
      </c>
      <c r="S374" s="0" t="n">
        <f>IF(OR(B374="",D374=""),0,SUMPRODUCT(--($B$13:$B$512&lt;&gt;""),--($D$13:$D$512=D374),--($C$13:$C$512&lt;&gt;C374)))</f>
        <v>0</v>
      </c>
      <c r="T374" s="0" t="n">
        <f>IF(OR(B374="",D374=""),0,SUMPRODUCT(--($B$13:$B$512&lt;&gt;""),--($D$13:$D$512=D374),--($E$13:$E$512&lt;&gt;E374)))</f>
        <v>0</v>
      </c>
      <c r="U374" s="0" t="n">
        <f>IF(B374="",0,IF(SUMPRODUCT(--('LÉEME'!$C$65:$C$86=E374))=0,1,0))</f>
        <v>0</v>
      </c>
      <c r="V374" s="0">
        <f>IF(B374="","",SUMIFS('PEGAR'!$AA$13:$AA$512,'PEGAR'!$O$13:$O$512,B374))</f>
      </c>
      <c r="W374" s="0">
        <f>IF(B374="","",IF(OR(L374=0,N374&gt;0,T374&gt;0,IF(ISNUMBER(H374),ROUND(ABS(H374),8)&gt;$F$6,FALSE)),2,IF(OR(M374=0,O374&gt;0,P374&gt;0,Q374&gt;0,R374&gt;0,S374&gt;0,U374&gt;0,V374&gt;0),1,0)))</f>
      </c>
      <c r="X374" s="0">
        <f>IF(B374="","",IF(ISNUMBER(G374),1,0))</f>
      </c>
      <c r="AB374" s="0">
        <f>IF(AND(ISNUMBER(W374),W374&gt;0),"ID "&amp;B374,"")</f>
      </c>
      <c r="AC374" s="0">
        <f>IF(AND(ISNUMBER(W374),W374&gt;0),C374,"")</f>
      </c>
      <c r="AD374" s="0">
        <f>IF(AND(ISNUMBER(W374),W374&gt;0),D374,"")</f>
      </c>
      <c r="AE374" s="0">
        <f>IF(AND(ISNUMBER(W374),W374&gt;0),IF(INDEX('PEGAR'!$D$13:$D$512,IF(L374&gt;0,L374,K374))="","Sin descripción",INDEX('PEGAR'!$D$13:$D$512,IF(L374&gt;0,L374,K374))),"")</f>
      </c>
      <c r="AF374" s="0">
        <f>IF(AND(ISNUMBER(W374),W374&gt;0),J374,"")</f>
      </c>
      <c r="AG374" s="0" t="n">
        <f>IF(AND(ISNUMBER(W374),W374&gt;0),W374,0)</f>
        <v>0</v>
      </c>
      <c r="AH374" s="0">
        <f>IF(AG374&gt;0,COUNTIFS($AG$13:AG374,"&gt;0"),"")</f>
      </c>
    </row>
    <row r="375" ht="22" customHeight="1">
      <c r="B375" s="27">
        <f>IF(K375="","",INDEX('PEGAR'!$O$13:$O$512,K375))</f>
      </c>
      <c r="C375" s="30">
        <f>IF(B375="","",IF(LEN(TRIM(INDEX('PEGAR'!$B$13:$B$512,IF(L375&gt;0,L375,K375))&amp;""))=0,"Sin capítulo",TRIM(INDEX('PEGAR'!$B$13:$B$512,IF(L375&gt;0,L375,K375))&amp;"")))</f>
      </c>
      <c r="D375" s="27">
        <f>IF(B375="","",IF(LEN(TRIM(INDEX('PEGAR'!$C$13:$C$512,IF(L375&gt;0,L375,K375))&amp;""))=0,"",TRIM(INDEX('PEGAR'!$C$13:$C$512,IF(L375&gt;0,L375,K375))&amp;"")))</f>
      </c>
      <c r="E375" s="27">
        <f>IF(B375="","",INDEX('PEGAR'!$S$13:$S$512,IF(L375&gt;0,L375,K375)))</f>
      </c>
      <c r="F375" s="39">
        <f>IF(B375="","",IF(L375&gt;0,INDEX('PEGAR'!$F$13:$F$512,L375),""))</f>
      </c>
      <c r="G375" s="39">
        <f>IF(B375="","",IF(OR(M375=0,N375&gt;0,O375&gt;0),"",SUMIFS('PEGAR'!$M$13:$M$512,'PEGAR'!$O$13:$O$512,B375)))</f>
      </c>
      <c r="H375" s="39">
        <f>IF(AND(ISNUMBER(F375),ISNUMBER(G375)),G375-F375,"")</f>
      </c>
      <c r="I375" s="27">
        <f>IF(B375="","",IF(W375=2,"ROJO",IF(W375=1,"ÁMBAR","VERDE")))</f>
      </c>
      <c r="J375" s="30">
        <f>IF(B375="","",IF(W375=0,"Sin avisos numéricos. Revisamos el alcance aparte.",IF(L375=0,"Faltan datos completos de partida; no elegimos un total por suposición."&amp;CHAR(10),"")&amp;IF(N375&gt;0,"Hay filas incompletas o contradictorias; las revisamos en PEGAR."&amp;CHAR(10),"")&amp;IF(O375&gt;0,"Faltan las medidas de alguna fila; no cerramos la suma."&amp;CHAR(10),"")&amp;IF(M375=0,"No constan líneas de medición."&amp;CHAR(10),"")&amp;IF(IF(ISNUMBER(H375),ROUND(ABS(H375),8)&gt;$F$6,FALSE),"Las líneas difieren del total en más de 0,01; confirmamos cantidad o exclusión."&amp;CHAR(10),"")&amp;IF(P375&gt;0,"Parece m³: encontramos tres dimensiones bajo m²."&amp;CHAR(10),"")&amp;IF(R375&gt;0,"Código repetido dentro del capítulo; mantenemos sus ID separados."&amp;CHAR(10),"")&amp;IF(S375&gt;0,"Código repetido en otro capítulo; no unimos las partidas."&amp;CHAR(10),"")&amp;IF(T375&gt;0,"Mismo código con unidades distintas; pedimos aclaración."&amp;CHAR(10),"")&amp;IF(Q375&gt;0,"Hay más precisión que los decimales indicados; cotejamos el formato original."&amp;CHAR(10),"")&amp;IF(U375&gt;0,"Unidad sin normalizar; cotejamos su significado antes de sumar unidades."&amp;CHAR(10),"")&amp;IF(V375&gt;0,"Revisamos dimensiones, cantidades directas, ceros o deducciones en PEGAR."&amp;CHAR(10),"")))</f>
      </c>
      <c r="K375" s="0">
        <f>IF(363&gt;'RESUMEN'!$E$6,"",MATCH(363,'PEGAR'!$W$13:$W$512,0))</f>
      </c>
      <c r="L375" s="0">
        <f>IF(K375="","",INDEX('PEGAR'!$R$13:$R$512,K375))</f>
      </c>
      <c r="M375" s="0">
        <f>IF(B375="","",COUNTIFS('PEGAR'!$O$13:$O$512,B375,'PEGAR'!$P$13:$P$512,"DIMENSIONES")+COUNTIFS('PEGAR'!$O$13:$O$512,B375,'PEGAR'!$P$13:$P$512,"DIRECTA"))</f>
      </c>
      <c r="N375" s="0">
        <f>IF(B375="","",COUNTIFS('PEGAR'!$O$13:$O$512,B375,'PEGAR'!$X$13:$X$512,2))</f>
      </c>
      <c r="O375" s="0">
        <f>IF(B375="","",COUNTIFS('PEGAR'!$O$13:$O$512,B375,'PEGAR'!$P$13:$P$512,"SIN LÍNEAS"))</f>
      </c>
      <c r="P375" s="0">
        <f>IF(B375="","",SUMIFS('PEGAR'!$Y$13:$Y$512,'PEGAR'!$O$13:$O$512,B375))</f>
      </c>
      <c r="Q375" s="0">
        <f>IF(B375="","",SUMIFS('PEGAR'!$Z$13:$Z$512,'PEGAR'!$O$13:$O$512,B375))</f>
      </c>
      <c r="R375" s="0" t="n">
        <f>IF(OR(B375="",D375=""),0,SUMPRODUCT(--($B$13:$B$512&lt;&gt;""),--($D$13:$D$512=D375),--($C$13:$C$512=C375))-1)</f>
        <v>0</v>
      </c>
      <c r="S375" s="0" t="n">
        <f>IF(OR(B375="",D375=""),0,SUMPRODUCT(--($B$13:$B$512&lt;&gt;""),--($D$13:$D$512=D375),--($C$13:$C$512&lt;&gt;C375)))</f>
        <v>0</v>
      </c>
      <c r="T375" s="0" t="n">
        <f>IF(OR(B375="",D375=""),0,SUMPRODUCT(--($B$13:$B$512&lt;&gt;""),--($D$13:$D$512=D375),--($E$13:$E$512&lt;&gt;E375)))</f>
        <v>0</v>
      </c>
      <c r="U375" s="0" t="n">
        <f>IF(B375="",0,IF(SUMPRODUCT(--('LÉEME'!$C$65:$C$86=E375))=0,1,0))</f>
        <v>0</v>
      </c>
      <c r="V375" s="0">
        <f>IF(B375="","",SUMIFS('PEGAR'!$AA$13:$AA$512,'PEGAR'!$O$13:$O$512,B375))</f>
      </c>
      <c r="W375" s="0">
        <f>IF(B375="","",IF(OR(L375=0,N375&gt;0,T375&gt;0,IF(ISNUMBER(H375),ROUND(ABS(H375),8)&gt;$F$6,FALSE)),2,IF(OR(M375=0,O375&gt;0,P375&gt;0,Q375&gt;0,R375&gt;0,S375&gt;0,U375&gt;0,V375&gt;0),1,0)))</f>
      </c>
      <c r="X375" s="0">
        <f>IF(B375="","",IF(ISNUMBER(G375),1,0))</f>
      </c>
      <c r="AB375" s="0">
        <f>IF(AND(ISNUMBER(W375),W375&gt;0),"ID "&amp;B375,"")</f>
      </c>
      <c r="AC375" s="0">
        <f>IF(AND(ISNUMBER(W375),W375&gt;0),C375,"")</f>
      </c>
      <c r="AD375" s="0">
        <f>IF(AND(ISNUMBER(W375),W375&gt;0),D375,"")</f>
      </c>
      <c r="AE375" s="0">
        <f>IF(AND(ISNUMBER(W375),W375&gt;0),IF(INDEX('PEGAR'!$D$13:$D$512,IF(L375&gt;0,L375,K375))="","Sin descripción",INDEX('PEGAR'!$D$13:$D$512,IF(L375&gt;0,L375,K375))),"")</f>
      </c>
      <c r="AF375" s="0">
        <f>IF(AND(ISNUMBER(W375),W375&gt;0),J375,"")</f>
      </c>
      <c r="AG375" s="0" t="n">
        <f>IF(AND(ISNUMBER(W375),W375&gt;0),W375,0)</f>
        <v>0</v>
      </c>
      <c r="AH375" s="0">
        <f>IF(AG375&gt;0,COUNTIFS($AG$13:AG375,"&gt;0"),"")</f>
      </c>
    </row>
    <row r="376" ht="22" customHeight="1">
      <c r="B376" s="27">
        <f>IF(K376="","",INDEX('PEGAR'!$O$13:$O$512,K376))</f>
      </c>
      <c r="C376" s="30">
        <f>IF(B376="","",IF(LEN(TRIM(INDEX('PEGAR'!$B$13:$B$512,IF(L376&gt;0,L376,K376))&amp;""))=0,"Sin capítulo",TRIM(INDEX('PEGAR'!$B$13:$B$512,IF(L376&gt;0,L376,K376))&amp;"")))</f>
      </c>
      <c r="D376" s="27">
        <f>IF(B376="","",IF(LEN(TRIM(INDEX('PEGAR'!$C$13:$C$512,IF(L376&gt;0,L376,K376))&amp;""))=0,"",TRIM(INDEX('PEGAR'!$C$13:$C$512,IF(L376&gt;0,L376,K376))&amp;"")))</f>
      </c>
      <c r="E376" s="27">
        <f>IF(B376="","",INDEX('PEGAR'!$S$13:$S$512,IF(L376&gt;0,L376,K376)))</f>
      </c>
      <c r="F376" s="39">
        <f>IF(B376="","",IF(L376&gt;0,INDEX('PEGAR'!$F$13:$F$512,L376),""))</f>
      </c>
      <c r="G376" s="39">
        <f>IF(B376="","",IF(OR(M376=0,N376&gt;0,O376&gt;0),"",SUMIFS('PEGAR'!$M$13:$M$512,'PEGAR'!$O$13:$O$512,B376)))</f>
      </c>
      <c r="H376" s="39">
        <f>IF(AND(ISNUMBER(F376),ISNUMBER(G376)),G376-F376,"")</f>
      </c>
      <c r="I376" s="27">
        <f>IF(B376="","",IF(W376=2,"ROJO",IF(W376=1,"ÁMBAR","VERDE")))</f>
      </c>
      <c r="J376" s="30">
        <f>IF(B376="","",IF(W376=0,"Sin avisos numéricos. Revisamos el alcance aparte.",IF(L376=0,"Faltan datos completos de partida; no elegimos un total por suposición."&amp;CHAR(10),"")&amp;IF(N376&gt;0,"Hay filas incompletas o contradictorias; las revisamos en PEGAR."&amp;CHAR(10),"")&amp;IF(O376&gt;0,"Faltan las medidas de alguna fila; no cerramos la suma."&amp;CHAR(10),"")&amp;IF(M376=0,"No constan líneas de medición."&amp;CHAR(10),"")&amp;IF(IF(ISNUMBER(H376),ROUND(ABS(H376),8)&gt;$F$6,FALSE),"Las líneas difieren del total en más de 0,01; confirmamos cantidad o exclusión."&amp;CHAR(10),"")&amp;IF(P376&gt;0,"Parece m³: encontramos tres dimensiones bajo m²."&amp;CHAR(10),"")&amp;IF(R376&gt;0,"Código repetido dentro del capítulo; mantenemos sus ID separados."&amp;CHAR(10),"")&amp;IF(S376&gt;0,"Código repetido en otro capítulo; no unimos las partidas."&amp;CHAR(10),"")&amp;IF(T376&gt;0,"Mismo código con unidades distintas; pedimos aclaración."&amp;CHAR(10),"")&amp;IF(Q376&gt;0,"Hay más precisión que los decimales indicados; cotejamos el formato original."&amp;CHAR(10),"")&amp;IF(U376&gt;0,"Unidad sin normalizar; cotejamos su significado antes de sumar unidades."&amp;CHAR(10),"")&amp;IF(V376&gt;0,"Revisamos dimensiones, cantidades directas, ceros o deducciones en PEGAR."&amp;CHAR(10),"")))</f>
      </c>
      <c r="K376" s="0">
        <f>IF(364&gt;'RESUMEN'!$E$6,"",MATCH(364,'PEGAR'!$W$13:$W$512,0))</f>
      </c>
      <c r="L376" s="0">
        <f>IF(K376="","",INDEX('PEGAR'!$R$13:$R$512,K376))</f>
      </c>
      <c r="M376" s="0">
        <f>IF(B376="","",COUNTIFS('PEGAR'!$O$13:$O$512,B376,'PEGAR'!$P$13:$P$512,"DIMENSIONES")+COUNTIFS('PEGAR'!$O$13:$O$512,B376,'PEGAR'!$P$13:$P$512,"DIRECTA"))</f>
      </c>
      <c r="N376" s="0">
        <f>IF(B376="","",COUNTIFS('PEGAR'!$O$13:$O$512,B376,'PEGAR'!$X$13:$X$512,2))</f>
      </c>
      <c r="O376" s="0">
        <f>IF(B376="","",COUNTIFS('PEGAR'!$O$13:$O$512,B376,'PEGAR'!$P$13:$P$512,"SIN LÍNEAS"))</f>
      </c>
      <c r="P376" s="0">
        <f>IF(B376="","",SUMIFS('PEGAR'!$Y$13:$Y$512,'PEGAR'!$O$13:$O$512,B376))</f>
      </c>
      <c r="Q376" s="0">
        <f>IF(B376="","",SUMIFS('PEGAR'!$Z$13:$Z$512,'PEGAR'!$O$13:$O$512,B376))</f>
      </c>
      <c r="R376" s="0" t="n">
        <f>IF(OR(B376="",D376=""),0,SUMPRODUCT(--($B$13:$B$512&lt;&gt;""),--($D$13:$D$512=D376),--($C$13:$C$512=C376))-1)</f>
        <v>0</v>
      </c>
      <c r="S376" s="0" t="n">
        <f>IF(OR(B376="",D376=""),0,SUMPRODUCT(--($B$13:$B$512&lt;&gt;""),--($D$13:$D$512=D376),--($C$13:$C$512&lt;&gt;C376)))</f>
        <v>0</v>
      </c>
      <c r="T376" s="0" t="n">
        <f>IF(OR(B376="",D376=""),0,SUMPRODUCT(--($B$13:$B$512&lt;&gt;""),--($D$13:$D$512=D376),--($E$13:$E$512&lt;&gt;E376)))</f>
        <v>0</v>
      </c>
      <c r="U376" s="0" t="n">
        <f>IF(B376="",0,IF(SUMPRODUCT(--('LÉEME'!$C$65:$C$86=E376))=0,1,0))</f>
        <v>0</v>
      </c>
      <c r="V376" s="0">
        <f>IF(B376="","",SUMIFS('PEGAR'!$AA$13:$AA$512,'PEGAR'!$O$13:$O$512,B376))</f>
      </c>
      <c r="W376" s="0">
        <f>IF(B376="","",IF(OR(L376=0,N376&gt;0,T376&gt;0,IF(ISNUMBER(H376),ROUND(ABS(H376),8)&gt;$F$6,FALSE)),2,IF(OR(M376=0,O376&gt;0,P376&gt;0,Q376&gt;0,R376&gt;0,S376&gt;0,U376&gt;0,V376&gt;0),1,0)))</f>
      </c>
      <c r="X376" s="0">
        <f>IF(B376="","",IF(ISNUMBER(G376),1,0))</f>
      </c>
      <c r="AB376" s="0">
        <f>IF(AND(ISNUMBER(W376),W376&gt;0),"ID "&amp;B376,"")</f>
      </c>
      <c r="AC376" s="0">
        <f>IF(AND(ISNUMBER(W376),W376&gt;0),C376,"")</f>
      </c>
      <c r="AD376" s="0">
        <f>IF(AND(ISNUMBER(W376),W376&gt;0),D376,"")</f>
      </c>
      <c r="AE376" s="0">
        <f>IF(AND(ISNUMBER(W376),W376&gt;0),IF(INDEX('PEGAR'!$D$13:$D$512,IF(L376&gt;0,L376,K376))="","Sin descripción",INDEX('PEGAR'!$D$13:$D$512,IF(L376&gt;0,L376,K376))),"")</f>
      </c>
      <c r="AF376" s="0">
        <f>IF(AND(ISNUMBER(W376),W376&gt;0),J376,"")</f>
      </c>
      <c r="AG376" s="0" t="n">
        <f>IF(AND(ISNUMBER(W376),W376&gt;0),W376,0)</f>
        <v>0</v>
      </c>
      <c r="AH376" s="0">
        <f>IF(AG376&gt;0,COUNTIFS($AG$13:AG376,"&gt;0"),"")</f>
      </c>
    </row>
    <row r="377" ht="22" customHeight="1">
      <c r="B377" s="27">
        <f>IF(K377="","",INDEX('PEGAR'!$O$13:$O$512,K377))</f>
      </c>
      <c r="C377" s="30">
        <f>IF(B377="","",IF(LEN(TRIM(INDEX('PEGAR'!$B$13:$B$512,IF(L377&gt;0,L377,K377))&amp;""))=0,"Sin capítulo",TRIM(INDEX('PEGAR'!$B$13:$B$512,IF(L377&gt;0,L377,K377))&amp;"")))</f>
      </c>
      <c r="D377" s="27">
        <f>IF(B377="","",IF(LEN(TRIM(INDEX('PEGAR'!$C$13:$C$512,IF(L377&gt;0,L377,K377))&amp;""))=0,"",TRIM(INDEX('PEGAR'!$C$13:$C$512,IF(L377&gt;0,L377,K377))&amp;"")))</f>
      </c>
      <c r="E377" s="27">
        <f>IF(B377="","",INDEX('PEGAR'!$S$13:$S$512,IF(L377&gt;0,L377,K377)))</f>
      </c>
      <c r="F377" s="39">
        <f>IF(B377="","",IF(L377&gt;0,INDEX('PEGAR'!$F$13:$F$512,L377),""))</f>
      </c>
      <c r="G377" s="39">
        <f>IF(B377="","",IF(OR(M377=0,N377&gt;0,O377&gt;0),"",SUMIFS('PEGAR'!$M$13:$M$512,'PEGAR'!$O$13:$O$512,B377)))</f>
      </c>
      <c r="H377" s="39">
        <f>IF(AND(ISNUMBER(F377),ISNUMBER(G377)),G377-F377,"")</f>
      </c>
      <c r="I377" s="27">
        <f>IF(B377="","",IF(W377=2,"ROJO",IF(W377=1,"ÁMBAR","VERDE")))</f>
      </c>
      <c r="J377" s="30">
        <f>IF(B377="","",IF(W377=0,"Sin avisos numéricos. Revisamos el alcance aparte.",IF(L377=0,"Faltan datos completos de partida; no elegimos un total por suposición."&amp;CHAR(10),"")&amp;IF(N377&gt;0,"Hay filas incompletas o contradictorias; las revisamos en PEGAR."&amp;CHAR(10),"")&amp;IF(O377&gt;0,"Faltan las medidas de alguna fila; no cerramos la suma."&amp;CHAR(10),"")&amp;IF(M377=0,"No constan líneas de medición."&amp;CHAR(10),"")&amp;IF(IF(ISNUMBER(H377),ROUND(ABS(H377),8)&gt;$F$6,FALSE),"Las líneas difieren del total en más de 0,01; confirmamos cantidad o exclusión."&amp;CHAR(10),"")&amp;IF(P377&gt;0,"Parece m³: encontramos tres dimensiones bajo m²."&amp;CHAR(10),"")&amp;IF(R377&gt;0,"Código repetido dentro del capítulo; mantenemos sus ID separados."&amp;CHAR(10),"")&amp;IF(S377&gt;0,"Código repetido en otro capítulo; no unimos las partidas."&amp;CHAR(10),"")&amp;IF(T377&gt;0,"Mismo código con unidades distintas; pedimos aclaración."&amp;CHAR(10),"")&amp;IF(Q377&gt;0,"Hay más precisión que los decimales indicados; cotejamos el formato original."&amp;CHAR(10),"")&amp;IF(U377&gt;0,"Unidad sin normalizar; cotejamos su significado antes de sumar unidades."&amp;CHAR(10),"")&amp;IF(V377&gt;0,"Revisamos dimensiones, cantidades directas, ceros o deducciones en PEGAR."&amp;CHAR(10),"")))</f>
      </c>
      <c r="K377" s="0">
        <f>IF(365&gt;'RESUMEN'!$E$6,"",MATCH(365,'PEGAR'!$W$13:$W$512,0))</f>
      </c>
      <c r="L377" s="0">
        <f>IF(K377="","",INDEX('PEGAR'!$R$13:$R$512,K377))</f>
      </c>
      <c r="M377" s="0">
        <f>IF(B377="","",COUNTIFS('PEGAR'!$O$13:$O$512,B377,'PEGAR'!$P$13:$P$512,"DIMENSIONES")+COUNTIFS('PEGAR'!$O$13:$O$512,B377,'PEGAR'!$P$13:$P$512,"DIRECTA"))</f>
      </c>
      <c r="N377" s="0">
        <f>IF(B377="","",COUNTIFS('PEGAR'!$O$13:$O$512,B377,'PEGAR'!$X$13:$X$512,2))</f>
      </c>
      <c r="O377" s="0">
        <f>IF(B377="","",COUNTIFS('PEGAR'!$O$13:$O$512,B377,'PEGAR'!$P$13:$P$512,"SIN LÍNEAS"))</f>
      </c>
      <c r="P377" s="0">
        <f>IF(B377="","",SUMIFS('PEGAR'!$Y$13:$Y$512,'PEGAR'!$O$13:$O$512,B377))</f>
      </c>
      <c r="Q377" s="0">
        <f>IF(B377="","",SUMIFS('PEGAR'!$Z$13:$Z$512,'PEGAR'!$O$13:$O$512,B377))</f>
      </c>
      <c r="R377" s="0" t="n">
        <f>IF(OR(B377="",D377=""),0,SUMPRODUCT(--($B$13:$B$512&lt;&gt;""),--($D$13:$D$512=D377),--($C$13:$C$512=C377))-1)</f>
        <v>0</v>
      </c>
      <c r="S377" s="0" t="n">
        <f>IF(OR(B377="",D377=""),0,SUMPRODUCT(--($B$13:$B$512&lt;&gt;""),--($D$13:$D$512=D377),--($C$13:$C$512&lt;&gt;C377)))</f>
        <v>0</v>
      </c>
      <c r="T377" s="0" t="n">
        <f>IF(OR(B377="",D377=""),0,SUMPRODUCT(--($B$13:$B$512&lt;&gt;""),--($D$13:$D$512=D377),--($E$13:$E$512&lt;&gt;E377)))</f>
        <v>0</v>
      </c>
      <c r="U377" s="0" t="n">
        <f>IF(B377="",0,IF(SUMPRODUCT(--('LÉEME'!$C$65:$C$86=E377))=0,1,0))</f>
        <v>0</v>
      </c>
      <c r="V377" s="0">
        <f>IF(B377="","",SUMIFS('PEGAR'!$AA$13:$AA$512,'PEGAR'!$O$13:$O$512,B377))</f>
      </c>
      <c r="W377" s="0">
        <f>IF(B377="","",IF(OR(L377=0,N377&gt;0,T377&gt;0,IF(ISNUMBER(H377),ROUND(ABS(H377),8)&gt;$F$6,FALSE)),2,IF(OR(M377=0,O377&gt;0,P377&gt;0,Q377&gt;0,R377&gt;0,S377&gt;0,U377&gt;0,V377&gt;0),1,0)))</f>
      </c>
      <c r="X377" s="0">
        <f>IF(B377="","",IF(ISNUMBER(G377),1,0))</f>
      </c>
      <c r="AB377" s="0">
        <f>IF(AND(ISNUMBER(W377),W377&gt;0),"ID "&amp;B377,"")</f>
      </c>
      <c r="AC377" s="0">
        <f>IF(AND(ISNUMBER(W377),W377&gt;0),C377,"")</f>
      </c>
      <c r="AD377" s="0">
        <f>IF(AND(ISNUMBER(W377),W377&gt;0),D377,"")</f>
      </c>
      <c r="AE377" s="0">
        <f>IF(AND(ISNUMBER(W377),W377&gt;0),IF(INDEX('PEGAR'!$D$13:$D$512,IF(L377&gt;0,L377,K377))="","Sin descripción",INDEX('PEGAR'!$D$13:$D$512,IF(L377&gt;0,L377,K377))),"")</f>
      </c>
      <c r="AF377" s="0">
        <f>IF(AND(ISNUMBER(W377),W377&gt;0),J377,"")</f>
      </c>
      <c r="AG377" s="0" t="n">
        <f>IF(AND(ISNUMBER(W377),W377&gt;0),W377,0)</f>
        <v>0</v>
      </c>
      <c r="AH377" s="0">
        <f>IF(AG377&gt;0,COUNTIFS($AG$13:AG377,"&gt;0"),"")</f>
      </c>
    </row>
    <row r="378" ht="22" customHeight="1">
      <c r="B378" s="27">
        <f>IF(K378="","",INDEX('PEGAR'!$O$13:$O$512,K378))</f>
      </c>
      <c r="C378" s="30">
        <f>IF(B378="","",IF(LEN(TRIM(INDEX('PEGAR'!$B$13:$B$512,IF(L378&gt;0,L378,K378))&amp;""))=0,"Sin capítulo",TRIM(INDEX('PEGAR'!$B$13:$B$512,IF(L378&gt;0,L378,K378))&amp;"")))</f>
      </c>
      <c r="D378" s="27">
        <f>IF(B378="","",IF(LEN(TRIM(INDEX('PEGAR'!$C$13:$C$512,IF(L378&gt;0,L378,K378))&amp;""))=0,"",TRIM(INDEX('PEGAR'!$C$13:$C$512,IF(L378&gt;0,L378,K378))&amp;"")))</f>
      </c>
      <c r="E378" s="27">
        <f>IF(B378="","",INDEX('PEGAR'!$S$13:$S$512,IF(L378&gt;0,L378,K378)))</f>
      </c>
      <c r="F378" s="39">
        <f>IF(B378="","",IF(L378&gt;0,INDEX('PEGAR'!$F$13:$F$512,L378),""))</f>
      </c>
      <c r="G378" s="39">
        <f>IF(B378="","",IF(OR(M378=0,N378&gt;0,O378&gt;0),"",SUMIFS('PEGAR'!$M$13:$M$512,'PEGAR'!$O$13:$O$512,B378)))</f>
      </c>
      <c r="H378" s="39">
        <f>IF(AND(ISNUMBER(F378),ISNUMBER(G378)),G378-F378,"")</f>
      </c>
      <c r="I378" s="27">
        <f>IF(B378="","",IF(W378=2,"ROJO",IF(W378=1,"ÁMBAR","VERDE")))</f>
      </c>
      <c r="J378" s="30">
        <f>IF(B378="","",IF(W378=0,"Sin avisos numéricos. Revisamos el alcance aparte.",IF(L378=0,"Faltan datos completos de partida; no elegimos un total por suposición."&amp;CHAR(10),"")&amp;IF(N378&gt;0,"Hay filas incompletas o contradictorias; las revisamos en PEGAR."&amp;CHAR(10),"")&amp;IF(O378&gt;0,"Faltan las medidas de alguna fila; no cerramos la suma."&amp;CHAR(10),"")&amp;IF(M378=0,"No constan líneas de medición."&amp;CHAR(10),"")&amp;IF(IF(ISNUMBER(H378),ROUND(ABS(H378),8)&gt;$F$6,FALSE),"Las líneas difieren del total en más de 0,01; confirmamos cantidad o exclusión."&amp;CHAR(10),"")&amp;IF(P378&gt;0,"Parece m³: encontramos tres dimensiones bajo m²."&amp;CHAR(10),"")&amp;IF(R378&gt;0,"Código repetido dentro del capítulo; mantenemos sus ID separados."&amp;CHAR(10),"")&amp;IF(S378&gt;0,"Código repetido en otro capítulo; no unimos las partidas."&amp;CHAR(10),"")&amp;IF(T378&gt;0,"Mismo código con unidades distintas; pedimos aclaración."&amp;CHAR(10),"")&amp;IF(Q378&gt;0,"Hay más precisión que los decimales indicados; cotejamos el formato original."&amp;CHAR(10),"")&amp;IF(U378&gt;0,"Unidad sin normalizar; cotejamos su significado antes de sumar unidades."&amp;CHAR(10),"")&amp;IF(V378&gt;0,"Revisamos dimensiones, cantidades directas, ceros o deducciones en PEGAR."&amp;CHAR(10),"")))</f>
      </c>
      <c r="K378" s="0">
        <f>IF(366&gt;'RESUMEN'!$E$6,"",MATCH(366,'PEGAR'!$W$13:$W$512,0))</f>
      </c>
      <c r="L378" s="0">
        <f>IF(K378="","",INDEX('PEGAR'!$R$13:$R$512,K378))</f>
      </c>
      <c r="M378" s="0">
        <f>IF(B378="","",COUNTIFS('PEGAR'!$O$13:$O$512,B378,'PEGAR'!$P$13:$P$512,"DIMENSIONES")+COUNTIFS('PEGAR'!$O$13:$O$512,B378,'PEGAR'!$P$13:$P$512,"DIRECTA"))</f>
      </c>
      <c r="N378" s="0">
        <f>IF(B378="","",COUNTIFS('PEGAR'!$O$13:$O$512,B378,'PEGAR'!$X$13:$X$512,2))</f>
      </c>
      <c r="O378" s="0">
        <f>IF(B378="","",COUNTIFS('PEGAR'!$O$13:$O$512,B378,'PEGAR'!$P$13:$P$512,"SIN LÍNEAS"))</f>
      </c>
      <c r="P378" s="0">
        <f>IF(B378="","",SUMIFS('PEGAR'!$Y$13:$Y$512,'PEGAR'!$O$13:$O$512,B378))</f>
      </c>
      <c r="Q378" s="0">
        <f>IF(B378="","",SUMIFS('PEGAR'!$Z$13:$Z$512,'PEGAR'!$O$13:$O$512,B378))</f>
      </c>
      <c r="R378" s="0" t="n">
        <f>IF(OR(B378="",D378=""),0,SUMPRODUCT(--($B$13:$B$512&lt;&gt;""),--($D$13:$D$512=D378),--($C$13:$C$512=C378))-1)</f>
        <v>0</v>
      </c>
      <c r="S378" s="0" t="n">
        <f>IF(OR(B378="",D378=""),0,SUMPRODUCT(--($B$13:$B$512&lt;&gt;""),--($D$13:$D$512=D378),--($C$13:$C$512&lt;&gt;C378)))</f>
        <v>0</v>
      </c>
      <c r="T378" s="0" t="n">
        <f>IF(OR(B378="",D378=""),0,SUMPRODUCT(--($B$13:$B$512&lt;&gt;""),--($D$13:$D$512=D378),--($E$13:$E$512&lt;&gt;E378)))</f>
        <v>0</v>
      </c>
      <c r="U378" s="0" t="n">
        <f>IF(B378="",0,IF(SUMPRODUCT(--('LÉEME'!$C$65:$C$86=E378))=0,1,0))</f>
        <v>0</v>
      </c>
      <c r="V378" s="0">
        <f>IF(B378="","",SUMIFS('PEGAR'!$AA$13:$AA$512,'PEGAR'!$O$13:$O$512,B378))</f>
      </c>
      <c r="W378" s="0">
        <f>IF(B378="","",IF(OR(L378=0,N378&gt;0,T378&gt;0,IF(ISNUMBER(H378),ROUND(ABS(H378),8)&gt;$F$6,FALSE)),2,IF(OR(M378=0,O378&gt;0,P378&gt;0,Q378&gt;0,R378&gt;0,S378&gt;0,U378&gt;0,V378&gt;0),1,0)))</f>
      </c>
      <c r="X378" s="0">
        <f>IF(B378="","",IF(ISNUMBER(G378),1,0))</f>
      </c>
      <c r="AB378" s="0">
        <f>IF(AND(ISNUMBER(W378),W378&gt;0),"ID "&amp;B378,"")</f>
      </c>
      <c r="AC378" s="0">
        <f>IF(AND(ISNUMBER(W378),W378&gt;0),C378,"")</f>
      </c>
      <c r="AD378" s="0">
        <f>IF(AND(ISNUMBER(W378),W378&gt;0),D378,"")</f>
      </c>
      <c r="AE378" s="0">
        <f>IF(AND(ISNUMBER(W378),W378&gt;0),IF(INDEX('PEGAR'!$D$13:$D$512,IF(L378&gt;0,L378,K378))="","Sin descripción",INDEX('PEGAR'!$D$13:$D$512,IF(L378&gt;0,L378,K378))),"")</f>
      </c>
      <c r="AF378" s="0">
        <f>IF(AND(ISNUMBER(W378),W378&gt;0),J378,"")</f>
      </c>
      <c r="AG378" s="0" t="n">
        <f>IF(AND(ISNUMBER(W378),W378&gt;0),W378,0)</f>
        <v>0</v>
      </c>
      <c r="AH378" s="0">
        <f>IF(AG378&gt;0,COUNTIFS($AG$13:AG378,"&gt;0"),"")</f>
      </c>
    </row>
    <row r="379" ht="22" customHeight="1">
      <c r="B379" s="27">
        <f>IF(K379="","",INDEX('PEGAR'!$O$13:$O$512,K379))</f>
      </c>
      <c r="C379" s="30">
        <f>IF(B379="","",IF(LEN(TRIM(INDEX('PEGAR'!$B$13:$B$512,IF(L379&gt;0,L379,K379))&amp;""))=0,"Sin capítulo",TRIM(INDEX('PEGAR'!$B$13:$B$512,IF(L379&gt;0,L379,K379))&amp;"")))</f>
      </c>
      <c r="D379" s="27">
        <f>IF(B379="","",IF(LEN(TRIM(INDEX('PEGAR'!$C$13:$C$512,IF(L379&gt;0,L379,K379))&amp;""))=0,"",TRIM(INDEX('PEGAR'!$C$13:$C$512,IF(L379&gt;0,L379,K379))&amp;"")))</f>
      </c>
      <c r="E379" s="27">
        <f>IF(B379="","",INDEX('PEGAR'!$S$13:$S$512,IF(L379&gt;0,L379,K379)))</f>
      </c>
      <c r="F379" s="39">
        <f>IF(B379="","",IF(L379&gt;0,INDEX('PEGAR'!$F$13:$F$512,L379),""))</f>
      </c>
      <c r="G379" s="39">
        <f>IF(B379="","",IF(OR(M379=0,N379&gt;0,O379&gt;0),"",SUMIFS('PEGAR'!$M$13:$M$512,'PEGAR'!$O$13:$O$512,B379)))</f>
      </c>
      <c r="H379" s="39">
        <f>IF(AND(ISNUMBER(F379),ISNUMBER(G379)),G379-F379,"")</f>
      </c>
      <c r="I379" s="27">
        <f>IF(B379="","",IF(W379=2,"ROJO",IF(W379=1,"ÁMBAR","VERDE")))</f>
      </c>
      <c r="J379" s="30">
        <f>IF(B379="","",IF(W379=0,"Sin avisos numéricos. Revisamos el alcance aparte.",IF(L379=0,"Faltan datos completos de partida; no elegimos un total por suposición."&amp;CHAR(10),"")&amp;IF(N379&gt;0,"Hay filas incompletas o contradictorias; las revisamos en PEGAR."&amp;CHAR(10),"")&amp;IF(O379&gt;0,"Faltan las medidas de alguna fila; no cerramos la suma."&amp;CHAR(10),"")&amp;IF(M379=0,"No constan líneas de medición."&amp;CHAR(10),"")&amp;IF(IF(ISNUMBER(H379),ROUND(ABS(H379),8)&gt;$F$6,FALSE),"Las líneas difieren del total en más de 0,01; confirmamos cantidad o exclusión."&amp;CHAR(10),"")&amp;IF(P379&gt;0,"Parece m³: encontramos tres dimensiones bajo m²."&amp;CHAR(10),"")&amp;IF(R379&gt;0,"Código repetido dentro del capítulo; mantenemos sus ID separados."&amp;CHAR(10),"")&amp;IF(S379&gt;0,"Código repetido en otro capítulo; no unimos las partidas."&amp;CHAR(10),"")&amp;IF(T379&gt;0,"Mismo código con unidades distintas; pedimos aclaración."&amp;CHAR(10),"")&amp;IF(Q379&gt;0,"Hay más precisión que los decimales indicados; cotejamos el formato original."&amp;CHAR(10),"")&amp;IF(U379&gt;0,"Unidad sin normalizar; cotejamos su significado antes de sumar unidades."&amp;CHAR(10),"")&amp;IF(V379&gt;0,"Revisamos dimensiones, cantidades directas, ceros o deducciones en PEGAR."&amp;CHAR(10),"")))</f>
      </c>
      <c r="K379" s="0">
        <f>IF(367&gt;'RESUMEN'!$E$6,"",MATCH(367,'PEGAR'!$W$13:$W$512,0))</f>
      </c>
      <c r="L379" s="0">
        <f>IF(K379="","",INDEX('PEGAR'!$R$13:$R$512,K379))</f>
      </c>
      <c r="M379" s="0">
        <f>IF(B379="","",COUNTIFS('PEGAR'!$O$13:$O$512,B379,'PEGAR'!$P$13:$P$512,"DIMENSIONES")+COUNTIFS('PEGAR'!$O$13:$O$512,B379,'PEGAR'!$P$13:$P$512,"DIRECTA"))</f>
      </c>
      <c r="N379" s="0">
        <f>IF(B379="","",COUNTIFS('PEGAR'!$O$13:$O$512,B379,'PEGAR'!$X$13:$X$512,2))</f>
      </c>
      <c r="O379" s="0">
        <f>IF(B379="","",COUNTIFS('PEGAR'!$O$13:$O$512,B379,'PEGAR'!$P$13:$P$512,"SIN LÍNEAS"))</f>
      </c>
      <c r="P379" s="0">
        <f>IF(B379="","",SUMIFS('PEGAR'!$Y$13:$Y$512,'PEGAR'!$O$13:$O$512,B379))</f>
      </c>
      <c r="Q379" s="0">
        <f>IF(B379="","",SUMIFS('PEGAR'!$Z$13:$Z$512,'PEGAR'!$O$13:$O$512,B379))</f>
      </c>
      <c r="R379" s="0" t="n">
        <f>IF(OR(B379="",D379=""),0,SUMPRODUCT(--($B$13:$B$512&lt;&gt;""),--($D$13:$D$512=D379),--($C$13:$C$512=C379))-1)</f>
        <v>0</v>
      </c>
      <c r="S379" s="0" t="n">
        <f>IF(OR(B379="",D379=""),0,SUMPRODUCT(--($B$13:$B$512&lt;&gt;""),--($D$13:$D$512=D379),--($C$13:$C$512&lt;&gt;C379)))</f>
        <v>0</v>
      </c>
      <c r="T379" s="0" t="n">
        <f>IF(OR(B379="",D379=""),0,SUMPRODUCT(--($B$13:$B$512&lt;&gt;""),--($D$13:$D$512=D379),--($E$13:$E$512&lt;&gt;E379)))</f>
        <v>0</v>
      </c>
      <c r="U379" s="0" t="n">
        <f>IF(B379="",0,IF(SUMPRODUCT(--('LÉEME'!$C$65:$C$86=E379))=0,1,0))</f>
        <v>0</v>
      </c>
      <c r="V379" s="0">
        <f>IF(B379="","",SUMIFS('PEGAR'!$AA$13:$AA$512,'PEGAR'!$O$13:$O$512,B379))</f>
      </c>
      <c r="W379" s="0">
        <f>IF(B379="","",IF(OR(L379=0,N379&gt;0,T379&gt;0,IF(ISNUMBER(H379),ROUND(ABS(H379),8)&gt;$F$6,FALSE)),2,IF(OR(M379=0,O379&gt;0,P379&gt;0,Q379&gt;0,R379&gt;0,S379&gt;0,U379&gt;0,V379&gt;0),1,0)))</f>
      </c>
      <c r="X379" s="0">
        <f>IF(B379="","",IF(ISNUMBER(G379),1,0))</f>
      </c>
      <c r="AB379" s="0">
        <f>IF(AND(ISNUMBER(W379),W379&gt;0),"ID "&amp;B379,"")</f>
      </c>
      <c r="AC379" s="0">
        <f>IF(AND(ISNUMBER(W379),W379&gt;0),C379,"")</f>
      </c>
      <c r="AD379" s="0">
        <f>IF(AND(ISNUMBER(W379),W379&gt;0),D379,"")</f>
      </c>
      <c r="AE379" s="0">
        <f>IF(AND(ISNUMBER(W379),W379&gt;0),IF(INDEX('PEGAR'!$D$13:$D$512,IF(L379&gt;0,L379,K379))="","Sin descripción",INDEX('PEGAR'!$D$13:$D$512,IF(L379&gt;0,L379,K379))),"")</f>
      </c>
      <c r="AF379" s="0">
        <f>IF(AND(ISNUMBER(W379),W379&gt;0),J379,"")</f>
      </c>
      <c r="AG379" s="0" t="n">
        <f>IF(AND(ISNUMBER(W379),W379&gt;0),W379,0)</f>
        <v>0</v>
      </c>
      <c r="AH379" s="0">
        <f>IF(AG379&gt;0,COUNTIFS($AG$13:AG379,"&gt;0"),"")</f>
      </c>
    </row>
    <row r="380" ht="22" customHeight="1">
      <c r="B380" s="27">
        <f>IF(K380="","",INDEX('PEGAR'!$O$13:$O$512,K380))</f>
      </c>
      <c r="C380" s="30">
        <f>IF(B380="","",IF(LEN(TRIM(INDEX('PEGAR'!$B$13:$B$512,IF(L380&gt;0,L380,K380))&amp;""))=0,"Sin capítulo",TRIM(INDEX('PEGAR'!$B$13:$B$512,IF(L380&gt;0,L380,K380))&amp;"")))</f>
      </c>
      <c r="D380" s="27">
        <f>IF(B380="","",IF(LEN(TRIM(INDEX('PEGAR'!$C$13:$C$512,IF(L380&gt;0,L380,K380))&amp;""))=0,"",TRIM(INDEX('PEGAR'!$C$13:$C$512,IF(L380&gt;0,L380,K380))&amp;"")))</f>
      </c>
      <c r="E380" s="27">
        <f>IF(B380="","",INDEX('PEGAR'!$S$13:$S$512,IF(L380&gt;0,L380,K380)))</f>
      </c>
      <c r="F380" s="39">
        <f>IF(B380="","",IF(L380&gt;0,INDEX('PEGAR'!$F$13:$F$512,L380),""))</f>
      </c>
      <c r="G380" s="39">
        <f>IF(B380="","",IF(OR(M380=0,N380&gt;0,O380&gt;0),"",SUMIFS('PEGAR'!$M$13:$M$512,'PEGAR'!$O$13:$O$512,B380)))</f>
      </c>
      <c r="H380" s="39">
        <f>IF(AND(ISNUMBER(F380),ISNUMBER(G380)),G380-F380,"")</f>
      </c>
      <c r="I380" s="27">
        <f>IF(B380="","",IF(W380=2,"ROJO",IF(W380=1,"ÁMBAR","VERDE")))</f>
      </c>
      <c r="J380" s="30">
        <f>IF(B380="","",IF(W380=0,"Sin avisos numéricos. Revisamos el alcance aparte.",IF(L380=0,"Faltan datos completos de partida; no elegimos un total por suposición."&amp;CHAR(10),"")&amp;IF(N380&gt;0,"Hay filas incompletas o contradictorias; las revisamos en PEGAR."&amp;CHAR(10),"")&amp;IF(O380&gt;0,"Faltan las medidas de alguna fila; no cerramos la suma."&amp;CHAR(10),"")&amp;IF(M380=0,"No constan líneas de medición."&amp;CHAR(10),"")&amp;IF(IF(ISNUMBER(H380),ROUND(ABS(H380),8)&gt;$F$6,FALSE),"Las líneas difieren del total en más de 0,01; confirmamos cantidad o exclusión."&amp;CHAR(10),"")&amp;IF(P380&gt;0,"Parece m³: encontramos tres dimensiones bajo m²."&amp;CHAR(10),"")&amp;IF(R380&gt;0,"Código repetido dentro del capítulo; mantenemos sus ID separados."&amp;CHAR(10),"")&amp;IF(S380&gt;0,"Código repetido en otro capítulo; no unimos las partidas."&amp;CHAR(10),"")&amp;IF(T380&gt;0,"Mismo código con unidades distintas; pedimos aclaración."&amp;CHAR(10),"")&amp;IF(Q380&gt;0,"Hay más precisión que los decimales indicados; cotejamos el formato original."&amp;CHAR(10),"")&amp;IF(U380&gt;0,"Unidad sin normalizar; cotejamos su significado antes de sumar unidades."&amp;CHAR(10),"")&amp;IF(V380&gt;0,"Revisamos dimensiones, cantidades directas, ceros o deducciones en PEGAR."&amp;CHAR(10),"")))</f>
      </c>
      <c r="K380" s="0">
        <f>IF(368&gt;'RESUMEN'!$E$6,"",MATCH(368,'PEGAR'!$W$13:$W$512,0))</f>
      </c>
      <c r="L380" s="0">
        <f>IF(K380="","",INDEX('PEGAR'!$R$13:$R$512,K380))</f>
      </c>
      <c r="M380" s="0">
        <f>IF(B380="","",COUNTIFS('PEGAR'!$O$13:$O$512,B380,'PEGAR'!$P$13:$P$512,"DIMENSIONES")+COUNTIFS('PEGAR'!$O$13:$O$512,B380,'PEGAR'!$P$13:$P$512,"DIRECTA"))</f>
      </c>
      <c r="N380" s="0">
        <f>IF(B380="","",COUNTIFS('PEGAR'!$O$13:$O$512,B380,'PEGAR'!$X$13:$X$512,2))</f>
      </c>
      <c r="O380" s="0">
        <f>IF(B380="","",COUNTIFS('PEGAR'!$O$13:$O$512,B380,'PEGAR'!$P$13:$P$512,"SIN LÍNEAS"))</f>
      </c>
      <c r="P380" s="0">
        <f>IF(B380="","",SUMIFS('PEGAR'!$Y$13:$Y$512,'PEGAR'!$O$13:$O$512,B380))</f>
      </c>
      <c r="Q380" s="0">
        <f>IF(B380="","",SUMIFS('PEGAR'!$Z$13:$Z$512,'PEGAR'!$O$13:$O$512,B380))</f>
      </c>
      <c r="R380" s="0" t="n">
        <f>IF(OR(B380="",D380=""),0,SUMPRODUCT(--($B$13:$B$512&lt;&gt;""),--($D$13:$D$512=D380),--($C$13:$C$512=C380))-1)</f>
        <v>0</v>
      </c>
      <c r="S380" s="0" t="n">
        <f>IF(OR(B380="",D380=""),0,SUMPRODUCT(--($B$13:$B$512&lt;&gt;""),--($D$13:$D$512=D380),--($C$13:$C$512&lt;&gt;C380)))</f>
        <v>0</v>
      </c>
      <c r="T380" s="0" t="n">
        <f>IF(OR(B380="",D380=""),0,SUMPRODUCT(--($B$13:$B$512&lt;&gt;""),--($D$13:$D$512=D380),--($E$13:$E$512&lt;&gt;E380)))</f>
        <v>0</v>
      </c>
      <c r="U380" s="0" t="n">
        <f>IF(B380="",0,IF(SUMPRODUCT(--('LÉEME'!$C$65:$C$86=E380))=0,1,0))</f>
        <v>0</v>
      </c>
      <c r="V380" s="0">
        <f>IF(B380="","",SUMIFS('PEGAR'!$AA$13:$AA$512,'PEGAR'!$O$13:$O$512,B380))</f>
      </c>
      <c r="W380" s="0">
        <f>IF(B380="","",IF(OR(L380=0,N380&gt;0,T380&gt;0,IF(ISNUMBER(H380),ROUND(ABS(H380),8)&gt;$F$6,FALSE)),2,IF(OR(M380=0,O380&gt;0,P380&gt;0,Q380&gt;0,R380&gt;0,S380&gt;0,U380&gt;0,V380&gt;0),1,0)))</f>
      </c>
      <c r="X380" s="0">
        <f>IF(B380="","",IF(ISNUMBER(G380),1,0))</f>
      </c>
      <c r="AB380" s="0">
        <f>IF(AND(ISNUMBER(W380),W380&gt;0),"ID "&amp;B380,"")</f>
      </c>
      <c r="AC380" s="0">
        <f>IF(AND(ISNUMBER(W380),W380&gt;0),C380,"")</f>
      </c>
      <c r="AD380" s="0">
        <f>IF(AND(ISNUMBER(W380),W380&gt;0),D380,"")</f>
      </c>
      <c r="AE380" s="0">
        <f>IF(AND(ISNUMBER(W380),W380&gt;0),IF(INDEX('PEGAR'!$D$13:$D$512,IF(L380&gt;0,L380,K380))="","Sin descripción",INDEX('PEGAR'!$D$13:$D$512,IF(L380&gt;0,L380,K380))),"")</f>
      </c>
      <c r="AF380" s="0">
        <f>IF(AND(ISNUMBER(W380),W380&gt;0),J380,"")</f>
      </c>
      <c r="AG380" s="0" t="n">
        <f>IF(AND(ISNUMBER(W380),W380&gt;0),W380,0)</f>
        <v>0</v>
      </c>
      <c r="AH380" s="0">
        <f>IF(AG380&gt;0,COUNTIFS($AG$13:AG380,"&gt;0"),"")</f>
      </c>
    </row>
    <row r="381" ht="22" customHeight="1">
      <c r="B381" s="27">
        <f>IF(K381="","",INDEX('PEGAR'!$O$13:$O$512,K381))</f>
      </c>
      <c r="C381" s="30">
        <f>IF(B381="","",IF(LEN(TRIM(INDEX('PEGAR'!$B$13:$B$512,IF(L381&gt;0,L381,K381))&amp;""))=0,"Sin capítulo",TRIM(INDEX('PEGAR'!$B$13:$B$512,IF(L381&gt;0,L381,K381))&amp;"")))</f>
      </c>
      <c r="D381" s="27">
        <f>IF(B381="","",IF(LEN(TRIM(INDEX('PEGAR'!$C$13:$C$512,IF(L381&gt;0,L381,K381))&amp;""))=0,"",TRIM(INDEX('PEGAR'!$C$13:$C$512,IF(L381&gt;0,L381,K381))&amp;"")))</f>
      </c>
      <c r="E381" s="27">
        <f>IF(B381="","",INDEX('PEGAR'!$S$13:$S$512,IF(L381&gt;0,L381,K381)))</f>
      </c>
      <c r="F381" s="39">
        <f>IF(B381="","",IF(L381&gt;0,INDEX('PEGAR'!$F$13:$F$512,L381),""))</f>
      </c>
      <c r="G381" s="39">
        <f>IF(B381="","",IF(OR(M381=0,N381&gt;0,O381&gt;0),"",SUMIFS('PEGAR'!$M$13:$M$512,'PEGAR'!$O$13:$O$512,B381)))</f>
      </c>
      <c r="H381" s="39">
        <f>IF(AND(ISNUMBER(F381),ISNUMBER(G381)),G381-F381,"")</f>
      </c>
      <c r="I381" s="27">
        <f>IF(B381="","",IF(W381=2,"ROJO",IF(W381=1,"ÁMBAR","VERDE")))</f>
      </c>
      <c r="J381" s="30">
        <f>IF(B381="","",IF(W381=0,"Sin avisos numéricos. Revisamos el alcance aparte.",IF(L381=0,"Faltan datos completos de partida; no elegimos un total por suposición."&amp;CHAR(10),"")&amp;IF(N381&gt;0,"Hay filas incompletas o contradictorias; las revisamos en PEGAR."&amp;CHAR(10),"")&amp;IF(O381&gt;0,"Faltan las medidas de alguna fila; no cerramos la suma."&amp;CHAR(10),"")&amp;IF(M381=0,"No constan líneas de medición."&amp;CHAR(10),"")&amp;IF(IF(ISNUMBER(H381),ROUND(ABS(H381),8)&gt;$F$6,FALSE),"Las líneas difieren del total en más de 0,01; confirmamos cantidad o exclusión."&amp;CHAR(10),"")&amp;IF(P381&gt;0,"Parece m³: encontramos tres dimensiones bajo m²."&amp;CHAR(10),"")&amp;IF(R381&gt;0,"Código repetido dentro del capítulo; mantenemos sus ID separados."&amp;CHAR(10),"")&amp;IF(S381&gt;0,"Código repetido en otro capítulo; no unimos las partidas."&amp;CHAR(10),"")&amp;IF(T381&gt;0,"Mismo código con unidades distintas; pedimos aclaración."&amp;CHAR(10),"")&amp;IF(Q381&gt;0,"Hay más precisión que los decimales indicados; cotejamos el formato original."&amp;CHAR(10),"")&amp;IF(U381&gt;0,"Unidad sin normalizar; cotejamos su significado antes de sumar unidades."&amp;CHAR(10),"")&amp;IF(V381&gt;0,"Revisamos dimensiones, cantidades directas, ceros o deducciones en PEGAR."&amp;CHAR(10),"")))</f>
      </c>
      <c r="K381" s="0">
        <f>IF(369&gt;'RESUMEN'!$E$6,"",MATCH(369,'PEGAR'!$W$13:$W$512,0))</f>
      </c>
      <c r="L381" s="0">
        <f>IF(K381="","",INDEX('PEGAR'!$R$13:$R$512,K381))</f>
      </c>
      <c r="M381" s="0">
        <f>IF(B381="","",COUNTIFS('PEGAR'!$O$13:$O$512,B381,'PEGAR'!$P$13:$P$512,"DIMENSIONES")+COUNTIFS('PEGAR'!$O$13:$O$512,B381,'PEGAR'!$P$13:$P$512,"DIRECTA"))</f>
      </c>
      <c r="N381" s="0">
        <f>IF(B381="","",COUNTIFS('PEGAR'!$O$13:$O$512,B381,'PEGAR'!$X$13:$X$512,2))</f>
      </c>
      <c r="O381" s="0">
        <f>IF(B381="","",COUNTIFS('PEGAR'!$O$13:$O$512,B381,'PEGAR'!$P$13:$P$512,"SIN LÍNEAS"))</f>
      </c>
      <c r="P381" s="0">
        <f>IF(B381="","",SUMIFS('PEGAR'!$Y$13:$Y$512,'PEGAR'!$O$13:$O$512,B381))</f>
      </c>
      <c r="Q381" s="0">
        <f>IF(B381="","",SUMIFS('PEGAR'!$Z$13:$Z$512,'PEGAR'!$O$13:$O$512,B381))</f>
      </c>
      <c r="R381" s="0" t="n">
        <f>IF(OR(B381="",D381=""),0,SUMPRODUCT(--($B$13:$B$512&lt;&gt;""),--($D$13:$D$512=D381),--($C$13:$C$512=C381))-1)</f>
        <v>0</v>
      </c>
      <c r="S381" s="0" t="n">
        <f>IF(OR(B381="",D381=""),0,SUMPRODUCT(--($B$13:$B$512&lt;&gt;""),--($D$13:$D$512=D381),--($C$13:$C$512&lt;&gt;C381)))</f>
        <v>0</v>
      </c>
      <c r="T381" s="0" t="n">
        <f>IF(OR(B381="",D381=""),0,SUMPRODUCT(--($B$13:$B$512&lt;&gt;""),--($D$13:$D$512=D381),--($E$13:$E$512&lt;&gt;E381)))</f>
        <v>0</v>
      </c>
      <c r="U381" s="0" t="n">
        <f>IF(B381="",0,IF(SUMPRODUCT(--('LÉEME'!$C$65:$C$86=E381))=0,1,0))</f>
        <v>0</v>
      </c>
      <c r="V381" s="0">
        <f>IF(B381="","",SUMIFS('PEGAR'!$AA$13:$AA$512,'PEGAR'!$O$13:$O$512,B381))</f>
      </c>
      <c r="W381" s="0">
        <f>IF(B381="","",IF(OR(L381=0,N381&gt;0,T381&gt;0,IF(ISNUMBER(H381),ROUND(ABS(H381),8)&gt;$F$6,FALSE)),2,IF(OR(M381=0,O381&gt;0,P381&gt;0,Q381&gt;0,R381&gt;0,S381&gt;0,U381&gt;0,V381&gt;0),1,0)))</f>
      </c>
      <c r="X381" s="0">
        <f>IF(B381="","",IF(ISNUMBER(G381),1,0))</f>
      </c>
      <c r="AB381" s="0">
        <f>IF(AND(ISNUMBER(W381),W381&gt;0),"ID "&amp;B381,"")</f>
      </c>
      <c r="AC381" s="0">
        <f>IF(AND(ISNUMBER(W381),W381&gt;0),C381,"")</f>
      </c>
      <c r="AD381" s="0">
        <f>IF(AND(ISNUMBER(W381),W381&gt;0),D381,"")</f>
      </c>
      <c r="AE381" s="0">
        <f>IF(AND(ISNUMBER(W381),W381&gt;0),IF(INDEX('PEGAR'!$D$13:$D$512,IF(L381&gt;0,L381,K381))="","Sin descripción",INDEX('PEGAR'!$D$13:$D$512,IF(L381&gt;0,L381,K381))),"")</f>
      </c>
      <c r="AF381" s="0">
        <f>IF(AND(ISNUMBER(W381),W381&gt;0),J381,"")</f>
      </c>
      <c r="AG381" s="0" t="n">
        <f>IF(AND(ISNUMBER(W381),W381&gt;0),W381,0)</f>
        <v>0</v>
      </c>
      <c r="AH381" s="0">
        <f>IF(AG381&gt;0,COUNTIFS($AG$13:AG381,"&gt;0"),"")</f>
      </c>
    </row>
    <row r="382" ht="22" customHeight="1">
      <c r="B382" s="27">
        <f>IF(K382="","",INDEX('PEGAR'!$O$13:$O$512,K382))</f>
      </c>
      <c r="C382" s="30">
        <f>IF(B382="","",IF(LEN(TRIM(INDEX('PEGAR'!$B$13:$B$512,IF(L382&gt;0,L382,K382))&amp;""))=0,"Sin capítulo",TRIM(INDEX('PEGAR'!$B$13:$B$512,IF(L382&gt;0,L382,K382))&amp;"")))</f>
      </c>
      <c r="D382" s="27">
        <f>IF(B382="","",IF(LEN(TRIM(INDEX('PEGAR'!$C$13:$C$512,IF(L382&gt;0,L382,K382))&amp;""))=0,"",TRIM(INDEX('PEGAR'!$C$13:$C$512,IF(L382&gt;0,L382,K382))&amp;"")))</f>
      </c>
      <c r="E382" s="27">
        <f>IF(B382="","",INDEX('PEGAR'!$S$13:$S$512,IF(L382&gt;0,L382,K382)))</f>
      </c>
      <c r="F382" s="39">
        <f>IF(B382="","",IF(L382&gt;0,INDEX('PEGAR'!$F$13:$F$512,L382),""))</f>
      </c>
      <c r="G382" s="39">
        <f>IF(B382="","",IF(OR(M382=0,N382&gt;0,O382&gt;0),"",SUMIFS('PEGAR'!$M$13:$M$512,'PEGAR'!$O$13:$O$512,B382)))</f>
      </c>
      <c r="H382" s="39">
        <f>IF(AND(ISNUMBER(F382),ISNUMBER(G382)),G382-F382,"")</f>
      </c>
      <c r="I382" s="27">
        <f>IF(B382="","",IF(W382=2,"ROJO",IF(W382=1,"ÁMBAR","VERDE")))</f>
      </c>
      <c r="J382" s="30">
        <f>IF(B382="","",IF(W382=0,"Sin avisos numéricos. Revisamos el alcance aparte.",IF(L382=0,"Faltan datos completos de partida; no elegimos un total por suposición."&amp;CHAR(10),"")&amp;IF(N382&gt;0,"Hay filas incompletas o contradictorias; las revisamos en PEGAR."&amp;CHAR(10),"")&amp;IF(O382&gt;0,"Faltan las medidas de alguna fila; no cerramos la suma."&amp;CHAR(10),"")&amp;IF(M382=0,"No constan líneas de medición."&amp;CHAR(10),"")&amp;IF(IF(ISNUMBER(H382),ROUND(ABS(H382),8)&gt;$F$6,FALSE),"Las líneas difieren del total en más de 0,01; confirmamos cantidad o exclusión."&amp;CHAR(10),"")&amp;IF(P382&gt;0,"Parece m³: encontramos tres dimensiones bajo m²."&amp;CHAR(10),"")&amp;IF(R382&gt;0,"Código repetido dentro del capítulo; mantenemos sus ID separados."&amp;CHAR(10),"")&amp;IF(S382&gt;0,"Código repetido en otro capítulo; no unimos las partidas."&amp;CHAR(10),"")&amp;IF(T382&gt;0,"Mismo código con unidades distintas; pedimos aclaración."&amp;CHAR(10),"")&amp;IF(Q382&gt;0,"Hay más precisión que los decimales indicados; cotejamos el formato original."&amp;CHAR(10),"")&amp;IF(U382&gt;0,"Unidad sin normalizar; cotejamos su significado antes de sumar unidades."&amp;CHAR(10),"")&amp;IF(V382&gt;0,"Revisamos dimensiones, cantidades directas, ceros o deducciones en PEGAR."&amp;CHAR(10),"")))</f>
      </c>
      <c r="K382" s="0">
        <f>IF(370&gt;'RESUMEN'!$E$6,"",MATCH(370,'PEGAR'!$W$13:$W$512,0))</f>
      </c>
      <c r="L382" s="0">
        <f>IF(K382="","",INDEX('PEGAR'!$R$13:$R$512,K382))</f>
      </c>
      <c r="M382" s="0">
        <f>IF(B382="","",COUNTIFS('PEGAR'!$O$13:$O$512,B382,'PEGAR'!$P$13:$P$512,"DIMENSIONES")+COUNTIFS('PEGAR'!$O$13:$O$512,B382,'PEGAR'!$P$13:$P$512,"DIRECTA"))</f>
      </c>
      <c r="N382" s="0">
        <f>IF(B382="","",COUNTIFS('PEGAR'!$O$13:$O$512,B382,'PEGAR'!$X$13:$X$512,2))</f>
      </c>
      <c r="O382" s="0">
        <f>IF(B382="","",COUNTIFS('PEGAR'!$O$13:$O$512,B382,'PEGAR'!$P$13:$P$512,"SIN LÍNEAS"))</f>
      </c>
      <c r="P382" s="0">
        <f>IF(B382="","",SUMIFS('PEGAR'!$Y$13:$Y$512,'PEGAR'!$O$13:$O$512,B382))</f>
      </c>
      <c r="Q382" s="0">
        <f>IF(B382="","",SUMIFS('PEGAR'!$Z$13:$Z$512,'PEGAR'!$O$13:$O$512,B382))</f>
      </c>
      <c r="R382" s="0" t="n">
        <f>IF(OR(B382="",D382=""),0,SUMPRODUCT(--($B$13:$B$512&lt;&gt;""),--($D$13:$D$512=D382),--($C$13:$C$512=C382))-1)</f>
        <v>0</v>
      </c>
      <c r="S382" s="0" t="n">
        <f>IF(OR(B382="",D382=""),0,SUMPRODUCT(--($B$13:$B$512&lt;&gt;""),--($D$13:$D$512=D382),--($C$13:$C$512&lt;&gt;C382)))</f>
        <v>0</v>
      </c>
      <c r="T382" s="0" t="n">
        <f>IF(OR(B382="",D382=""),0,SUMPRODUCT(--($B$13:$B$512&lt;&gt;""),--($D$13:$D$512=D382),--($E$13:$E$512&lt;&gt;E382)))</f>
        <v>0</v>
      </c>
      <c r="U382" s="0" t="n">
        <f>IF(B382="",0,IF(SUMPRODUCT(--('LÉEME'!$C$65:$C$86=E382))=0,1,0))</f>
        <v>0</v>
      </c>
      <c r="V382" s="0">
        <f>IF(B382="","",SUMIFS('PEGAR'!$AA$13:$AA$512,'PEGAR'!$O$13:$O$512,B382))</f>
      </c>
      <c r="W382" s="0">
        <f>IF(B382="","",IF(OR(L382=0,N382&gt;0,T382&gt;0,IF(ISNUMBER(H382),ROUND(ABS(H382),8)&gt;$F$6,FALSE)),2,IF(OR(M382=0,O382&gt;0,P382&gt;0,Q382&gt;0,R382&gt;0,S382&gt;0,U382&gt;0,V382&gt;0),1,0)))</f>
      </c>
      <c r="X382" s="0">
        <f>IF(B382="","",IF(ISNUMBER(G382),1,0))</f>
      </c>
      <c r="AB382" s="0">
        <f>IF(AND(ISNUMBER(W382),W382&gt;0),"ID "&amp;B382,"")</f>
      </c>
      <c r="AC382" s="0">
        <f>IF(AND(ISNUMBER(W382),W382&gt;0),C382,"")</f>
      </c>
      <c r="AD382" s="0">
        <f>IF(AND(ISNUMBER(W382),W382&gt;0),D382,"")</f>
      </c>
      <c r="AE382" s="0">
        <f>IF(AND(ISNUMBER(W382),W382&gt;0),IF(INDEX('PEGAR'!$D$13:$D$512,IF(L382&gt;0,L382,K382))="","Sin descripción",INDEX('PEGAR'!$D$13:$D$512,IF(L382&gt;0,L382,K382))),"")</f>
      </c>
      <c r="AF382" s="0">
        <f>IF(AND(ISNUMBER(W382),W382&gt;0),J382,"")</f>
      </c>
      <c r="AG382" s="0" t="n">
        <f>IF(AND(ISNUMBER(W382),W382&gt;0),W382,0)</f>
        <v>0</v>
      </c>
      <c r="AH382" s="0">
        <f>IF(AG382&gt;0,COUNTIFS($AG$13:AG382,"&gt;0"),"")</f>
      </c>
    </row>
    <row r="383" ht="22" customHeight="1">
      <c r="B383" s="27">
        <f>IF(K383="","",INDEX('PEGAR'!$O$13:$O$512,K383))</f>
      </c>
      <c r="C383" s="30">
        <f>IF(B383="","",IF(LEN(TRIM(INDEX('PEGAR'!$B$13:$B$512,IF(L383&gt;0,L383,K383))&amp;""))=0,"Sin capítulo",TRIM(INDEX('PEGAR'!$B$13:$B$512,IF(L383&gt;0,L383,K383))&amp;"")))</f>
      </c>
      <c r="D383" s="27">
        <f>IF(B383="","",IF(LEN(TRIM(INDEX('PEGAR'!$C$13:$C$512,IF(L383&gt;0,L383,K383))&amp;""))=0,"",TRIM(INDEX('PEGAR'!$C$13:$C$512,IF(L383&gt;0,L383,K383))&amp;"")))</f>
      </c>
      <c r="E383" s="27">
        <f>IF(B383="","",INDEX('PEGAR'!$S$13:$S$512,IF(L383&gt;0,L383,K383)))</f>
      </c>
      <c r="F383" s="39">
        <f>IF(B383="","",IF(L383&gt;0,INDEX('PEGAR'!$F$13:$F$512,L383),""))</f>
      </c>
      <c r="G383" s="39">
        <f>IF(B383="","",IF(OR(M383=0,N383&gt;0,O383&gt;0),"",SUMIFS('PEGAR'!$M$13:$M$512,'PEGAR'!$O$13:$O$512,B383)))</f>
      </c>
      <c r="H383" s="39">
        <f>IF(AND(ISNUMBER(F383),ISNUMBER(G383)),G383-F383,"")</f>
      </c>
      <c r="I383" s="27">
        <f>IF(B383="","",IF(W383=2,"ROJO",IF(W383=1,"ÁMBAR","VERDE")))</f>
      </c>
      <c r="J383" s="30">
        <f>IF(B383="","",IF(W383=0,"Sin avisos numéricos. Revisamos el alcance aparte.",IF(L383=0,"Faltan datos completos de partida; no elegimos un total por suposición."&amp;CHAR(10),"")&amp;IF(N383&gt;0,"Hay filas incompletas o contradictorias; las revisamos en PEGAR."&amp;CHAR(10),"")&amp;IF(O383&gt;0,"Faltan las medidas de alguna fila; no cerramos la suma."&amp;CHAR(10),"")&amp;IF(M383=0,"No constan líneas de medición."&amp;CHAR(10),"")&amp;IF(IF(ISNUMBER(H383),ROUND(ABS(H383),8)&gt;$F$6,FALSE),"Las líneas difieren del total en más de 0,01; confirmamos cantidad o exclusión."&amp;CHAR(10),"")&amp;IF(P383&gt;0,"Parece m³: encontramos tres dimensiones bajo m²."&amp;CHAR(10),"")&amp;IF(R383&gt;0,"Código repetido dentro del capítulo; mantenemos sus ID separados."&amp;CHAR(10),"")&amp;IF(S383&gt;0,"Código repetido en otro capítulo; no unimos las partidas."&amp;CHAR(10),"")&amp;IF(T383&gt;0,"Mismo código con unidades distintas; pedimos aclaración."&amp;CHAR(10),"")&amp;IF(Q383&gt;0,"Hay más precisión que los decimales indicados; cotejamos el formato original."&amp;CHAR(10),"")&amp;IF(U383&gt;0,"Unidad sin normalizar; cotejamos su significado antes de sumar unidades."&amp;CHAR(10),"")&amp;IF(V383&gt;0,"Revisamos dimensiones, cantidades directas, ceros o deducciones en PEGAR."&amp;CHAR(10),"")))</f>
      </c>
      <c r="K383" s="0">
        <f>IF(371&gt;'RESUMEN'!$E$6,"",MATCH(371,'PEGAR'!$W$13:$W$512,0))</f>
      </c>
      <c r="L383" s="0">
        <f>IF(K383="","",INDEX('PEGAR'!$R$13:$R$512,K383))</f>
      </c>
      <c r="M383" s="0">
        <f>IF(B383="","",COUNTIFS('PEGAR'!$O$13:$O$512,B383,'PEGAR'!$P$13:$P$512,"DIMENSIONES")+COUNTIFS('PEGAR'!$O$13:$O$512,B383,'PEGAR'!$P$13:$P$512,"DIRECTA"))</f>
      </c>
      <c r="N383" s="0">
        <f>IF(B383="","",COUNTIFS('PEGAR'!$O$13:$O$512,B383,'PEGAR'!$X$13:$X$512,2))</f>
      </c>
      <c r="O383" s="0">
        <f>IF(B383="","",COUNTIFS('PEGAR'!$O$13:$O$512,B383,'PEGAR'!$P$13:$P$512,"SIN LÍNEAS"))</f>
      </c>
      <c r="P383" s="0">
        <f>IF(B383="","",SUMIFS('PEGAR'!$Y$13:$Y$512,'PEGAR'!$O$13:$O$512,B383))</f>
      </c>
      <c r="Q383" s="0">
        <f>IF(B383="","",SUMIFS('PEGAR'!$Z$13:$Z$512,'PEGAR'!$O$13:$O$512,B383))</f>
      </c>
      <c r="R383" s="0" t="n">
        <f>IF(OR(B383="",D383=""),0,SUMPRODUCT(--($B$13:$B$512&lt;&gt;""),--($D$13:$D$512=D383),--($C$13:$C$512=C383))-1)</f>
        <v>0</v>
      </c>
      <c r="S383" s="0" t="n">
        <f>IF(OR(B383="",D383=""),0,SUMPRODUCT(--($B$13:$B$512&lt;&gt;""),--($D$13:$D$512=D383),--($C$13:$C$512&lt;&gt;C383)))</f>
        <v>0</v>
      </c>
      <c r="T383" s="0" t="n">
        <f>IF(OR(B383="",D383=""),0,SUMPRODUCT(--($B$13:$B$512&lt;&gt;""),--($D$13:$D$512=D383),--($E$13:$E$512&lt;&gt;E383)))</f>
        <v>0</v>
      </c>
      <c r="U383" s="0" t="n">
        <f>IF(B383="",0,IF(SUMPRODUCT(--('LÉEME'!$C$65:$C$86=E383))=0,1,0))</f>
        <v>0</v>
      </c>
      <c r="V383" s="0">
        <f>IF(B383="","",SUMIFS('PEGAR'!$AA$13:$AA$512,'PEGAR'!$O$13:$O$512,B383))</f>
      </c>
      <c r="W383" s="0">
        <f>IF(B383="","",IF(OR(L383=0,N383&gt;0,T383&gt;0,IF(ISNUMBER(H383),ROUND(ABS(H383),8)&gt;$F$6,FALSE)),2,IF(OR(M383=0,O383&gt;0,P383&gt;0,Q383&gt;0,R383&gt;0,S383&gt;0,U383&gt;0,V383&gt;0),1,0)))</f>
      </c>
      <c r="X383" s="0">
        <f>IF(B383="","",IF(ISNUMBER(G383),1,0))</f>
      </c>
      <c r="AB383" s="0">
        <f>IF(AND(ISNUMBER(W383),W383&gt;0),"ID "&amp;B383,"")</f>
      </c>
      <c r="AC383" s="0">
        <f>IF(AND(ISNUMBER(W383),W383&gt;0),C383,"")</f>
      </c>
      <c r="AD383" s="0">
        <f>IF(AND(ISNUMBER(W383),W383&gt;0),D383,"")</f>
      </c>
      <c r="AE383" s="0">
        <f>IF(AND(ISNUMBER(W383),W383&gt;0),IF(INDEX('PEGAR'!$D$13:$D$512,IF(L383&gt;0,L383,K383))="","Sin descripción",INDEX('PEGAR'!$D$13:$D$512,IF(L383&gt;0,L383,K383))),"")</f>
      </c>
      <c r="AF383" s="0">
        <f>IF(AND(ISNUMBER(W383),W383&gt;0),J383,"")</f>
      </c>
      <c r="AG383" s="0" t="n">
        <f>IF(AND(ISNUMBER(W383),W383&gt;0),W383,0)</f>
        <v>0</v>
      </c>
      <c r="AH383" s="0">
        <f>IF(AG383&gt;0,COUNTIFS($AG$13:AG383,"&gt;0"),"")</f>
      </c>
    </row>
    <row r="384" ht="22" customHeight="1">
      <c r="B384" s="27">
        <f>IF(K384="","",INDEX('PEGAR'!$O$13:$O$512,K384))</f>
      </c>
      <c r="C384" s="30">
        <f>IF(B384="","",IF(LEN(TRIM(INDEX('PEGAR'!$B$13:$B$512,IF(L384&gt;0,L384,K384))&amp;""))=0,"Sin capítulo",TRIM(INDEX('PEGAR'!$B$13:$B$512,IF(L384&gt;0,L384,K384))&amp;"")))</f>
      </c>
      <c r="D384" s="27">
        <f>IF(B384="","",IF(LEN(TRIM(INDEX('PEGAR'!$C$13:$C$512,IF(L384&gt;0,L384,K384))&amp;""))=0,"",TRIM(INDEX('PEGAR'!$C$13:$C$512,IF(L384&gt;0,L384,K384))&amp;"")))</f>
      </c>
      <c r="E384" s="27">
        <f>IF(B384="","",INDEX('PEGAR'!$S$13:$S$512,IF(L384&gt;0,L384,K384)))</f>
      </c>
      <c r="F384" s="39">
        <f>IF(B384="","",IF(L384&gt;0,INDEX('PEGAR'!$F$13:$F$512,L384),""))</f>
      </c>
      <c r="G384" s="39">
        <f>IF(B384="","",IF(OR(M384=0,N384&gt;0,O384&gt;0),"",SUMIFS('PEGAR'!$M$13:$M$512,'PEGAR'!$O$13:$O$512,B384)))</f>
      </c>
      <c r="H384" s="39">
        <f>IF(AND(ISNUMBER(F384),ISNUMBER(G384)),G384-F384,"")</f>
      </c>
      <c r="I384" s="27">
        <f>IF(B384="","",IF(W384=2,"ROJO",IF(W384=1,"ÁMBAR","VERDE")))</f>
      </c>
      <c r="J384" s="30">
        <f>IF(B384="","",IF(W384=0,"Sin avisos numéricos. Revisamos el alcance aparte.",IF(L384=0,"Faltan datos completos de partida; no elegimos un total por suposición."&amp;CHAR(10),"")&amp;IF(N384&gt;0,"Hay filas incompletas o contradictorias; las revisamos en PEGAR."&amp;CHAR(10),"")&amp;IF(O384&gt;0,"Faltan las medidas de alguna fila; no cerramos la suma."&amp;CHAR(10),"")&amp;IF(M384=0,"No constan líneas de medición."&amp;CHAR(10),"")&amp;IF(IF(ISNUMBER(H384),ROUND(ABS(H384),8)&gt;$F$6,FALSE),"Las líneas difieren del total en más de 0,01; confirmamos cantidad o exclusión."&amp;CHAR(10),"")&amp;IF(P384&gt;0,"Parece m³: encontramos tres dimensiones bajo m²."&amp;CHAR(10),"")&amp;IF(R384&gt;0,"Código repetido dentro del capítulo; mantenemos sus ID separados."&amp;CHAR(10),"")&amp;IF(S384&gt;0,"Código repetido en otro capítulo; no unimos las partidas."&amp;CHAR(10),"")&amp;IF(T384&gt;0,"Mismo código con unidades distintas; pedimos aclaración."&amp;CHAR(10),"")&amp;IF(Q384&gt;0,"Hay más precisión que los decimales indicados; cotejamos el formato original."&amp;CHAR(10),"")&amp;IF(U384&gt;0,"Unidad sin normalizar; cotejamos su significado antes de sumar unidades."&amp;CHAR(10),"")&amp;IF(V384&gt;0,"Revisamos dimensiones, cantidades directas, ceros o deducciones en PEGAR."&amp;CHAR(10),"")))</f>
      </c>
      <c r="K384" s="0">
        <f>IF(372&gt;'RESUMEN'!$E$6,"",MATCH(372,'PEGAR'!$W$13:$W$512,0))</f>
      </c>
      <c r="L384" s="0">
        <f>IF(K384="","",INDEX('PEGAR'!$R$13:$R$512,K384))</f>
      </c>
      <c r="M384" s="0">
        <f>IF(B384="","",COUNTIFS('PEGAR'!$O$13:$O$512,B384,'PEGAR'!$P$13:$P$512,"DIMENSIONES")+COUNTIFS('PEGAR'!$O$13:$O$512,B384,'PEGAR'!$P$13:$P$512,"DIRECTA"))</f>
      </c>
      <c r="N384" s="0">
        <f>IF(B384="","",COUNTIFS('PEGAR'!$O$13:$O$512,B384,'PEGAR'!$X$13:$X$512,2))</f>
      </c>
      <c r="O384" s="0">
        <f>IF(B384="","",COUNTIFS('PEGAR'!$O$13:$O$512,B384,'PEGAR'!$P$13:$P$512,"SIN LÍNEAS"))</f>
      </c>
      <c r="P384" s="0">
        <f>IF(B384="","",SUMIFS('PEGAR'!$Y$13:$Y$512,'PEGAR'!$O$13:$O$512,B384))</f>
      </c>
      <c r="Q384" s="0">
        <f>IF(B384="","",SUMIFS('PEGAR'!$Z$13:$Z$512,'PEGAR'!$O$13:$O$512,B384))</f>
      </c>
      <c r="R384" s="0" t="n">
        <f>IF(OR(B384="",D384=""),0,SUMPRODUCT(--($B$13:$B$512&lt;&gt;""),--($D$13:$D$512=D384),--($C$13:$C$512=C384))-1)</f>
        <v>0</v>
      </c>
      <c r="S384" s="0" t="n">
        <f>IF(OR(B384="",D384=""),0,SUMPRODUCT(--($B$13:$B$512&lt;&gt;""),--($D$13:$D$512=D384),--($C$13:$C$512&lt;&gt;C384)))</f>
        <v>0</v>
      </c>
      <c r="T384" s="0" t="n">
        <f>IF(OR(B384="",D384=""),0,SUMPRODUCT(--($B$13:$B$512&lt;&gt;""),--($D$13:$D$512=D384),--($E$13:$E$512&lt;&gt;E384)))</f>
        <v>0</v>
      </c>
      <c r="U384" s="0" t="n">
        <f>IF(B384="",0,IF(SUMPRODUCT(--('LÉEME'!$C$65:$C$86=E384))=0,1,0))</f>
        <v>0</v>
      </c>
      <c r="V384" s="0">
        <f>IF(B384="","",SUMIFS('PEGAR'!$AA$13:$AA$512,'PEGAR'!$O$13:$O$512,B384))</f>
      </c>
      <c r="W384" s="0">
        <f>IF(B384="","",IF(OR(L384=0,N384&gt;0,T384&gt;0,IF(ISNUMBER(H384),ROUND(ABS(H384),8)&gt;$F$6,FALSE)),2,IF(OR(M384=0,O384&gt;0,P384&gt;0,Q384&gt;0,R384&gt;0,S384&gt;0,U384&gt;0,V384&gt;0),1,0)))</f>
      </c>
      <c r="X384" s="0">
        <f>IF(B384="","",IF(ISNUMBER(G384),1,0))</f>
      </c>
      <c r="AB384" s="0">
        <f>IF(AND(ISNUMBER(W384),W384&gt;0),"ID "&amp;B384,"")</f>
      </c>
      <c r="AC384" s="0">
        <f>IF(AND(ISNUMBER(W384),W384&gt;0),C384,"")</f>
      </c>
      <c r="AD384" s="0">
        <f>IF(AND(ISNUMBER(W384),W384&gt;0),D384,"")</f>
      </c>
      <c r="AE384" s="0">
        <f>IF(AND(ISNUMBER(W384),W384&gt;0),IF(INDEX('PEGAR'!$D$13:$D$512,IF(L384&gt;0,L384,K384))="","Sin descripción",INDEX('PEGAR'!$D$13:$D$512,IF(L384&gt;0,L384,K384))),"")</f>
      </c>
      <c r="AF384" s="0">
        <f>IF(AND(ISNUMBER(W384),W384&gt;0),J384,"")</f>
      </c>
      <c r="AG384" s="0" t="n">
        <f>IF(AND(ISNUMBER(W384),W384&gt;0),W384,0)</f>
        <v>0</v>
      </c>
      <c r="AH384" s="0">
        <f>IF(AG384&gt;0,COUNTIFS($AG$13:AG384,"&gt;0"),"")</f>
      </c>
    </row>
    <row r="385" ht="22" customHeight="1">
      <c r="B385" s="27">
        <f>IF(K385="","",INDEX('PEGAR'!$O$13:$O$512,K385))</f>
      </c>
      <c r="C385" s="30">
        <f>IF(B385="","",IF(LEN(TRIM(INDEX('PEGAR'!$B$13:$B$512,IF(L385&gt;0,L385,K385))&amp;""))=0,"Sin capítulo",TRIM(INDEX('PEGAR'!$B$13:$B$512,IF(L385&gt;0,L385,K385))&amp;"")))</f>
      </c>
      <c r="D385" s="27">
        <f>IF(B385="","",IF(LEN(TRIM(INDEX('PEGAR'!$C$13:$C$512,IF(L385&gt;0,L385,K385))&amp;""))=0,"",TRIM(INDEX('PEGAR'!$C$13:$C$512,IF(L385&gt;0,L385,K385))&amp;"")))</f>
      </c>
      <c r="E385" s="27">
        <f>IF(B385="","",INDEX('PEGAR'!$S$13:$S$512,IF(L385&gt;0,L385,K385)))</f>
      </c>
      <c r="F385" s="39">
        <f>IF(B385="","",IF(L385&gt;0,INDEX('PEGAR'!$F$13:$F$512,L385),""))</f>
      </c>
      <c r="G385" s="39">
        <f>IF(B385="","",IF(OR(M385=0,N385&gt;0,O385&gt;0),"",SUMIFS('PEGAR'!$M$13:$M$512,'PEGAR'!$O$13:$O$512,B385)))</f>
      </c>
      <c r="H385" s="39">
        <f>IF(AND(ISNUMBER(F385),ISNUMBER(G385)),G385-F385,"")</f>
      </c>
      <c r="I385" s="27">
        <f>IF(B385="","",IF(W385=2,"ROJO",IF(W385=1,"ÁMBAR","VERDE")))</f>
      </c>
      <c r="J385" s="30">
        <f>IF(B385="","",IF(W385=0,"Sin avisos numéricos. Revisamos el alcance aparte.",IF(L385=0,"Faltan datos completos de partida; no elegimos un total por suposición."&amp;CHAR(10),"")&amp;IF(N385&gt;0,"Hay filas incompletas o contradictorias; las revisamos en PEGAR."&amp;CHAR(10),"")&amp;IF(O385&gt;0,"Faltan las medidas de alguna fila; no cerramos la suma."&amp;CHAR(10),"")&amp;IF(M385=0,"No constan líneas de medición."&amp;CHAR(10),"")&amp;IF(IF(ISNUMBER(H385),ROUND(ABS(H385),8)&gt;$F$6,FALSE),"Las líneas difieren del total en más de 0,01; confirmamos cantidad o exclusión."&amp;CHAR(10),"")&amp;IF(P385&gt;0,"Parece m³: encontramos tres dimensiones bajo m²."&amp;CHAR(10),"")&amp;IF(R385&gt;0,"Código repetido dentro del capítulo; mantenemos sus ID separados."&amp;CHAR(10),"")&amp;IF(S385&gt;0,"Código repetido en otro capítulo; no unimos las partidas."&amp;CHAR(10),"")&amp;IF(T385&gt;0,"Mismo código con unidades distintas; pedimos aclaración."&amp;CHAR(10),"")&amp;IF(Q385&gt;0,"Hay más precisión que los decimales indicados; cotejamos el formato original."&amp;CHAR(10),"")&amp;IF(U385&gt;0,"Unidad sin normalizar; cotejamos su significado antes de sumar unidades."&amp;CHAR(10),"")&amp;IF(V385&gt;0,"Revisamos dimensiones, cantidades directas, ceros o deducciones en PEGAR."&amp;CHAR(10),"")))</f>
      </c>
      <c r="K385" s="0">
        <f>IF(373&gt;'RESUMEN'!$E$6,"",MATCH(373,'PEGAR'!$W$13:$W$512,0))</f>
      </c>
      <c r="L385" s="0">
        <f>IF(K385="","",INDEX('PEGAR'!$R$13:$R$512,K385))</f>
      </c>
      <c r="M385" s="0">
        <f>IF(B385="","",COUNTIFS('PEGAR'!$O$13:$O$512,B385,'PEGAR'!$P$13:$P$512,"DIMENSIONES")+COUNTIFS('PEGAR'!$O$13:$O$512,B385,'PEGAR'!$P$13:$P$512,"DIRECTA"))</f>
      </c>
      <c r="N385" s="0">
        <f>IF(B385="","",COUNTIFS('PEGAR'!$O$13:$O$512,B385,'PEGAR'!$X$13:$X$512,2))</f>
      </c>
      <c r="O385" s="0">
        <f>IF(B385="","",COUNTIFS('PEGAR'!$O$13:$O$512,B385,'PEGAR'!$P$13:$P$512,"SIN LÍNEAS"))</f>
      </c>
      <c r="P385" s="0">
        <f>IF(B385="","",SUMIFS('PEGAR'!$Y$13:$Y$512,'PEGAR'!$O$13:$O$512,B385))</f>
      </c>
      <c r="Q385" s="0">
        <f>IF(B385="","",SUMIFS('PEGAR'!$Z$13:$Z$512,'PEGAR'!$O$13:$O$512,B385))</f>
      </c>
      <c r="R385" s="0" t="n">
        <f>IF(OR(B385="",D385=""),0,SUMPRODUCT(--($B$13:$B$512&lt;&gt;""),--($D$13:$D$512=D385),--($C$13:$C$512=C385))-1)</f>
        <v>0</v>
      </c>
      <c r="S385" s="0" t="n">
        <f>IF(OR(B385="",D385=""),0,SUMPRODUCT(--($B$13:$B$512&lt;&gt;""),--($D$13:$D$512=D385),--($C$13:$C$512&lt;&gt;C385)))</f>
        <v>0</v>
      </c>
      <c r="T385" s="0" t="n">
        <f>IF(OR(B385="",D385=""),0,SUMPRODUCT(--($B$13:$B$512&lt;&gt;""),--($D$13:$D$512=D385),--($E$13:$E$512&lt;&gt;E385)))</f>
        <v>0</v>
      </c>
      <c r="U385" s="0" t="n">
        <f>IF(B385="",0,IF(SUMPRODUCT(--('LÉEME'!$C$65:$C$86=E385))=0,1,0))</f>
        <v>0</v>
      </c>
      <c r="V385" s="0">
        <f>IF(B385="","",SUMIFS('PEGAR'!$AA$13:$AA$512,'PEGAR'!$O$13:$O$512,B385))</f>
      </c>
      <c r="W385" s="0">
        <f>IF(B385="","",IF(OR(L385=0,N385&gt;0,T385&gt;0,IF(ISNUMBER(H385),ROUND(ABS(H385),8)&gt;$F$6,FALSE)),2,IF(OR(M385=0,O385&gt;0,P385&gt;0,Q385&gt;0,R385&gt;0,S385&gt;0,U385&gt;0,V385&gt;0),1,0)))</f>
      </c>
      <c r="X385" s="0">
        <f>IF(B385="","",IF(ISNUMBER(G385),1,0))</f>
      </c>
      <c r="AB385" s="0">
        <f>IF(AND(ISNUMBER(W385),W385&gt;0),"ID "&amp;B385,"")</f>
      </c>
      <c r="AC385" s="0">
        <f>IF(AND(ISNUMBER(W385),W385&gt;0),C385,"")</f>
      </c>
      <c r="AD385" s="0">
        <f>IF(AND(ISNUMBER(W385),W385&gt;0),D385,"")</f>
      </c>
      <c r="AE385" s="0">
        <f>IF(AND(ISNUMBER(W385),W385&gt;0),IF(INDEX('PEGAR'!$D$13:$D$512,IF(L385&gt;0,L385,K385))="","Sin descripción",INDEX('PEGAR'!$D$13:$D$512,IF(L385&gt;0,L385,K385))),"")</f>
      </c>
      <c r="AF385" s="0">
        <f>IF(AND(ISNUMBER(W385),W385&gt;0),J385,"")</f>
      </c>
      <c r="AG385" s="0" t="n">
        <f>IF(AND(ISNUMBER(W385),W385&gt;0),W385,0)</f>
        <v>0</v>
      </c>
      <c r="AH385" s="0">
        <f>IF(AG385&gt;0,COUNTIFS($AG$13:AG385,"&gt;0"),"")</f>
      </c>
    </row>
    <row r="386" ht="22" customHeight="1">
      <c r="B386" s="27">
        <f>IF(K386="","",INDEX('PEGAR'!$O$13:$O$512,K386))</f>
      </c>
      <c r="C386" s="30">
        <f>IF(B386="","",IF(LEN(TRIM(INDEX('PEGAR'!$B$13:$B$512,IF(L386&gt;0,L386,K386))&amp;""))=0,"Sin capítulo",TRIM(INDEX('PEGAR'!$B$13:$B$512,IF(L386&gt;0,L386,K386))&amp;"")))</f>
      </c>
      <c r="D386" s="27">
        <f>IF(B386="","",IF(LEN(TRIM(INDEX('PEGAR'!$C$13:$C$512,IF(L386&gt;0,L386,K386))&amp;""))=0,"",TRIM(INDEX('PEGAR'!$C$13:$C$512,IF(L386&gt;0,L386,K386))&amp;"")))</f>
      </c>
      <c r="E386" s="27">
        <f>IF(B386="","",INDEX('PEGAR'!$S$13:$S$512,IF(L386&gt;0,L386,K386)))</f>
      </c>
      <c r="F386" s="39">
        <f>IF(B386="","",IF(L386&gt;0,INDEX('PEGAR'!$F$13:$F$512,L386),""))</f>
      </c>
      <c r="G386" s="39">
        <f>IF(B386="","",IF(OR(M386=0,N386&gt;0,O386&gt;0),"",SUMIFS('PEGAR'!$M$13:$M$512,'PEGAR'!$O$13:$O$512,B386)))</f>
      </c>
      <c r="H386" s="39">
        <f>IF(AND(ISNUMBER(F386),ISNUMBER(G386)),G386-F386,"")</f>
      </c>
      <c r="I386" s="27">
        <f>IF(B386="","",IF(W386=2,"ROJO",IF(W386=1,"ÁMBAR","VERDE")))</f>
      </c>
      <c r="J386" s="30">
        <f>IF(B386="","",IF(W386=0,"Sin avisos numéricos. Revisamos el alcance aparte.",IF(L386=0,"Faltan datos completos de partida; no elegimos un total por suposición."&amp;CHAR(10),"")&amp;IF(N386&gt;0,"Hay filas incompletas o contradictorias; las revisamos en PEGAR."&amp;CHAR(10),"")&amp;IF(O386&gt;0,"Faltan las medidas de alguna fila; no cerramos la suma."&amp;CHAR(10),"")&amp;IF(M386=0,"No constan líneas de medición."&amp;CHAR(10),"")&amp;IF(IF(ISNUMBER(H386),ROUND(ABS(H386),8)&gt;$F$6,FALSE),"Las líneas difieren del total en más de 0,01; confirmamos cantidad o exclusión."&amp;CHAR(10),"")&amp;IF(P386&gt;0,"Parece m³: encontramos tres dimensiones bajo m²."&amp;CHAR(10),"")&amp;IF(R386&gt;0,"Código repetido dentro del capítulo; mantenemos sus ID separados."&amp;CHAR(10),"")&amp;IF(S386&gt;0,"Código repetido en otro capítulo; no unimos las partidas."&amp;CHAR(10),"")&amp;IF(T386&gt;0,"Mismo código con unidades distintas; pedimos aclaración."&amp;CHAR(10),"")&amp;IF(Q386&gt;0,"Hay más precisión que los decimales indicados; cotejamos el formato original."&amp;CHAR(10),"")&amp;IF(U386&gt;0,"Unidad sin normalizar; cotejamos su significado antes de sumar unidades."&amp;CHAR(10),"")&amp;IF(V386&gt;0,"Revisamos dimensiones, cantidades directas, ceros o deducciones en PEGAR."&amp;CHAR(10),"")))</f>
      </c>
      <c r="K386" s="0">
        <f>IF(374&gt;'RESUMEN'!$E$6,"",MATCH(374,'PEGAR'!$W$13:$W$512,0))</f>
      </c>
      <c r="L386" s="0">
        <f>IF(K386="","",INDEX('PEGAR'!$R$13:$R$512,K386))</f>
      </c>
      <c r="M386" s="0">
        <f>IF(B386="","",COUNTIFS('PEGAR'!$O$13:$O$512,B386,'PEGAR'!$P$13:$P$512,"DIMENSIONES")+COUNTIFS('PEGAR'!$O$13:$O$512,B386,'PEGAR'!$P$13:$P$512,"DIRECTA"))</f>
      </c>
      <c r="N386" s="0">
        <f>IF(B386="","",COUNTIFS('PEGAR'!$O$13:$O$512,B386,'PEGAR'!$X$13:$X$512,2))</f>
      </c>
      <c r="O386" s="0">
        <f>IF(B386="","",COUNTIFS('PEGAR'!$O$13:$O$512,B386,'PEGAR'!$P$13:$P$512,"SIN LÍNEAS"))</f>
      </c>
      <c r="P386" s="0">
        <f>IF(B386="","",SUMIFS('PEGAR'!$Y$13:$Y$512,'PEGAR'!$O$13:$O$512,B386))</f>
      </c>
      <c r="Q386" s="0">
        <f>IF(B386="","",SUMIFS('PEGAR'!$Z$13:$Z$512,'PEGAR'!$O$13:$O$512,B386))</f>
      </c>
      <c r="R386" s="0" t="n">
        <f>IF(OR(B386="",D386=""),0,SUMPRODUCT(--($B$13:$B$512&lt;&gt;""),--($D$13:$D$512=D386),--($C$13:$C$512=C386))-1)</f>
        <v>0</v>
      </c>
      <c r="S386" s="0" t="n">
        <f>IF(OR(B386="",D386=""),0,SUMPRODUCT(--($B$13:$B$512&lt;&gt;""),--($D$13:$D$512=D386),--($C$13:$C$512&lt;&gt;C386)))</f>
        <v>0</v>
      </c>
      <c r="T386" s="0" t="n">
        <f>IF(OR(B386="",D386=""),0,SUMPRODUCT(--($B$13:$B$512&lt;&gt;""),--($D$13:$D$512=D386),--($E$13:$E$512&lt;&gt;E386)))</f>
        <v>0</v>
      </c>
      <c r="U386" s="0" t="n">
        <f>IF(B386="",0,IF(SUMPRODUCT(--('LÉEME'!$C$65:$C$86=E386))=0,1,0))</f>
        <v>0</v>
      </c>
      <c r="V386" s="0">
        <f>IF(B386="","",SUMIFS('PEGAR'!$AA$13:$AA$512,'PEGAR'!$O$13:$O$512,B386))</f>
      </c>
      <c r="W386" s="0">
        <f>IF(B386="","",IF(OR(L386=0,N386&gt;0,T386&gt;0,IF(ISNUMBER(H386),ROUND(ABS(H386),8)&gt;$F$6,FALSE)),2,IF(OR(M386=0,O386&gt;0,P386&gt;0,Q386&gt;0,R386&gt;0,S386&gt;0,U386&gt;0,V386&gt;0),1,0)))</f>
      </c>
      <c r="X386" s="0">
        <f>IF(B386="","",IF(ISNUMBER(G386),1,0))</f>
      </c>
      <c r="AB386" s="0">
        <f>IF(AND(ISNUMBER(W386),W386&gt;0),"ID "&amp;B386,"")</f>
      </c>
      <c r="AC386" s="0">
        <f>IF(AND(ISNUMBER(W386),W386&gt;0),C386,"")</f>
      </c>
      <c r="AD386" s="0">
        <f>IF(AND(ISNUMBER(W386),W386&gt;0),D386,"")</f>
      </c>
      <c r="AE386" s="0">
        <f>IF(AND(ISNUMBER(W386),W386&gt;0),IF(INDEX('PEGAR'!$D$13:$D$512,IF(L386&gt;0,L386,K386))="","Sin descripción",INDEX('PEGAR'!$D$13:$D$512,IF(L386&gt;0,L386,K386))),"")</f>
      </c>
      <c r="AF386" s="0">
        <f>IF(AND(ISNUMBER(W386),W386&gt;0),J386,"")</f>
      </c>
      <c r="AG386" s="0" t="n">
        <f>IF(AND(ISNUMBER(W386),W386&gt;0),W386,0)</f>
        <v>0</v>
      </c>
      <c r="AH386" s="0">
        <f>IF(AG386&gt;0,COUNTIFS($AG$13:AG386,"&gt;0"),"")</f>
      </c>
    </row>
    <row r="387" ht="22" customHeight="1">
      <c r="B387" s="27">
        <f>IF(K387="","",INDEX('PEGAR'!$O$13:$O$512,K387))</f>
      </c>
      <c r="C387" s="30">
        <f>IF(B387="","",IF(LEN(TRIM(INDEX('PEGAR'!$B$13:$B$512,IF(L387&gt;0,L387,K387))&amp;""))=0,"Sin capítulo",TRIM(INDEX('PEGAR'!$B$13:$B$512,IF(L387&gt;0,L387,K387))&amp;"")))</f>
      </c>
      <c r="D387" s="27">
        <f>IF(B387="","",IF(LEN(TRIM(INDEX('PEGAR'!$C$13:$C$512,IF(L387&gt;0,L387,K387))&amp;""))=0,"",TRIM(INDEX('PEGAR'!$C$13:$C$512,IF(L387&gt;0,L387,K387))&amp;"")))</f>
      </c>
      <c r="E387" s="27">
        <f>IF(B387="","",INDEX('PEGAR'!$S$13:$S$512,IF(L387&gt;0,L387,K387)))</f>
      </c>
      <c r="F387" s="39">
        <f>IF(B387="","",IF(L387&gt;0,INDEX('PEGAR'!$F$13:$F$512,L387),""))</f>
      </c>
      <c r="G387" s="39">
        <f>IF(B387="","",IF(OR(M387=0,N387&gt;0,O387&gt;0),"",SUMIFS('PEGAR'!$M$13:$M$512,'PEGAR'!$O$13:$O$512,B387)))</f>
      </c>
      <c r="H387" s="39">
        <f>IF(AND(ISNUMBER(F387),ISNUMBER(G387)),G387-F387,"")</f>
      </c>
      <c r="I387" s="27">
        <f>IF(B387="","",IF(W387=2,"ROJO",IF(W387=1,"ÁMBAR","VERDE")))</f>
      </c>
      <c r="J387" s="30">
        <f>IF(B387="","",IF(W387=0,"Sin avisos numéricos. Revisamos el alcance aparte.",IF(L387=0,"Faltan datos completos de partida; no elegimos un total por suposición."&amp;CHAR(10),"")&amp;IF(N387&gt;0,"Hay filas incompletas o contradictorias; las revisamos en PEGAR."&amp;CHAR(10),"")&amp;IF(O387&gt;0,"Faltan las medidas de alguna fila; no cerramos la suma."&amp;CHAR(10),"")&amp;IF(M387=0,"No constan líneas de medición."&amp;CHAR(10),"")&amp;IF(IF(ISNUMBER(H387),ROUND(ABS(H387),8)&gt;$F$6,FALSE),"Las líneas difieren del total en más de 0,01; confirmamos cantidad o exclusión."&amp;CHAR(10),"")&amp;IF(P387&gt;0,"Parece m³: encontramos tres dimensiones bajo m²."&amp;CHAR(10),"")&amp;IF(R387&gt;0,"Código repetido dentro del capítulo; mantenemos sus ID separados."&amp;CHAR(10),"")&amp;IF(S387&gt;0,"Código repetido en otro capítulo; no unimos las partidas."&amp;CHAR(10),"")&amp;IF(T387&gt;0,"Mismo código con unidades distintas; pedimos aclaración."&amp;CHAR(10),"")&amp;IF(Q387&gt;0,"Hay más precisión que los decimales indicados; cotejamos el formato original."&amp;CHAR(10),"")&amp;IF(U387&gt;0,"Unidad sin normalizar; cotejamos su significado antes de sumar unidades."&amp;CHAR(10),"")&amp;IF(V387&gt;0,"Revisamos dimensiones, cantidades directas, ceros o deducciones en PEGAR."&amp;CHAR(10),"")))</f>
      </c>
      <c r="K387" s="0">
        <f>IF(375&gt;'RESUMEN'!$E$6,"",MATCH(375,'PEGAR'!$W$13:$W$512,0))</f>
      </c>
      <c r="L387" s="0">
        <f>IF(K387="","",INDEX('PEGAR'!$R$13:$R$512,K387))</f>
      </c>
      <c r="M387" s="0">
        <f>IF(B387="","",COUNTIFS('PEGAR'!$O$13:$O$512,B387,'PEGAR'!$P$13:$P$512,"DIMENSIONES")+COUNTIFS('PEGAR'!$O$13:$O$512,B387,'PEGAR'!$P$13:$P$512,"DIRECTA"))</f>
      </c>
      <c r="N387" s="0">
        <f>IF(B387="","",COUNTIFS('PEGAR'!$O$13:$O$512,B387,'PEGAR'!$X$13:$X$512,2))</f>
      </c>
      <c r="O387" s="0">
        <f>IF(B387="","",COUNTIFS('PEGAR'!$O$13:$O$512,B387,'PEGAR'!$P$13:$P$512,"SIN LÍNEAS"))</f>
      </c>
      <c r="P387" s="0">
        <f>IF(B387="","",SUMIFS('PEGAR'!$Y$13:$Y$512,'PEGAR'!$O$13:$O$512,B387))</f>
      </c>
      <c r="Q387" s="0">
        <f>IF(B387="","",SUMIFS('PEGAR'!$Z$13:$Z$512,'PEGAR'!$O$13:$O$512,B387))</f>
      </c>
      <c r="R387" s="0" t="n">
        <f>IF(OR(B387="",D387=""),0,SUMPRODUCT(--($B$13:$B$512&lt;&gt;""),--($D$13:$D$512=D387),--($C$13:$C$512=C387))-1)</f>
        <v>0</v>
      </c>
      <c r="S387" s="0" t="n">
        <f>IF(OR(B387="",D387=""),0,SUMPRODUCT(--($B$13:$B$512&lt;&gt;""),--($D$13:$D$512=D387),--($C$13:$C$512&lt;&gt;C387)))</f>
        <v>0</v>
      </c>
      <c r="T387" s="0" t="n">
        <f>IF(OR(B387="",D387=""),0,SUMPRODUCT(--($B$13:$B$512&lt;&gt;""),--($D$13:$D$512=D387),--($E$13:$E$512&lt;&gt;E387)))</f>
        <v>0</v>
      </c>
      <c r="U387" s="0" t="n">
        <f>IF(B387="",0,IF(SUMPRODUCT(--('LÉEME'!$C$65:$C$86=E387))=0,1,0))</f>
        <v>0</v>
      </c>
      <c r="V387" s="0">
        <f>IF(B387="","",SUMIFS('PEGAR'!$AA$13:$AA$512,'PEGAR'!$O$13:$O$512,B387))</f>
      </c>
      <c r="W387" s="0">
        <f>IF(B387="","",IF(OR(L387=0,N387&gt;0,T387&gt;0,IF(ISNUMBER(H387),ROUND(ABS(H387),8)&gt;$F$6,FALSE)),2,IF(OR(M387=0,O387&gt;0,P387&gt;0,Q387&gt;0,R387&gt;0,S387&gt;0,U387&gt;0,V387&gt;0),1,0)))</f>
      </c>
      <c r="X387" s="0">
        <f>IF(B387="","",IF(ISNUMBER(G387),1,0))</f>
      </c>
      <c r="AB387" s="0">
        <f>IF(AND(ISNUMBER(W387),W387&gt;0),"ID "&amp;B387,"")</f>
      </c>
      <c r="AC387" s="0">
        <f>IF(AND(ISNUMBER(W387),W387&gt;0),C387,"")</f>
      </c>
      <c r="AD387" s="0">
        <f>IF(AND(ISNUMBER(W387),W387&gt;0),D387,"")</f>
      </c>
      <c r="AE387" s="0">
        <f>IF(AND(ISNUMBER(W387),W387&gt;0),IF(INDEX('PEGAR'!$D$13:$D$512,IF(L387&gt;0,L387,K387))="","Sin descripción",INDEX('PEGAR'!$D$13:$D$512,IF(L387&gt;0,L387,K387))),"")</f>
      </c>
      <c r="AF387" s="0">
        <f>IF(AND(ISNUMBER(W387),W387&gt;0),J387,"")</f>
      </c>
      <c r="AG387" s="0" t="n">
        <f>IF(AND(ISNUMBER(W387),W387&gt;0),W387,0)</f>
        <v>0</v>
      </c>
      <c r="AH387" s="0">
        <f>IF(AG387&gt;0,COUNTIFS($AG$13:AG387,"&gt;0"),"")</f>
      </c>
    </row>
    <row r="388" ht="22" customHeight="1">
      <c r="B388" s="27">
        <f>IF(K388="","",INDEX('PEGAR'!$O$13:$O$512,K388))</f>
      </c>
      <c r="C388" s="30">
        <f>IF(B388="","",IF(LEN(TRIM(INDEX('PEGAR'!$B$13:$B$512,IF(L388&gt;0,L388,K388))&amp;""))=0,"Sin capítulo",TRIM(INDEX('PEGAR'!$B$13:$B$512,IF(L388&gt;0,L388,K388))&amp;"")))</f>
      </c>
      <c r="D388" s="27">
        <f>IF(B388="","",IF(LEN(TRIM(INDEX('PEGAR'!$C$13:$C$512,IF(L388&gt;0,L388,K388))&amp;""))=0,"",TRIM(INDEX('PEGAR'!$C$13:$C$512,IF(L388&gt;0,L388,K388))&amp;"")))</f>
      </c>
      <c r="E388" s="27">
        <f>IF(B388="","",INDEX('PEGAR'!$S$13:$S$512,IF(L388&gt;0,L388,K388)))</f>
      </c>
      <c r="F388" s="39">
        <f>IF(B388="","",IF(L388&gt;0,INDEX('PEGAR'!$F$13:$F$512,L388),""))</f>
      </c>
      <c r="G388" s="39">
        <f>IF(B388="","",IF(OR(M388=0,N388&gt;0,O388&gt;0),"",SUMIFS('PEGAR'!$M$13:$M$512,'PEGAR'!$O$13:$O$512,B388)))</f>
      </c>
      <c r="H388" s="39">
        <f>IF(AND(ISNUMBER(F388),ISNUMBER(G388)),G388-F388,"")</f>
      </c>
      <c r="I388" s="27">
        <f>IF(B388="","",IF(W388=2,"ROJO",IF(W388=1,"ÁMBAR","VERDE")))</f>
      </c>
      <c r="J388" s="30">
        <f>IF(B388="","",IF(W388=0,"Sin avisos numéricos. Revisamos el alcance aparte.",IF(L388=0,"Faltan datos completos de partida; no elegimos un total por suposición."&amp;CHAR(10),"")&amp;IF(N388&gt;0,"Hay filas incompletas o contradictorias; las revisamos en PEGAR."&amp;CHAR(10),"")&amp;IF(O388&gt;0,"Faltan las medidas de alguna fila; no cerramos la suma."&amp;CHAR(10),"")&amp;IF(M388=0,"No constan líneas de medición."&amp;CHAR(10),"")&amp;IF(IF(ISNUMBER(H388),ROUND(ABS(H388),8)&gt;$F$6,FALSE),"Las líneas difieren del total en más de 0,01; confirmamos cantidad o exclusión."&amp;CHAR(10),"")&amp;IF(P388&gt;0,"Parece m³: encontramos tres dimensiones bajo m²."&amp;CHAR(10),"")&amp;IF(R388&gt;0,"Código repetido dentro del capítulo; mantenemos sus ID separados."&amp;CHAR(10),"")&amp;IF(S388&gt;0,"Código repetido en otro capítulo; no unimos las partidas."&amp;CHAR(10),"")&amp;IF(T388&gt;0,"Mismo código con unidades distintas; pedimos aclaración."&amp;CHAR(10),"")&amp;IF(Q388&gt;0,"Hay más precisión que los decimales indicados; cotejamos el formato original."&amp;CHAR(10),"")&amp;IF(U388&gt;0,"Unidad sin normalizar; cotejamos su significado antes de sumar unidades."&amp;CHAR(10),"")&amp;IF(V388&gt;0,"Revisamos dimensiones, cantidades directas, ceros o deducciones en PEGAR."&amp;CHAR(10),"")))</f>
      </c>
      <c r="K388" s="0">
        <f>IF(376&gt;'RESUMEN'!$E$6,"",MATCH(376,'PEGAR'!$W$13:$W$512,0))</f>
      </c>
      <c r="L388" s="0">
        <f>IF(K388="","",INDEX('PEGAR'!$R$13:$R$512,K388))</f>
      </c>
      <c r="M388" s="0">
        <f>IF(B388="","",COUNTIFS('PEGAR'!$O$13:$O$512,B388,'PEGAR'!$P$13:$P$512,"DIMENSIONES")+COUNTIFS('PEGAR'!$O$13:$O$512,B388,'PEGAR'!$P$13:$P$512,"DIRECTA"))</f>
      </c>
      <c r="N388" s="0">
        <f>IF(B388="","",COUNTIFS('PEGAR'!$O$13:$O$512,B388,'PEGAR'!$X$13:$X$512,2))</f>
      </c>
      <c r="O388" s="0">
        <f>IF(B388="","",COUNTIFS('PEGAR'!$O$13:$O$512,B388,'PEGAR'!$P$13:$P$512,"SIN LÍNEAS"))</f>
      </c>
      <c r="P388" s="0">
        <f>IF(B388="","",SUMIFS('PEGAR'!$Y$13:$Y$512,'PEGAR'!$O$13:$O$512,B388))</f>
      </c>
      <c r="Q388" s="0">
        <f>IF(B388="","",SUMIFS('PEGAR'!$Z$13:$Z$512,'PEGAR'!$O$13:$O$512,B388))</f>
      </c>
      <c r="R388" s="0" t="n">
        <f>IF(OR(B388="",D388=""),0,SUMPRODUCT(--($B$13:$B$512&lt;&gt;""),--($D$13:$D$512=D388),--($C$13:$C$512=C388))-1)</f>
        <v>0</v>
      </c>
      <c r="S388" s="0" t="n">
        <f>IF(OR(B388="",D388=""),0,SUMPRODUCT(--($B$13:$B$512&lt;&gt;""),--($D$13:$D$512=D388),--($C$13:$C$512&lt;&gt;C388)))</f>
        <v>0</v>
      </c>
      <c r="T388" s="0" t="n">
        <f>IF(OR(B388="",D388=""),0,SUMPRODUCT(--($B$13:$B$512&lt;&gt;""),--($D$13:$D$512=D388),--($E$13:$E$512&lt;&gt;E388)))</f>
        <v>0</v>
      </c>
      <c r="U388" s="0" t="n">
        <f>IF(B388="",0,IF(SUMPRODUCT(--('LÉEME'!$C$65:$C$86=E388))=0,1,0))</f>
        <v>0</v>
      </c>
      <c r="V388" s="0">
        <f>IF(B388="","",SUMIFS('PEGAR'!$AA$13:$AA$512,'PEGAR'!$O$13:$O$512,B388))</f>
      </c>
      <c r="W388" s="0">
        <f>IF(B388="","",IF(OR(L388=0,N388&gt;0,T388&gt;0,IF(ISNUMBER(H388),ROUND(ABS(H388),8)&gt;$F$6,FALSE)),2,IF(OR(M388=0,O388&gt;0,P388&gt;0,Q388&gt;0,R388&gt;0,S388&gt;0,U388&gt;0,V388&gt;0),1,0)))</f>
      </c>
      <c r="X388" s="0">
        <f>IF(B388="","",IF(ISNUMBER(G388),1,0))</f>
      </c>
      <c r="AB388" s="0">
        <f>IF(AND(ISNUMBER(W388),W388&gt;0),"ID "&amp;B388,"")</f>
      </c>
      <c r="AC388" s="0">
        <f>IF(AND(ISNUMBER(W388),W388&gt;0),C388,"")</f>
      </c>
      <c r="AD388" s="0">
        <f>IF(AND(ISNUMBER(W388),W388&gt;0),D388,"")</f>
      </c>
      <c r="AE388" s="0">
        <f>IF(AND(ISNUMBER(W388),W388&gt;0),IF(INDEX('PEGAR'!$D$13:$D$512,IF(L388&gt;0,L388,K388))="","Sin descripción",INDEX('PEGAR'!$D$13:$D$512,IF(L388&gt;0,L388,K388))),"")</f>
      </c>
      <c r="AF388" s="0">
        <f>IF(AND(ISNUMBER(W388),W388&gt;0),J388,"")</f>
      </c>
      <c r="AG388" s="0" t="n">
        <f>IF(AND(ISNUMBER(W388),W388&gt;0),W388,0)</f>
        <v>0</v>
      </c>
      <c r="AH388" s="0">
        <f>IF(AG388&gt;0,COUNTIFS($AG$13:AG388,"&gt;0"),"")</f>
      </c>
    </row>
    <row r="389" ht="22" customHeight="1">
      <c r="B389" s="27">
        <f>IF(K389="","",INDEX('PEGAR'!$O$13:$O$512,K389))</f>
      </c>
      <c r="C389" s="30">
        <f>IF(B389="","",IF(LEN(TRIM(INDEX('PEGAR'!$B$13:$B$512,IF(L389&gt;0,L389,K389))&amp;""))=0,"Sin capítulo",TRIM(INDEX('PEGAR'!$B$13:$B$512,IF(L389&gt;0,L389,K389))&amp;"")))</f>
      </c>
      <c r="D389" s="27">
        <f>IF(B389="","",IF(LEN(TRIM(INDEX('PEGAR'!$C$13:$C$512,IF(L389&gt;0,L389,K389))&amp;""))=0,"",TRIM(INDEX('PEGAR'!$C$13:$C$512,IF(L389&gt;0,L389,K389))&amp;"")))</f>
      </c>
      <c r="E389" s="27">
        <f>IF(B389="","",INDEX('PEGAR'!$S$13:$S$512,IF(L389&gt;0,L389,K389)))</f>
      </c>
      <c r="F389" s="39">
        <f>IF(B389="","",IF(L389&gt;0,INDEX('PEGAR'!$F$13:$F$512,L389),""))</f>
      </c>
      <c r="G389" s="39">
        <f>IF(B389="","",IF(OR(M389=0,N389&gt;0,O389&gt;0),"",SUMIFS('PEGAR'!$M$13:$M$512,'PEGAR'!$O$13:$O$512,B389)))</f>
      </c>
      <c r="H389" s="39">
        <f>IF(AND(ISNUMBER(F389),ISNUMBER(G389)),G389-F389,"")</f>
      </c>
      <c r="I389" s="27">
        <f>IF(B389="","",IF(W389=2,"ROJO",IF(W389=1,"ÁMBAR","VERDE")))</f>
      </c>
      <c r="J389" s="30">
        <f>IF(B389="","",IF(W389=0,"Sin avisos numéricos. Revisamos el alcance aparte.",IF(L389=0,"Faltan datos completos de partida; no elegimos un total por suposición."&amp;CHAR(10),"")&amp;IF(N389&gt;0,"Hay filas incompletas o contradictorias; las revisamos en PEGAR."&amp;CHAR(10),"")&amp;IF(O389&gt;0,"Faltan las medidas de alguna fila; no cerramos la suma."&amp;CHAR(10),"")&amp;IF(M389=0,"No constan líneas de medición."&amp;CHAR(10),"")&amp;IF(IF(ISNUMBER(H389),ROUND(ABS(H389),8)&gt;$F$6,FALSE),"Las líneas difieren del total en más de 0,01; confirmamos cantidad o exclusión."&amp;CHAR(10),"")&amp;IF(P389&gt;0,"Parece m³: encontramos tres dimensiones bajo m²."&amp;CHAR(10),"")&amp;IF(R389&gt;0,"Código repetido dentro del capítulo; mantenemos sus ID separados."&amp;CHAR(10),"")&amp;IF(S389&gt;0,"Código repetido en otro capítulo; no unimos las partidas."&amp;CHAR(10),"")&amp;IF(T389&gt;0,"Mismo código con unidades distintas; pedimos aclaración."&amp;CHAR(10),"")&amp;IF(Q389&gt;0,"Hay más precisión que los decimales indicados; cotejamos el formato original."&amp;CHAR(10),"")&amp;IF(U389&gt;0,"Unidad sin normalizar; cotejamos su significado antes de sumar unidades."&amp;CHAR(10),"")&amp;IF(V389&gt;0,"Revisamos dimensiones, cantidades directas, ceros o deducciones en PEGAR."&amp;CHAR(10),"")))</f>
      </c>
      <c r="K389" s="0">
        <f>IF(377&gt;'RESUMEN'!$E$6,"",MATCH(377,'PEGAR'!$W$13:$W$512,0))</f>
      </c>
      <c r="L389" s="0">
        <f>IF(K389="","",INDEX('PEGAR'!$R$13:$R$512,K389))</f>
      </c>
      <c r="M389" s="0">
        <f>IF(B389="","",COUNTIFS('PEGAR'!$O$13:$O$512,B389,'PEGAR'!$P$13:$P$512,"DIMENSIONES")+COUNTIFS('PEGAR'!$O$13:$O$512,B389,'PEGAR'!$P$13:$P$512,"DIRECTA"))</f>
      </c>
      <c r="N389" s="0">
        <f>IF(B389="","",COUNTIFS('PEGAR'!$O$13:$O$512,B389,'PEGAR'!$X$13:$X$512,2))</f>
      </c>
      <c r="O389" s="0">
        <f>IF(B389="","",COUNTIFS('PEGAR'!$O$13:$O$512,B389,'PEGAR'!$P$13:$P$512,"SIN LÍNEAS"))</f>
      </c>
      <c r="P389" s="0">
        <f>IF(B389="","",SUMIFS('PEGAR'!$Y$13:$Y$512,'PEGAR'!$O$13:$O$512,B389))</f>
      </c>
      <c r="Q389" s="0">
        <f>IF(B389="","",SUMIFS('PEGAR'!$Z$13:$Z$512,'PEGAR'!$O$13:$O$512,B389))</f>
      </c>
      <c r="R389" s="0" t="n">
        <f>IF(OR(B389="",D389=""),0,SUMPRODUCT(--($B$13:$B$512&lt;&gt;""),--($D$13:$D$512=D389),--($C$13:$C$512=C389))-1)</f>
        <v>0</v>
      </c>
      <c r="S389" s="0" t="n">
        <f>IF(OR(B389="",D389=""),0,SUMPRODUCT(--($B$13:$B$512&lt;&gt;""),--($D$13:$D$512=D389),--($C$13:$C$512&lt;&gt;C389)))</f>
        <v>0</v>
      </c>
      <c r="T389" s="0" t="n">
        <f>IF(OR(B389="",D389=""),0,SUMPRODUCT(--($B$13:$B$512&lt;&gt;""),--($D$13:$D$512=D389),--($E$13:$E$512&lt;&gt;E389)))</f>
        <v>0</v>
      </c>
      <c r="U389" s="0" t="n">
        <f>IF(B389="",0,IF(SUMPRODUCT(--('LÉEME'!$C$65:$C$86=E389))=0,1,0))</f>
        <v>0</v>
      </c>
      <c r="V389" s="0">
        <f>IF(B389="","",SUMIFS('PEGAR'!$AA$13:$AA$512,'PEGAR'!$O$13:$O$512,B389))</f>
      </c>
      <c r="W389" s="0">
        <f>IF(B389="","",IF(OR(L389=0,N389&gt;0,T389&gt;0,IF(ISNUMBER(H389),ROUND(ABS(H389),8)&gt;$F$6,FALSE)),2,IF(OR(M389=0,O389&gt;0,P389&gt;0,Q389&gt;0,R389&gt;0,S389&gt;0,U389&gt;0,V389&gt;0),1,0)))</f>
      </c>
      <c r="X389" s="0">
        <f>IF(B389="","",IF(ISNUMBER(G389),1,0))</f>
      </c>
      <c r="AB389" s="0">
        <f>IF(AND(ISNUMBER(W389),W389&gt;0),"ID "&amp;B389,"")</f>
      </c>
      <c r="AC389" s="0">
        <f>IF(AND(ISNUMBER(W389),W389&gt;0),C389,"")</f>
      </c>
      <c r="AD389" s="0">
        <f>IF(AND(ISNUMBER(W389),W389&gt;0),D389,"")</f>
      </c>
      <c r="AE389" s="0">
        <f>IF(AND(ISNUMBER(W389),W389&gt;0),IF(INDEX('PEGAR'!$D$13:$D$512,IF(L389&gt;0,L389,K389))="","Sin descripción",INDEX('PEGAR'!$D$13:$D$512,IF(L389&gt;0,L389,K389))),"")</f>
      </c>
      <c r="AF389" s="0">
        <f>IF(AND(ISNUMBER(W389),W389&gt;0),J389,"")</f>
      </c>
      <c r="AG389" s="0" t="n">
        <f>IF(AND(ISNUMBER(W389),W389&gt;0),W389,0)</f>
        <v>0</v>
      </c>
      <c r="AH389" s="0">
        <f>IF(AG389&gt;0,COUNTIFS($AG$13:AG389,"&gt;0"),"")</f>
      </c>
    </row>
    <row r="390" ht="22" customHeight="1">
      <c r="B390" s="27">
        <f>IF(K390="","",INDEX('PEGAR'!$O$13:$O$512,K390))</f>
      </c>
      <c r="C390" s="30">
        <f>IF(B390="","",IF(LEN(TRIM(INDEX('PEGAR'!$B$13:$B$512,IF(L390&gt;0,L390,K390))&amp;""))=0,"Sin capítulo",TRIM(INDEX('PEGAR'!$B$13:$B$512,IF(L390&gt;0,L390,K390))&amp;"")))</f>
      </c>
      <c r="D390" s="27">
        <f>IF(B390="","",IF(LEN(TRIM(INDEX('PEGAR'!$C$13:$C$512,IF(L390&gt;0,L390,K390))&amp;""))=0,"",TRIM(INDEX('PEGAR'!$C$13:$C$512,IF(L390&gt;0,L390,K390))&amp;"")))</f>
      </c>
      <c r="E390" s="27">
        <f>IF(B390="","",INDEX('PEGAR'!$S$13:$S$512,IF(L390&gt;0,L390,K390)))</f>
      </c>
      <c r="F390" s="39">
        <f>IF(B390="","",IF(L390&gt;0,INDEX('PEGAR'!$F$13:$F$512,L390),""))</f>
      </c>
      <c r="G390" s="39">
        <f>IF(B390="","",IF(OR(M390=0,N390&gt;0,O390&gt;0),"",SUMIFS('PEGAR'!$M$13:$M$512,'PEGAR'!$O$13:$O$512,B390)))</f>
      </c>
      <c r="H390" s="39">
        <f>IF(AND(ISNUMBER(F390),ISNUMBER(G390)),G390-F390,"")</f>
      </c>
      <c r="I390" s="27">
        <f>IF(B390="","",IF(W390=2,"ROJO",IF(W390=1,"ÁMBAR","VERDE")))</f>
      </c>
      <c r="J390" s="30">
        <f>IF(B390="","",IF(W390=0,"Sin avisos numéricos. Revisamos el alcance aparte.",IF(L390=0,"Faltan datos completos de partida; no elegimos un total por suposición."&amp;CHAR(10),"")&amp;IF(N390&gt;0,"Hay filas incompletas o contradictorias; las revisamos en PEGAR."&amp;CHAR(10),"")&amp;IF(O390&gt;0,"Faltan las medidas de alguna fila; no cerramos la suma."&amp;CHAR(10),"")&amp;IF(M390=0,"No constan líneas de medición."&amp;CHAR(10),"")&amp;IF(IF(ISNUMBER(H390),ROUND(ABS(H390),8)&gt;$F$6,FALSE),"Las líneas difieren del total en más de 0,01; confirmamos cantidad o exclusión."&amp;CHAR(10),"")&amp;IF(P390&gt;0,"Parece m³: encontramos tres dimensiones bajo m²."&amp;CHAR(10),"")&amp;IF(R390&gt;0,"Código repetido dentro del capítulo; mantenemos sus ID separados."&amp;CHAR(10),"")&amp;IF(S390&gt;0,"Código repetido en otro capítulo; no unimos las partidas."&amp;CHAR(10),"")&amp;IF(T390&gt;0,"Mismo código con unidades distintas; pedimos aclaración."&amp;CHAR(10),"")&amp;IF(Q390&gt;0,"Hay más precisión que los decimales indicados; cotejamos el formato original."&amp;CHAR(10),"")&amp;IF(U390&gt;0,"Unidad sin normalizar; cotejamos su significado antes de sumar unidades."&amp;CHAR(10),"")&amp;IF(V390&gt;0,"Revisamos dimensiones, cantidades directas, ceros o deducciones en PEGAR."&amp;CHAR(10),"")))</f>
      </c>
      <c r="K390" s="0">
        <f>IF(378&gt;'RESUMEN'!$E$6,"",MATCH(378,'PEGAR'!$W$13:$W$512,0))</f>
      </c>
      <c r="L390" s="0">
        <f>IF(K390="","",INDEX('PEGAR'!$R$13:$R$512,K390))</f>
      </c>
      <c r="M390" s="0">
        <f>IF(B390="","",COUNTIFS('PEGAR'!$O$13:$O$512,B390,'PEGAR'!$P$13:$P$512,"DIMENSIONES")+COUNTIFS('PEGAR'!$O$13:$O$512,B390,'PEGAR'!$P$13:$P$512,"DIRECTA"))</f>
      </c>
      <c r="N390" s="0">
        <f>IF(B390="","",COUNTIFS('PEGAR'!$O$13:$O$512,B390,'PEGAR'!$X$13:$X$512,2))</f>
      </c>
      <c r="O390" s="0">
        <f>IF(B390="","",COUNTIFS('PEGAR'!$O$13:$O$512,B390,'PEGAR'!$P$13:$P$512,"SIN LÍNEAS"))</f>
      </c>
      <c r="P390" s="0">
        <f>IF(B390="","",SUMIFS('PEGAR'!$Y$13:$Y$512,'PEGAR'!$O$13:$O$512,B390))</f>
      </c>
      <c r="Q390" s="0">
        <f>IF(B390="","",SUMIFS('PEGAR'!$Z$13:$Z$512,'PEGAR'!$O$13:$O$512,B390))</f>
      </c>
      <c r="R390" s="0" t="n">
        <f>IF(OR(B390="",D390=""),0,SUMPRODUCT(--($B$13:$B$512&lt;&gt;""),--($D$13:$D$512=D390),--($C$13:$C$512=C390))-1)</f>
        <v>0</v>
      </c>
      <c r="S390" s="0" t="n">
        <f>IF(OR(B390="",D390=""),0,SUMPRODUCT(--($B$13:$B$512&lt;&gt;""),--($D$13:$D$512=D390),--($C$13:$C$512&lt;&gt;C390)))</f>
        <v>0</v>
      </c>
      <c r="T390" s="0" t="n">
        <f>IF(OR(B390="",D390=""),0,SUMPRODUCT(--($B$13:$B$512&lt;&gt;""),--($D$13:$D$512=D390),--($E$13:$E$512&lt;&gt;E390)))</f>
        <v>0</v>
      </c>
      <c r="U390" s="0" t="n">
        <f>IF(B390="",0,IF(SUMPRODUCT(--('LÉEME'!$C$65:$C$86=E390))=0,1,0))</f>
        <v>0</v>
      </c>
      <c r="V390" s="0">
        <f>IF(B390="","",SUMIFS('PEGAR'!$AA$13:$AA$512,'PEGAR'!$O$13:$O$512,B390))</f>
      </c>
      <c r="W390" s="0">
        <f>IF(B390="","",IF(OR(L390=0,N390&gt;0,T390&gt;0,IF(ISNUMBER(H390),ROUND(ABS(H390),8)&gt;$F$6,FALSE)),2,IF(OR(M390=0,O390&gt;0,P390&gt;0,Q390&gt;0,R390&gt;0,S390&gt;0,U390&gt;0,V390&gt;0),1,0)))</f>
      </c>
      <c r="X390" s="0">
        <f>IF(B390="","",IF(ISNUMBER(G390),1,0))</f>
      </c>
      <c r="AB390" s="0">
        <f>IF(AND(ISNUMBER(W390),W390&gt;0),"ID "&amp;B390,"")</f>
      </c>
      <c r="AC390" s="0">
        <f>IF(AND(ISNUMBER(W390),W390&gt;0),C390,"")</f>
      </c>
      <c r="AD390" s="0">
        <f>IF(AND(ISNUMBER(W390),W390&gt;0),D390,"")</f>
      </c>
      <c r="AE390" s="0">
        <f>IF(AND(ISNUMBER(W390),W390&gt;0),IF(INDEX('PEGAR'!$D$13:$D$512,IF(L390&gt;0,L390,K390))="","Sin descripción",INDEX('PEGAR'!$D$13:$D$512,IF(L390&gt;0,L390,K390))),"")</f>
      </c>
      <c r="AF390" s="0">
        <f>IF(AND(ISNUMBER(W390),W390&gt;0),J390,"")</f>
      </c>
      <c r="AG390" s="0" t="n">
        <f>IF(AND(ISNUMBER(W390),W390&gt;0),W390,0)</f>
        <v>0</v>
      </c>
      <c r="AH390" s="0">
        <f>IF(AG390&gt;0,COUNTIFS($AG$13:AG390,"&gt;0"),"")</f>
      </c>
    </row>
    <row r="391" ht="22" customHeight="1">
      <c r="B391" s="27">
        <f>IF(K391="","",INDEX('PEGAR'!$O$13:$O$512,K391))</f>
      </c>
      <c r="C391" s="30">
        <f>IF(B391="","",IF(LEN(TRIM(INDEX('PEGAR'!$B$13:$B$512,IF(L391&gt;0,L391,K391))&amp;""))=0,"Sin capítulo",TRIM(INDEX('PEGAR'!$B$13:$B$512,IF(L391&gt;0,L391,K391))&amp;"")))</f>
      </c>
      <c r="D391" s="27">
        <f>IF(B391="","",IF(LEN(TRIM(INDEX('PEGAR'!$C$13:$C$512,IF(L391&gt;0,L391,K391))&amp;""))=0,"",TRIM(INDEX('PEGAR'!$C$13:$C$512,IF(L391&gt;0,L391,K391))&amp;"")))</f>
      </c>
      <c r="E391" s="27">
        <f>IF(B391="","",INDEX('PEGAR'!$S$13:$S$512,IF(L391&gt;0,L391,K391)))</f>
      </c>
      <c r="F391" s="39">
        <f>IF(B391="","",IF(L391&gt;0,INDEX('PEGAR'!$F$13:$F$512,L391),""))</f>
      </c>
      <c r="G391" s="39">
        <f>IF(B391="","",IF(OR(M391=0,N391&gt;0,O391&gt;0),"",SUMIFS('PEGAR'!$M$13:$M$512,'PEGAR'!$O$13:$O$512,B391)))</f>
      </c>
      <c r="H391" s="39">
        <f>IF(AND(ISNUMBER(F391),ISNUMBER(G391)),G391-F391,"")</f>
      </c>
      <c r="I391" s="27">
        <f>IF(B391="","",IF(W391=2,"ROJO",IF(W391=1,"ÁMBAR","VERDE")))</f>
      </c>
      <c r="J391" s="30">
        <f>IF(B391="","",IF(W391=0,"Sin avisos numéricos. Revisamos el alcance aparte.",IF(L391=0,"Faltan datos completos de partida; no elegimos un total por suposición."&amp;CHAR(10),"")&amp;IF(N391&gt;0,"Hay filas incompletas o contradictorias; las revisamos en PEGAR."&amp;CHAR(10),"")&amp;IF(O391&gt;0,"Faltan las medidas de alguna fila; no cerramos la suma."&amp;CHAR(10),"")&amp;IF(M391=0,"No constan líneas de medición."&amp;CHAR(10),"")&amp;IF(IF(ISNUMBER(H391),ROUND(ABS(H391),8)&gt;$F$6,FALSE),"Las líneas difieren del total en más de 0,01; confirmamos cantidad o exclusión."&amp;CHAR(10),"")&amp;IF(P391&gt;0,"Parece m³: encontramos tres dimensiones bajo m²."&amp;CHAR(10),"")&amp;IF(R391&gt;0,"Código repetido dentro del capítulo; mantenemos sus ID separados."&amp;CHAR(10),"")&amp;IF(S391&gt;0,"Código repetido en otro capítulo; no unimos las partidas."&amp;CHAR(10),"")&amp;IF(T391&gt;0,"Mismo código con unidades distintas; pedimos aclaración."&amp;CHAR(10),"")&amp;IF(Q391&gt;0,"Hay más precisión que los decimales indicados; cotejamos el formato original."&amp;CHAR(10),"")&amp;IF(U391&gt;0,"Unidad sin normalizar; cotejamos su significado antes de sumar unidades."&amp;CHAR(10),"")&amp;IF(V391&gt;0,"Revisamos dimensiones, cantidades directas, ceros o deducciones en PEGAR."&amp;CHAR(10),"")))</f>
      </c>
      <c r="K391" s="0">
        <f>IF(379&gt;'RESUMEN'!$E$6,"",MATCH(379,'PEGAR'!$W$13:$W$512,0))</f>
      </c>
      <c r="L391" s="0">
        <f>IF(K391="","",INDEX('PEGAR'!$R$13:$R$512,K391))</f>
      </c>
      <c r="M391" s="0">
        <f>IF(B391="","",COUNTIFS('PEGAR'!$O$13:$O$512,B391,'PEGAR'!$P$13:$P$512,"DIMENSIONES")+COUNTIFS('PEGAR'!$O$13:$O$512,B391,'PEGAR'!$P$13:$P$512,"DIRECTA"))</f>
      </c>
      <c r="N391" s="0">
        <f>IF(B391="","",COUNTIFS('PEGAR'!$O$13:$O$512,B391,'PEGAR'!$X$13:$X$512,2))</f>
      </c>
      <c r="O391" s="0">
        <f>IF(B391="","",COUNTIFS('PEGAR'!$O$13:$O$512,B391,'PEGAR'!$P$13:$P$512,"SIN LÍNEAS"))</f>
      </c>
      <c r="P391" s="0">
        <f>IF(B391="","",SUMIFS('PEGAR'!$Y$13:$Y$512,'PEGAR'!$O$13:$O$512,B391))</f>
      </c>
      <c r="Q391" s="0">
        <f>IF(B391="","",SUMIFS('PEGAR'!$Z$13:$Z$512,'PEGAR'!$O$13:$O$512,B391))</f>
      </c>
      <c r="R391" s="0" t="n">
        <f>IF(OR(B391="",D391=""),0,SUMPRODUCT(--($B$13:$B$512&lt;&gt;""),--($D$13:$D$512=D391),--($C$13:$C$512=C391))-1)</f>
        <v>0</v>
      </c>
      <c r="S391" s="0" t="n">
        <f>IF(OR(B391="",D391=""),0,SUMPRODUCT(--($B$13:$B$512&lt;&gt;""),--($D$13:$D$512=D391),--($C$13:$C$512&lt;&gt;C391)))</f>
        <v>0</v>
      </c>
      <c r="T391" s="0" t="n">
        <f>IF(OR(B391="",D391=""),0,SUMPRODUCT(--($B$13:$B$512&lt;&gt;""),--($D$13:$D$512=D391),--($E$13:$E$512&lt;&gt;E391)))</f>
        <v>0</v>
      </c>
      <c r="U391" s="0" t="n">
        <f>IF(B391="",0,IF(SUMPRODUCT(--('LÉEME'!$C$65:$C$86=E391))=0,1,0))</f>
        <v>0</v>
      </c>
      <c r="V391" s="0">
        <f>IF(B391="","",SUMIFS('PEGAR'!$AA$13:$AA$512,'PEGAR'!$O$13:$O$512,B391))</f>
      </c>
      <c r="W391" s="0">
        <f>IF(B391="","",IF(OR(L391=0,N391&gt;0,T391&gt;0,IF(ISNUMBER(H391),ROUND(ABS(H391),8)&gt;$F$6,FALSE)),2,IF(OR(M391=0,O391&gt;0,P391&gt;0,Q391&gt;0,R391&gt;0,S391&gt;0,U391&gt;0,V391&gt;0),1,0)))</f>
      </c>
      <c r="X391" s="0">
        <f>IF(B391="","",IF(ISNUMBER(G391),1,0))</f>
      </c>
      <c r="AB391" s="0">
        <f>IF(AND(ISNUMBER(W391),W391&gt;0),"ID "&amp;B391,"")</f>
      </c>
      <c r="AC391" s="0">
        <f>IF(AND(ISNUMBER(W391),W391&gt;0),C391,"")</f>
      </c>
      <c r="AD391" s="0">
        <f>IF(AND(ISNUMBER(W391),W391&gt;0),D391,"")</f>
      </c>
      <c r="AE391" s="0">
        <f>IF(AND(ISNUMBER(W391),W391&gt;0),IF(INDEX('PEGAR'!$D$13:$D$512,IF(L391&gt;0,L391,K391))="","Sin descripción",INDEX('PEGAR'!$D$13:$D$512,IF(L391&gt;0,L391,K391))),"")</f>
      </c>
      <c r="AF391" s="0">
        <f>IF(AND(ISNUMBER(W391),W391&gt;0),J391,"")</f>
      </c>
      <c r="AG391" s="0" t="n">
        <f>IF(AND(ISNUMBER(W391),W391&gt;0),W391,0)</f>
        <v>0</v>
      </c>
      <c r="AH391" s="0">
        <f>IF(AG391&gt;0,COUNTIFS($AG$13:AG391,"&gt;0"),"")</f>
      </c>
    </row>
    <row r="392" ht="22" customHeight="1">
      <c r="B392" s="27">
        <f>IF(K392="","",INDEX('PEGAR'!$O$13:$O$512,K392))</f>
      </c>
      <c r="C392" s="30">
        <f>IF(B392="","",IF(LEN(TRIM(INDEX('PEGAR'!$B$13:$B$512,IF(L392&gt;0,L392,K392))&amp;""))=0,"Sin capítulo",TRIM(INDEX('PEGAR'!$B$13:$B$512,IF(L392&gt;0,L392,K392))&amp;"")))</f>
      </c>
      <c r="D392" s="27">
        <f>IF(B392="","",IF(LEN(TRIM(INDEX('PEGAR'!$C$13:$C$512,IF(L392&gt;0,L392,K392))&amp;""))=0,"",TRIM(INDEX('PEGAR'!$C$13:$C$512,IF(L392&gt;0,L392,K392))&amp;"")))</f>
      </c>
      <c r="E392" s="27">
        <f>IF(B392="","",INDEX('PEGAR'!$S$13:$S$512,IF(L392&gt;0,L392,K392)))</f>
      </c>
      <c r="F392" s="39">
        <f>IF(B392="","",IF(L392&gt;0,INDEX('PEGAR'!$F$13:$F$512,L392),""))</f>
      </c>
      <c r="G392" s="39">
        <f>IF(B392="","",IF(OR(M392=0,N392&gt;0,O392&gt;0),"",SUMIFS('PEGAR'!$M$13:$M$512,'PEGAR'!$O$13:$O$512,B392)))</f>
      </c>
      <c r="H392" s="39">
        <f>IF(AND(ISNUMBER(F392),ISNUMBER(G392)),G392-F392,"")</f>
      </c>
      <c r="I392" s="27">
        <f>IF(B392="","",IF(W392=2,"ROJO",IF(W392=1,"ÁMBAR","VERDE")))</f>
      </c>
      <c r="J392" s="30">
        <f>IF(B392="","",IF(W392=0,"Sin avisos numéricos. Revisamos el alcance aparte.",IF(L392=0,"Faltan datos completos de partida; no elegimos un total por suposición."&amp;CHAR(10),"")&amp;IF(N392&gt;0,"Hay filas incompletas o contradictorias; las revisamos en PEGAR."&amp;CHAR(10),"")&amp;IF(O392&gt;0,"Faltan las medidas de alguna fila; no cerramos la suma."&amp;CHAR(10),"")&amp;IF(M392=0,"No constan líneas de medición."&amp;CHAR(10),"")&amp;IF(IF(ISNUMBER(H392),ROUND(ABS(H392),8)&gt;$F$6,FALSE),"Las líneas difieren del total en más de 0,01; confirmamos cantidad o exclusión."&amp;CHAR(10),"")&amp;IF(P392&gt;0,"Parece m³: encontramos tres dimensiones bajo m²."&amp;CHAR(10),"")&amp;IF(R392&gt;0,"Código repetido dentro del capítulo; mantenemos sus ID separados."&amp;CHAR(10),"")&amp;IF(S392&gt;0,"Código repetido en otro capítulo; no unimos las partidas."&amp;CHAR(10),"")&amp;IF(T392&gt;0,"Mismo código con unidades distintas; pedimos aclaración."&amp;CHAR(10),"")&amp;IF(Q392&gt;0,"Hay más precisión que los decimales indicados; cotejamos el formato original."&amp;CHAR(10),"")&amp;IF(U392&gt;0,"Unidad sin normalizar; cotejamos su significado antes de sumar unidades."&amp;CHAR(10),"")&amp;IF(V392&gt;0,"Revisamos dimensiones, cantidades directas, ceros o deducciones en PEGAR."&amp;CHAR(10),"")))</f>
      </c>
      <c r="K392" s="0">
        <f>IF(380&gt;'RESUMEN'!$E$6,"",MATCH(380,'PEGAR'!$W$13:$W$512,0))</f>
      </c>
      <c r="L392" s="0">
        <f>IF(K392="","",INDEX('PEGAR'!$R$13:$R$512,K392))</f>
      </c>
      <c r="M392" s="0">
        <f>IF(B392="","",COUNTIFS('PEGAR'!$O$13:$O$512,B392,'PEGAR'!$P$13:$P$512,"DIMENSIONES")+COUNTIFS('PEGAR'!$O$13:$O$512,B392,'PEGAR'!$P$13:$P$512,"DIRECTA"))</f>
      </c>
      <c r="N392" s="0">
        <f>IF(B392="","",COUNTIFS('PEGAR'!$O$13:$O$512,B392,'PEGAR'!$X$13:$X$512,2))</f>
      </c>
      <c r="O392" s="0">
        <f>IF(B392="","",COUNTIFS('PEGAR'!$O$13:$O$512,B392,'PEGAR'!$P$13:$P$512,"SIN LÍNEAS"))</f>
      </c>
      <c r="P392" s="0">
        <f>IF(B392="","",SUMIFS('PEGAR'!$Y$13:$Y$512,'PEGAR'!$O$13:$O$512,B392))</f>
      </c>
      <c r="Q392" s="0">
        <f>IF(B392="","",SUMIFS('PEGAR'!$Z$13:$Z$512,'PEGAR'!$O$13:$O$512,B392))</f>
      </c>
      <c r="R392" s="0" t="n">
        <f>IF(OR(B392="",D392=""),0,SUMPRODUCT(--($B$13:$B$512&lt;&gt;""),--($D$13:$D$512=D392),--($C$13:$C$512=C392))-1)</f>
        <v>0</v>
      </c>
      <c r="S392" s="0" t="n">
        <f>IF(OR(B392="",D392=""),0,SUMPRODUCT(--($B$13:$B$512&lt;&gt;""),--($D$13:$D$512=D392),--($C$13:$C$512&lt;&gt;C392)))</f>
        <v>0</v>
      </c>
      <c r="T392" s="0" t="n">
        <f>IF(OR(B392="",D392=""),0,SUMPRODUCT(--($B$13:$B$512&lt;&gt;""),--($D$13:$D$512=D392),--($E$13:$E$512&lt;&gt;E392)))</f>
        <v>0</v>
      </c>
      <c r="U392" s="0" t="n">
        <f>IF(B392="",0,IF(SUMPRODUCT(--('LÉEME'!$C$65:$C$86=E392))=0,1,0))</f>
        <v>0</v>
      </c>
      <c r="V392" s="0">
        <f>IF(B392="","",SUMIFS('PEGAR'!$AA$13:$AA$512,'PEGAR'!$O$13:$O$512,B392))</f>
      </c>
      <c r="W392" s="0">
        <f>IF(B392="","",IF(OR(L392=0,N392&gt;0,T392&gt;0,IF(ISNUMBER(H392),ROUND(ABS(H392),8)&gt;$F$6,FALSE)),2,IF(OR(M392=0,O392&gt;0,P392&gt;0,Q392&gt;0,R392&gt;0,S392&gt;0,U392&gt;0,V392&gt;0),1,0)))</f>
      </c>
      <c r="X392" s="0">
        <f>IF(B392="","",IF(ISNUMBER(G392),1,0))</f>
      </c>
      <c r="AB392" s="0">
        <f>IF(AND(ISNUMBER(W392),W392&gt;0),"ID "&amp;B392,"")</f>
      </c>
      <c r="AC392" s="0">
        <f>IF(AND(ISNUMBER(W392),W392&gt;0),C392,"")</f>
      </c>
      <c r="AD392" s="0">
        <f>IF(AND(ISNUMBER(W392),W392&gt;0),D392,"")</f>
      </c>
      <c r="AE392" s="0">
        <f>IF(AND(ISNUMBER(W392),W392&gt;0),IF(INDEX('PEGAR'!$D$13:$D$512,IF(L392&gt;0,L392,K392))="","Sin descripción",INDEX('PEGAR'!$D$13:$D$512,IF(L392&gt;0,L392,K392))),"")</f>
      </c>
      <c r="AF392" s="0">
        <f>IF(AND(ISNUMBER(W392),W392&gt;0),J392,"")</f>
      </c>
      <c r="AG392" s="0" t="n">
        <f>IF(AND(ISNUMBER(W392),W392&gt;0),W392,0)</f>
        <v>0</v>
      </c>
      <c r="AH392" s="0">
        <f>IF(AG392&gt;0,COUNTIFS($AG$13:AG392,"&gt;0"),"")</f>
      </c>
    </row>
    <row r="393" ht="22" customHeight="1">
      <c r="B393" s="27">
        <f>IF(K393="","",INDEX('PEGAR'!$O$13:$O$512,K393))</f>
      </c>
      <c r="C393" s="30">
        <f>IF(B393="","",IF(LEN(TRIM(INDEX('PEGAR'!$B$13:$B$512,IF(L393&gt;0,L393,K393))&amp;""))=0,"Sin capítulo",TRIM(INDEX('PEGAR'!$B$13:$B$512,IF(L393&gt;0,L393,K393))&amp;"")))</f>
      </c>
      <c r="D393" s="27">
        <f>IF(B393="","",IF(LEN(TRIM(INDEX('PEGAR'!$C$13:$C$512,IF(L393&gt;0,L393,K393))&amp;""))=0,"",TRIM(INDEX('PEGAR'!$C$13:$C$512,IF(L393&gt;0,L393,K393))&amp;"")))</f>
      </c>
      <c r="E393" s="27">
        <f>IF(B393="","",INDEX('PEGAR'!$S$13:$S$512,IF(L393&gt;0,L393,K393)))</f>
      </c>
      <c r="F393" s="39">
        <f>IF(B393="","",IF(L393&gt;0,INDEX('PEGAR'!$F$13:$F$512,L393),""))</f>
      </c>
      <c r="G393" s="39">
        <f>IF(B393="","",IF(OR(M393=0,N393&gt;0,O393&gt;0),"",SUMIFS('PEGAR'!$M$13:$M$512,'PEGAR'!$O$13:$O$512,B393)))</f>
      </c>
      <c r="H393" s="39">
        <f>IF(AND(ISNUMBER(F393),ISNUMBER(G393)),G393-F393,"")</f>
      </c>
      <c r="I393" s="27">
        <f>IF(B393="","",IF(W393=2,"ROJO",IF(W393=1,"ÁMBAR","VERDE")))</f>
      </c>
      <c r="J393" s="30">
        <f>IF(B393="","",IF(W393=0,"Sin avisos numéricos. Revisamos el alcance aparte.",IF(L393=0,"Faltan datos completos de partida; no elegimos un total por suposición."&amp;CHAR(10),"")&amp;IF(N393&gt;0,"Hay filas incompletas o contradictorias; las revisamos en PEGAR."&amp;CHAR(10),"")&amp;IF(O393&gt;0,"Faltan las medidas de alguna fila; no cerramos la suma."&amp;CHAR(10),"")&amp;IF(M393=0,"No constan líneas de medición."&amp;CHAR(10),"")&amp;IF(IF(ISNUMBER(H393),ROUND(ABS(H393),8)&gt;$F$6,FALSE),"Las líneas difieren del total en más de 0,01; confirmamos cantidad o exclusión."&amp;CHAR(10),"")&amp;IF(P393&gt;0,"Parece m³: encontramos tres dimensiones bajo m²."&amp;CHAR(10),"")&amp;IF(R393&gt;0,"Código repetido dentro del capítulo; mantenemos sus ID separados."&amp;CHAR(10),"")&amp;IF(S393&gt;0,"Código repetido en otro capítulo; no unimos las partidas."&amp;CHAR(10),"")&amp;IF(T393&gt;0,"Mismo código con unidades distintas; pedimos aclaración."&amp;CHAR(10),"")&amp;IF(Q393&gt;0,"Hay más precisión que los decimales indicados; cotejamos el formato original."&amp;CHAR(10),"")&amp;IF(U393&gt;0,"Unidad sin normalizar; cotejamos su significado antes de sumar unidades."&amp;CHAR(10),"")&amp;IF(V393&gt;0,"Revisamos dimensiones, cantidades directas, ceros o deducciones en PEGAR."&amp;CHAR(10),"")))</f>
      </c>
      <c r="K393" s="0">
        <f>IF(381&gt;'RESUMEN'!$E$6,"",MATCH(381,'PEGAR'!$W$13:$W$512,0))</f>
      </c>
      <c r="L393" s="0">
        <f>IF(K393="","",INDEX('PEGAR'!$R$13:$R$512,K393))</f>
      </c>
      <c r="M393" s="0">
        <f>IF(B393="","",COUNTIFS('PEGAR'!$O$13:$O$512,B393,'PEGAR'!$P$13:$P$512,"DIMENSIONES")+COUNTIFS('PEGAR'!$O$13:$O$512,B393,'PEGAR'!$P$13:$P$512,"DIRECTA"))</f>
      </c>
      <c r="N393" s="0">
        <f>IF(B393="","",COUNTIFS('PEGAR'!$O$13:$O$512,B393,'PEGAR'!$X$13:$X$512,2))</f>
      </c>
      <c r="O393" s="0">
        <f>IF(B393="","",COUNTIFS('PEGAR'!$O$13:$O$512,B393,'PEGAR'!$P$13:$P$512,"SIN LÍNEAS"))</f>
      </c>
      <c r="P393" s="0">
        <f>IF(B393="","",SUMIFS('PEGAR'!$Y$13:$Y$512,'PEGAR'!$O$13:$O$512,B393))</f>
      </c>
      <c r="Q393" s="0">
        <f>IF(B393="","",SUMIFS('PEGAR'!$Z$13:$Z$512,'PEGAR'!$O$13:$O$512,B393))</f>
      </c>
      <c r="R393" s="0" t="n">
        <f>IF(OR(B393="",D393=""),0,SUMPRODUCT(--($B$13:$B$512&lt;&gt;""),--($D$13:$D$512=D393),--($C$13:$C$512=C393))-1)</f>
        <v>0</v>
      </c>
      <c r="S393" s="0" t="n">
        <f>IF(OR(B393="",D393=""),0,SUMPRODUCT(--($B$13:$B$512&lt;&gt;""),--($D$13:$D$512=D393),--($C$13:$C$512&lt;&gt;C393)))</f>
        <v>0</v>
      </c>
      <c r="T393" s="0" t="n">
        <f>IF(OR(B393="",D393=""),0,SUMPRODUCT(--($B$13:$B$512&lt;&gt;""),--($D$13:$D$512=D393),--($E$13:$E$512&lt;&gt;E393)))</f>
        <v>0</v>
      </c>
      <c r="U393" s="0" t="n">
        <f>IF(B393="",0,IF(SUMPRODUCT(--('LÉEME'!$C$65:$C$86=E393))=0,1,0))</f>
        <v>0</v>
      </c>
      <c r="V393" s="0">
        <f>IF(B393="","",SUMIFS('PEGAR'!$AA$13:$AA$512,'PEGAR'!$O$13:$O$512,B393))</f>
      </c>
      <c r="W393" s="0">
        <f>IF(B393="","",IF(OR(L393=0,N393&gt;0,T393&gt;0,IF(ISNUMBER(H393),ROUND(ABS(H393),8)&gt;$F$6,FALSE)),2,IF(OR(M393=0,O393&gt;0,P393&gt;0,Q393&gt;0,R393&gt;0,S393&gt;0,U393&gt;0,V393&gt;0),1,0)))</f>
      </c>
      <c r="X393" s="0">
        <f>IF(B393="","",IF(ISNUMBER(G393),1,0))</f>
      </c>
      <c r="AB393" s="0">
        <f>IF(AND(ISNUMBER(W393),W393&gt;0),"ID "&amp;B393,"")</f>
      </c>
      <c r="AC393" s="0">
        <f>IF(AND(ISNUMBER(W393),W393&gt;0),C393,"")</f>
      </c>
      <c r="AD393" s="0">
        <f>IF(AND(ISNUMBER(W393),W393&gt;0),D393,"")</f>
      </c>
      <c r="AE393" s="0">
        <f>IF(AND(ISNUMBER(W393),W393&gt;0),IF(INDEX('PEGAR'!$D$13:$D$512,IF(L393&gt;0,L393,K393))="","Sin descripción",INDEX('PEGAR'!$D$13:$D$512,IF(L393&gt;0,L393,K393))),"")</f>
      </c>
      <c r="AF393" s="0">
        <f>IF(AND(ISNUMBER(W393),W393&gt;0),J393,"")</f>
      </c>
      <c r="AG393" s="0" t="n">
        <f>IF(AND(ISNUMBER(W393),W393&gt;0),W393,0)</f>
        <v>0</v>
      </c>
      <c r="AH393" s="0">
        <f>IF(AG393&gt;0,COUNTIFS($AG$13:AG393,"&gt;0"),"")</f>
      </c>
    </row>
    <row r="394" ht="22" customHeight="1">
      <c r="B394" s="27">
        <f>IF(K394="","",INDEX('PEGAR'!$O$13:$O$512,K394))</f>
      </c>
      <c r="C394" s="30">
        <f>IF(B394="","",IF(LEN(TRIM(INDEX('PEGAR'!$B$13:$B$512,IF(L394&gt;0,L394,K394))&amp;""))=0,"Sin capítulo",TRIM(INDEX('PEGAR'!$B$13:$B$512,IF(L394&gt;0,L394,K394))&amp;"")))</f>
      </c>
      <c r="D394" s="27">
        <f>IF(B394="","",IF(LEN(TRIM(INDEX('PEGAR'!$C$13:$C$512,IF(L394&gt;0,L394,K394))&amp;""))=0,"",TRIM(INDEX('PEGAR'!$C$13:$C$512,IF(L394&gt;0,L394,K394))&amp;"")))</f>
      </c>
      <c r="E394" s="27">
        <f>IF(B394="","",INDEX('PEGAR'!$S$13:$S$512,IF(L394&gt;0,L394,K394)))</f>
      </c>
      <c r="F394" s="39">
        <f>IF(B394="","",IF(L394&gt;0,INDEX('PEGAR'!$F$13:$F$512,L394),""))</f>
      </c>
      <c r="G394" s="39">
        <f>IF(B394="","",IF(OR(M394=0,N394&gt;0,O394&gt;0),"",SUMIFS('PEGAR'!$M$13:$M$512,'PEGAR'!$O$13:$O$512,B394)))</f>
      </c>
      <c r="H394" s="39">
        <f>IF(AND(ISNUMBER(F394),ISNUMBER(G394)),G394-F394,"")</f>
      </c>
      <c r="I394" s="27">
        <f>IF(B394="","",IF(W394=2,"ROJO",IF(W394=1,"ÁMBAR","VERDE")))</f>
      </c>
      <c r="J394" s="30">
        <f>IF(B394="","",IF(W394=0,"Sin avisos numéricos. Revisamos el alcance aparte.",IF(L394=0,"Faltan datos completos de partida; no elegimos un total por suposición."&amp;CHAR(10),"")&amp;IF(N394&gt;0,"Hay filas incompletas o contradictorias; las revisamos en PEGAR."&amp;CHAR(10),"")&amp;IF(O394&gt;0,"Faltan las medidas de alguna fila; no cerramos la suma."&amp;CHAR(10),"")&amp;IF(M394=0,"No constan líneas de medición."&amp;CHAR(10),"")&amp;IF(IF(ISNUMBER(H394),ROUND(ABS(H394),8)&gt;$F$6,FALSE),"Las líneas difieren del total en más de 0,01; confirmamos cantidad o exclusión."&amp;CHAR(10),"")&amp;IF(P394&gt;0,"Parece m³: encontramos tres dimensiones bajo m²."&amp;CHAR(10),"")&amp;IF(R394&gt;0,"Código repetido dentro del capítulo; mantenemos sus ID separados."&amp;CHAR(10),"")&amp;IF(S394&gt;0,"Código repetido en otro capítulo; no unimos las partidas."&amp;CHAR(10),"")&amp;IF(T394&gt;0,"Mismo código con unidades distintas; pedimos aclaración."&amp;CHAR(10),"")&amp;IF(Q394&gt;0,"Hay más precisión que los decimales indicados; cotejamos el formato original."&amp;CHAR(10),"")&amp;IF(U394&gt;0,"Unidad sin normalizar; cotejamos su significado antes de sumar unidades."&amp;CHAR(10),"")&amp;IF(V394&gt;0,"Revisamos dimensiones, cantidades directas, ceros o deducciones en PEGAR."&amp;CHAR(10),"")))</f>
      </c>
      <c r="K394" s="0">
        <f>IF(382&gt;'RESUMEN'!$E$6,"",MATCH(382,'PEGAR'!$W$13:$W$512,0))</f>
      </c>
      <c r="L394" s="0">
        <f>IF(K394="","",INDEX('PEGAR'!$R$13:$R$512,K394))</f>
      </c>
      <c r="M394" s="0">
        <f>IF(B394="","",COUNTIFS('PEGAR'!$O$13:$O$512,B394,'PEGAR'!$P$13:$P$512,"DIMENSIONES")+COUNTIFS('PEGAR'!$O$13:$O$512,B394,'PEGAR'!$P$13:$P$512,"DIRECTA"))</f>
      </c>
      <c r="N394" s="0">
        <f>IF(B394="","",COUNTIFS('PEGAR'!$O$13:$O$512,B394,'PEGAR'!$X$13:$X$512,2))</f>
      </c>
      <c r="O394" s="0">
        <f>IF(B394="","",COUNTIFS('PEGAR'!$O$13:$O$512,B394,'PEGAR'!$P$13:$P$512,"SIN LÍNEAS"))</f>
      </c>
      <c r="P394" s="0">
        <f>IF(B394="","",SUMIFS('PEGAR'!$Y$13:$Y$512,'PEGAR'!$O$13:$O$512,B394))</f>
      </c>
      <c r="Q394" s="0">
        <f>IF(B394="","",SUMIFS('PEGAR'!$Z$13:$Z$512,'PEGAR'!$O$13:$O$512,B394))</f>
      </c>
      <c r="R394" s="0" t="n">
        <f>IF(OR(B394="",D394=""),0,SUMPRODUCT(--($B$13:$B$512&lt;&gt;""),--($D$13:$D$512=D394),--($C$13:$C$512=C394))-1)</f>
        <v>0</v>
      </c>
      <c r="S394" s="0" t="n">
        <f>IF(OR(B394="",D394=""),0,SUMPRODUCT(--($B$13:$B$512&lt;&gt;""),--($D$13:$D$512=D394),--($C$13:$C$512&lt;&gt;C394)))</f>
        <v>0</v>
      </c>
      <c r="T394" s="0" t="n">
        <f>IF(OR(B394="",D394=""),0,SUMPRODUCT(--($B$13:$B$512&lt;&gt;""),--($D$13:$D$512=D394),--($E$13:$E$512&lt;&gt;E394)))</f>
        <v>0</v>
      </c>
      <c r="U394" s="0" t="n">
        <f>IF(B394="",0,IF(SUMPRODUCT(--('LÉEME'!$C$65:$C$86=E394))=0,1,0))</f>
        <v>0</v>
      </c>
      <c r="V394" s="0">
        <f>IF(B394="","",SUMIFS('PEGAR'!$AA$13:$AA$512,'PEGAR'!$O$13:$O$512,B394))</f>
      </c>
      <c r="W394" s="0">
        <f>IF(B394="","",IF(OR(L394=0,N394&gt;0,T394&gt;0,IF(ISNUMBER(H394),ROUND(ABS(H394),8)&gt;$F$6,FALSE)),2,IF(OR(M394=0,O394&gt;0,P394&gt;0,Q394&gt;0,R394&gt;0,S394&gt;0,U394&gt;0,V394&gt;0),1,0)))</f>
      </c>
      <c r="X394" s="0">
        <f>IF(B394="","",IF(ISNUMBER(G394),1,0))</f>
      </c>
      <c r="AB394" s="0">
        <f>IF(AND(ISNUMBER(W394),W394&gt;0),"ID "&amp;B394,"")</f>
      </c>
      <c r="AC394" s="0">
        <f>IF(AND(ISNUMBER(W394),W394&gt;0),C394,"")</f>
      </c>
      <c r="AD394" s="0">
        <f>IF(AND(ISNUMBER(W394),W394&gt;0),D394,"")</f>
      </c>
      <c r="AE394" s="0">
        <f>IF(AND(ISNUMBER(W394),W394&gt;0),IF(INDEX('PEGAR'!$D$13:$D$512,IF(L394&gt;0,L394,K394))="","Sin descripción",INDEX('PEGAR'!$D$13:$D$512,IF(L394&gt;0,L394,K394))),"")</f>
      </c>
      <c r="AF394" s="0">
        <f>IF(AND(ISNUMBER(W394),W394&gt;0),J394,"")</f>
      </c>
      <c r="AG394" s="0" t="n">
        <f>IF(AND(ISNUMBER(W394),W394&gt;0),W394,0)</f>
        <v>0</v>
      </c>
      <c r="AH394" s="0">
        <f>IF(AG394&gt;0,COUNTIFS($AG$13:AG394,"&gt;0"),"")</f>
      </c>
    </row>
    <row r="395" ht="22" customHeight="1">
      <c r="B395" s="27">
        <f>IF(K395="","",INDEX('PEGAR'!$O$13:$O$512,K395))</f>
      </c>
      <c r="C395" s="30">
        <f>IF(B395="","",IF(LEN(TRIM(INDEX('PEGAR'!$B$13:$B$512,IF(L395&gt;0,L395,K395))&amp;""))=0,"Sin capítulo",TRIM(INDEX('PEGAR'!$B$13:$B$512,IF(L395&gt;0,L395,K395))&amp;"")))</f>
      </c>
      <c r="D395" s="27">
        <f>IF(B395="","",IF(LEN(TRIM(INDEX('PEGAR'!$C$13:$C$512,IF(L395&gt;0,L395,K395))&amp;""))=0,"",TRIM(INDEX('PEGAR'!$C$13:$C$512,IF(L395&gt;0,L395,K395))&amp;"")))</f>
      </c>
      <c r="E395" s="27">
        <f>IF(B395="","",INDEX('PEGAR'!$S$13:$S$512,IF(L395&gt;0,L395,K395)))</f>
      </c>
      <c r="F395" s="39">
        <f>IF(B395="","",IF(L395&gt;0,INDEX('PEGAR'!$F$13:$F$512,L395),""))</f>
      </c>
      <c r="G395" s="39">
        <f>IF(B395="","",IF(OR(M395=0,N395&gt;0,O395&gt;0),"",SUMIFS('PEGAR'!$M$13:$M$512,'PEGAR'!$O$13:$O$512,B395)))</f>
      </c>
      <c r="H395" s="39">
        <f>IF(AND(ISNUMBER(F395),ISNUMBER(G395)),G395-F395,"")</f>
      </c>
      <c r="I395" s="27">
        <f>IF(B395="","",IF(W395=2,"ROJO",IF(W395=1,"ÁMBAR","VERDE")))</f>
      </c>
      <c r="J395" s="30">
        <f>IF(B395="","",IF(W395=0,"Sin avisos numéricos. Revisamos el alcance aparte.",IF(L395=0,"Faltan datos completos de partida; no elegimos un total por suposición."&amp;CHAR(10),"")&amp;IF(N395&gt;0,"Hay filas incompletas o contradictorias; las revisamos en PEGAR."&amp;CHAR(10),"")&amp;IF(O395&gt;0,"Faltan las medidas de alguna fila; no cerramos la suma."&amp;CHAR(10),"")&amp;IF(M395=0,"No constan líneas de medición."&amp;CHAR(10),"")&amp;IF(IF(ISNUMBER(H395),ROUND(ABS(H395),8)&gt;$F$6,FALSE),"Las líneas difieren del total en más de 0,01; confirmamos cantidad o exclusión."&amp;CHAR(10),"")&amp;IF(P395&gt;0,"Parece m³: encontramos tres dimensiones bajo m²."&amp;CHAR(10),"")&amp;IF(R395&gt;0,"Código repetido dentro del capítulo; mantenemos sus ID separados."&amp;CHAR(10),"")&amp;IF(S395&gt;0,"Código repetido en otro capítulo; no unimos las partidas."&amp;CHAR(10),"")&amp;IF(T395&gt;0,"Mismo código con unidades distintas; pedimos aclaración."&amp;CHAR(10),"")&amp;IF(Q395&gt;0,"Hay más precisión que los decimales indicados; cotejamos el formato original."&amp;CHAR(10),"")&amp;IF(U395&gt;0,"Unidad sin normalizar; cotejamos su significado antes de sumar unidades."&amp;CHAR(10),"")&amp;IF(V395&gt;0,"Revisamos dimensiones, cantidades directas, ceros o deducciones en PEGAR."&amp;CHAR(10),"")))</f>
      </c>
      <c r="K395" s="0">
        <f>IF(383&gt;'RESUMEN'!$E$6,"",MATCH(383,'PEGAR'!$W$13:$W$512,0))</f>
      </c>
      <c r="L395" s="0">
        <f>IF(K395="","",INDEX('PEGAR'!$R$13:$R$512,K395))</f>
      </c>
      <c r="M395" s="0">
        <f>IF(B395="","",COUNTIFS('PEGAR'!$O$13:$O$512,B395,'PEGAR'!$P$13:$P$512,"DIMENSIONES")+COUNTIFS('PEGAR'!$O$13:$O$512,B395,'PEGAR'!$P$13:$P$512,"DIRECTA"))</f>
      </c>
      <c r="N395" s="0">
        <f>IF(B395="","",COUNTIFS('PEGAR'!$O$13:$O$512,B395,'PEGAR'!$X$13:$X$512,2))</f>
      </c>
      <c r="O395" s="0">
        <f>IF(B395="","",COUNTIFS('PEGAR'!$O$13:$O$512,B395,'PEGAR'!$P$13:$P$512,"SIN LÍNEAS"))</f>
      </c>
      <c r="P395" s="0">
        <f>IF(B395="","",SUMIFS('PEGAR'!$Y$13:$Y$512,'PEGAR'!$O$13:$O$512,B395))</f>
      </c>
      <c r="Q395" s="0">
        <f>IF(B395="","",SUMIFS('PEGAR'!$Z$13:$Z$512,'PEGAR'!$O$13:$O$512,B395))</f>
      </c>
      <c r="R395" s="0" t="n">
        <f>IF(OR(B395="",D395=""),0,SUMPRODUCT(--($B$13:$B$512&lt;&gt;""),--($D$13:$D$512=D395),--($C$13:$C$512=C395))-1)</f>
        <v>0</v>
      </c>
      <c r="S395" s="0" t="n">
        <f>IF(OR(B395="",D395=""),0,SUMPRODUCT(--($B$13:$B$512&lt;&gt;""),--($D$13:$D$512=D395),--($C$13:$C$512&lt;&gt;C395)))</f>
        <v>0</v>
      </c>
      <c r="T395" s="0" t="n">
        <f>IF(OR(B395="",D395=""),0,SUMPRODUCT(--($B$13:$B$512&lt;&gt;""),--($D$13:$D$512=D395),--($E$13:$E$512&lt;&gt;E395)))</f>
        <v>0</v>
      </c>
      <c r="U395" s="0" t="n">
        <f>IF(B395="",0,IF(SUMPRODUCT(--('LÉEME'!$C$65:$C$86=E395))=0,1,0))</f>
        <v>0</v>
      </c>
      <c r="V395" s="0">
        <f>IF(B395="","",SUMIFS('PEGAR'!$AA$13:$AA$512,'PEGAR'!$O$13:$O$512,B395))</f>
      </c>
      <c r="W395" s="0">
        <f>IF(B395="","",IF(OR(L395=0,N395&gt;0,T395&gt;0,IF(ISNUMBER(H395),ROUND(ABS(H395),8)&gt;$F$6,FALSE)),2,IF(OR(M395=0,O395&gt;0,P395&gt;0,Q395&gt;0,R395&gt;0,S395&gt;0,U395&gt;0,V395&gt;0),1,0)))</f>
      </c>
      <c r="X395" s="0">
        <f>IF(B395="","",IF(ISNUMBER(G395),1,0))</f>
      </c>
      <c r="AB395" s="0">
        <f>IF(AND(ISNUMBER(W395),W395&gt;0),"ID "&amp;B395,"")</f>
      </c>
      <c r="AC395" s="0">
        <f>IF(AND(ISNUMBER(W395),W395&gt;0),C395,"")</f>
      </c>
      <c r="AD395" s="0">
        <f>IF(AND(ISNUMBER(W395),W395&gt;0),D395,"")</f>
      </c>
      <c r="AE395" s="0">
        <f>IF(AND(ISNUMBER(W395),W395&gt;0),IF(INDEX('PEGAR'!$D$13:$D$512,IF(L395&gt;0,L395,K395))="","Sin descripción",INDEX('PEGAR'!$D$13:$D$512,IF(L395&gt;0,L395,K395))),"")</f>
      </c>
      <c r="AF395" s="0">
        <f>IF(AND(ISNUMBER(W395),W395&gt;0),J395,"")</f>
      </c>
      <c r="AG395" s="0" t="n">
        <f>IF(AND(ISNUMBER(W395),W395&gt;0),W395,0)</f>
        <v>0</v>
      </c>
      <c r="AH395" s="0">
        <f>IF(AG395&gt;0,COUNTIFS($AG$13:AG395,"&gt;0"),"")</f>
      </c>
    </row>
    <row r="396" ht="22" customHeight="1">
      <c r="B396" s="27">
        <f>IF(K396="","",INDEX('PEGAR'!$O$13:$O$512,K396))</f>
      </c>
      <c r="C396" s="30">
        <f>IF(B396="","",IF(LEN(TRIM(INDEX('PEGAR'!$B$13:$B$512,IF(L396&gt;0,L396,K396))&amp;""))=0,"Sin capítulo",TRIM(INDEX('PEGAR'!$B$13:$B$512,IF(L396&gt;0,L396,K396))&amp;"")))</f>
      </c>
      <c r="D396" s="27">
        <f>IF(B396="","",IF(LEN(TRIM(INDEX('PEGAR'!$C$13:$C$512,IF(L396&gt;0,L396,K396))&amp;""))=0,"",TRIM(INDEX('PEGAR'!$C$13:$C$512,IF(L396&gt;0,L396,K396))&amp;"")))</f>
      </c>
      <c r="E396" s="27">
        <f>IF(B396="","",INDEX('PEGAR'!$S$13:$S$512,IF(L396&gt;0,L396,K396)))</f>
      </c>
      <c r="F396" s="39">
        <f>IF(B396="","",IF(L396&gt;0,INDEX('PEGAR'!$F$13:$F$512,L396),""))</f>
      </c>
      <c r="G396" s="39">
        <f>IF(B396="","",IF(OR(M396=0,N396&gt;0,O396&gt;0),"",SUMIFS('PEGAR'!$M$13:$M$512,'PEGAR'!$O$13:$O$512,B396)))</f>
      </c>
      <c r="H396" s="39">
        <f>IF(AND(ISNUMBER(F396),ISNUMBER(G396)),G396-F396,"")</f>
      </c>
      <c r="I396" s="27">
        <f>IF(B396="","",IF(W396=2,"ROJO",IF(W396=1,"ÁMBAR","VERDE")))</f>
      </c>
      <c r="J396" s="30">
        <f>IF(B396="","",IF(W396=0,"Sin avisos numéricos. Revisamos el alcance aparte.",IF(L396=0,"Faltan datos completos de partida; no elegimos un total por suposición."&amp;CHAR(10),"")&amp;IF(N396&gt;0,"Hay filas incompletas o contradictorias; las revisamos en PEGAR."&amp;CHAR(10),"")&amp;IF(O396&gt;0,"Faltan las medidas de alguna fila; no cerramos la suma."&amp;CHAR(10),"")&amp;IF(M396=0,"No constan líneas de medición."&amp;CHAR(10),"")&amp;IF(IF(ISNUMBER(H396),ROUND(ABS(H396),8)&gt;$F$6,FALSE),"Las líneas difieren del total en más de 0,01; confirmamos cantidad o exclusión."&amp;CHAR(10),"")&amp;IF(P396&gt;0,"Parece m³: encontramos tres dimensiones bajo m²."&amp;CHAR(10),"")&amp;IF(R396&gt;0,"Código repetido dentro del capítulo; mantenemos sus ID separados."&amp;CHAR(10),"")&amp;IF(S396&gt;0,"Código repetido en otro capítulo; no unimos las partidas."&amp;CHAR(10),"")&amp;IF(T396&gt;0,"Mismo código con unidades distintas; pedimos aclaración."&amp;CHAR(10),"")&amp;IF(Q396&gt;0,"Hay más precisión que los decimales indicados; cotejamos el formato original."&amp;CHAR(10),"")&amp;IF(U396&gt;0,"Unidad sin normalizar; cotejamos su significado antes de sumar unidades."&amp;CHAR(10),"")&amp;IF(V396&gt;0,"Revisamos dimensiones, cantidades directas, ceros o deducciones en PEGAR."&amp;CHAR(10),"")))</f>
      </c>
      <c r="K396" s="0">
        <f>IF(384&gt;'RESUMEN'!$E$6,"",MATCH(384,'PEGAR'!$W$13:$W$512,0))</f>
      </c>
      <c r="L396" s="0">
        <f>IF(K396="","",INDEX('PEGAR'!$R$13:$R$512,K396))</f>
      </c>
      <c r="M396" s="0">
        <f>IF(B396="","",COUNTIFS('PEGAR'!$O$13:$O$512,B396,'PEGAR'!$P$13:$P$512,"DIMENSIONES")+COUNTIFS('PEGAR'!$O$13:$O$512,B396,'PEGAR'!$P$13:$P$512,"DIRECTA"))</f>
      </c>
      <c r="N396" s="0">
        <f>IF(B396="","",COUNTIFS('PEGAR'!$O$13:$O$512,B396,'PEGAR'!$X$13:$X$512,2))</f>
      </c>
      <c r="O396" s="0">
        <f>IF(B396="","",COUNTIFS('PEGAR'!$O$13:$O$512,B396,'PEGAR'!$P$13:$P$512,"SIN LÍNEAS"))</f>
      </c>
      <c r="P396" s="0">
        <f>IF(B396="","",SUMIFS('PEGAR'!$Y$13:$Y$512,'PEGAR'!$O$13:$O$512,B396))</f>
      </c>
      <c r="Q396" s="0">
        <f>IF(B396="","",SUMIFS('PEGAR'!$Z$13:$Z$512,'PEGAR'!$O$13:$O$512,B396))</f>
      </c>
      <c r="R396" s="0" t="n">
        <f>IF(OR(B396="",D396=""),0,SUMPRODUCT(--($B$13:$B$512&lt;&gt;""),--($D$13:$D$512=D396),--($C$13:$C$512=C396))-1)</f>
        <v>0</v>
      </c>
      <c r="S396" s="0" t="n">
        <f>IF(OR(B396="",D396=""),0,SUMPRODUCT(--($B$13:$B$512&lt;&gt;""),--($D$13:$D$512=D396),--($C$13:$C$512&lt;&gt;C396)))</f>
        <v>0</v>
      </c>
      <c r="T396" s="0" t="n">
        <f>IF(OR(B396="",D396=""),0,SUMPRODUCT(--($B$13:$B$512&lt;&gt;""),--($D$13:$D$512=D396),--($E$13:$E$512&lt;&gt;E396)))</f>
        <v>0</v>
      </c>
      <c r="U396" s="0" t="n">
        <f>IF(B396="",0,IF(SUMPRODUCT(--('LÉEME'!$C$65:$C$86=E396))=0,1,0))</f>
        <v>0</v>
      </c>
      <c r="V396" s="0">
        <f>IF(B396="","",SUMIFS('PEGAR'!$AA$13:$AA$512,'PEGAR'!$O$13:$O$512,B396))</f>
      </c>
      <c r="W396" s="0">
        <f>IF(B396="","",IF(OR(L396=0,N396&gt;0,T396&gt;0,IF(ISNUMBER(H396),ROUND(ABS(H396),8)&gt;$F$6,FALSE)),2,IF(OR(M396=0,O396&gt;0,P396&gt;0,Q396&gt;0,R396&gt;0,S396&gt;0,U396&gt;0,V396&gt;0),1,0)))</f>
      </c>
      <c r="X396" s="0">
        <f>IF(B396="","",IF(ISNUMBER(G396),1,0))</f>
      </c>
      <c r="AB396" s="0">
        <f>IF(AND(ISNUMBER(W396),W396&gt;0),"ID "&amp;B396,"")</f>
      </c>
      <c r="AC396" s="0">
        <f>IF(AND(ISNUMBER(W396),W396&gt;0),C396,"")</f>
      </c>
      <c r="AD396" s="0">
        <f>IF(AND(ISNUMBER(W396),W396&gt;0),D396,"")</f>
      </c>
      <c r="AE396" s="0">
        <f>IF(AND(ISNUMBER(W396),W396&gt;0),IF(INDEX('PEGAR'!$D$13:$D$512,IF(L396&gt;0,L396,K396))="","Sin descripción",INDEX('PEGAR'!$D$13:$D$512,IF(L396&gt;0,L396,K396))),"")</f>
      </c>
      <c r="AF396" s="0">
        <f>IF(AND(ISNUMBER(W396),W396&gt;0),J396,"")</f>
      </c>
      <c r="AG396" s="0" t="n">
        <f>IF(AND(ISNUMBER(W396),W396&gt;0),W396,0)</f>
        <v>0</v>
      </c>
      <c r="AH396" s="0">
        <f>IF(AG396&gt;0,COUNTIFS($AG$13:AG396,"&gt;0"),"")</f>
      </c>
    </row>
    <row r="397" ht="22" customHeight="1">
      <c r="B397" s="27">
        <f>IF(K397="","",INDEX('PEGAR'!$O$13:$O$512,K397))</f>
      </c>
      <c r="C397" s="30">
        <f>IF(B397="","",IF(LEN(TRIM(INDEX('PEGAR'!$B$13:$B$512,IF(L397&gt;0,L397,K397))&amp;""))=0,"Sin capítulo",TRIM(INDEX('PEGAR'!$B$13:$B$512,IF(L397&gt;0,L397,K397))&amp;"")))</f>
      </c>
      <c r="D397" s="27">
        <f>IF(B397="","",IF(LEN(TRIM(INDEX('PEGAR'!$C$13:$C$512,IF(L397&gt;0,L397,K397))&amp;""))=0,"",TRIM(INDEX('PEGAR'!$C$13:$C$512,IF(L397&gt;0,L397,K397))&amp;"")))</f>
      </c>
      <c r="E397" s="27">
        <f>IF(B397="","",INDEX('PEGAR'!$S$13:$S$512,IF(L397&gt;0,L397,K397)))</f>
      </c>
      <c r="F397" s="39">
        <f>IF(B397="","",IF(L397&gt;0,INDEX('PEGAR'!$F$13:$F$512,L397),""))</f>
      </c>
      <c r="G397" s="39">
        <f>IF(B397="","",IF(OR(M397=0,N397&gt;0,O397&gt;0),"",SUMIFS('PEGAR'!$M$13:$M$512,'PEGAR'!$O$13:$O$512,B397)))</f>
      </c>
      <c r="H397" s="39">
        <f>IF(AND(ISNUMBER(F397),ISNUMBER(G397)),G397-F397,"")</f>
      </c>
      <c r="I397" s="27">
        <f>IF(B397="","",IF(W397=2,"ROJO",IF(W397=1,"ÁMBAR","VERDE")))</f>
      </c>
      <c r="J397" s="30">
        <f>IF(B397="","",IF(W397=0,"Sin avisos numéricos. Revisamos el alcance aparte.",IF(L397=0,"Faltan datos completos de partida; no elegimos un total por suposición."&amp;CHAR(10),"")&amp;IF(N397&gt;0,"Hay filas incompletas o contradictorias; las revisamos en PEGAR."&amp;CHAR(10),"")&amp;IF(O397&gt;0,"Faltan las medidas de alguna fila; no cerramos la suma."&amp;CHAR(10),"")&amp;IF(M397=0,"No constan líneas de medición."&amp;CHAR(10),"")&amp;IF(IF(ISNUMBER(H397),ROUND(ABS(H397),8)&gt;$F$6,FALSE),"Las líneas difieren del total en más de 0,01; confirmamos cantidad o exclusión."&amp;CHAR(10),"")&amp;IF(P397&gt;0,"Parece m³: encontramos tres dimensiones bajo m²."&amp;CHAR(10),"")&amp;IF(R397&gt;0,"Código repetido dentro del capítulo; mantenemos sus ID separados."&amp;CHAR(10),"")&amp;IF(S397&gt;0,"Código repetido en otro capítulo; no unimos las partidas."&amp;CHAR(10),"")&amp;IF(T397&gt;0,"Mismo código con unidades distintas; pedimos aclaración."&amp;CHAR(10),"")&amp;IF(Q397&gt;0,"Hay más precisión que los decimales indicados; cotejamos el formato original."&amp;CHAR(10),"")&amp;IF(U397&gt;0,"Unidad sin normalizar; cotejamos su significado antes de sumar unidades."&amp;CHAR(10),"")&amp;IF(V397&gt;0,"Revisamos dimensiones, cantidades directas, ceros o deducciones en PEGAR."&amp;CHAR(10),"")))</f>
      </c>
      <c r="K397" s="0">
        <f>IF(385&gt;'RESUMEN'!$E$6,"",MATCH(385,'PEGAR'!$W$13:$W$512,0))</f>
      </c>
      <c r="L397" s="0">
        <f>IF(K397="","",INDEX('PEGAR'!$R$13:$R$512,K397))</f>
      </c>
      <c r="M397" s="0">
        <f>IF(B397="","",COUNTIFS('PEGAR'!$O$13:$O$512,B397,'PEGAR'!$P$13:$P$512,"DIMENSIONES")+COUNTIFS('PEGAR'!$O$13:$O$512,B397,'PEGAR'!$P$13:$P$512,"DIRECTA"))</f>
      </c>
      <c r="N397" s="0">
        <f>IF(B397="","",COUNTIFS('PEGAR'!$O$13:$O$512,B397,'PEGAR'!$X$13:$X$512,2))</f>
      </c>
      <c r="O397" s="0">
        <f>IF(B397="","",COUNTIFS('PEGAR'!$O$13:$O$512,B397,'PEGAR'!$P$13:$P$512,"SIN LÍNEAS"))</f>
      </c>
      <c r="P397" s="0">
        <f>IF(B397="","",SUMIFS('PEGAR'!$Y$13:$Y$512,'PEGAR'!$O$13:$O$512,B397))</f>
      </c>
      <c r="Q397" s="0">
        <f>IF(B397="","",SUMIFS('PEGAR'!$Z$13:$Z$512,'PEGAR'!$O$13:$O$512,B397))</f>
      </c>
      <c r="R397" s="0" t="n">
        <f>IF(OR(B397="",D397=""),0,SUMPRODUCT(--($B$13:$B$512&lt;&gt;""),--($D$13:$D$512=D397),--($C$13:$C$512=C397))-1)</f>
        <v>0</v>
      </c>
      <c r="S397" s="0" t="n">
        <f>IF(OR(B397="",D397=""),0,SUMPRODUCT(--($B$13:$B$512&lt;&gt;""),--($D$13:$D$512=D397),--($C$13:$C$512&lt;&gt;C397)))</f>
        <v>0</v>
      </c>
      <c r="T397" s="0" t="n">
        <f>IF(OR(B397="",D397=""),0,SUMPRODUCT(--($B$13:$B$512&lt;&gt;""),--($D$13:$D$512=D397),--($E$13:$E$512&lt;&gt;E397)))</f>
        <v>0</v>
      </c>
      <c r="U397" s="0" t="n">
        <f>IF(B397="",0,IF(SUMPRODUCT(--('LÉEME'!$C$65:$C$86=E397))=0,1,0))</f>
        <v>0</v>
      </c>
      <c r="V397" s="0">
        <f>IF(B397="","",SUMIFS('PEGAR'!$AA$13:$AA$512,'PEGAR'!$O$13:$O$512,B397))</f>
      </c>
      <c r="W397" s="0">
        <f>IF(B397="","",IF(OR(L397=0,N397&gt;0,T397&gt;0,IF(ISNUMBER(H397),ROUND(ABS(H397),8)&gt;$F$6,FALSE)),2,IF(OR(M397=0,O397&gt;0,P397&gt;0,Q397&gt;0,R397&gt;0,S397&gt;0,U397&gt;0,V397&gt;0),1,0)))</f>
      </c>
      <c r="X397" s="0">
        <f>IF(B397="","",IF(ISNUMBER(G397),1,0))</f>
      </c>
      <c r="AB397" s="0">
        <f>IF(AND(ISNUMBER(W397),W397&gt;0),"ID "&amp;B397,"")</f>
      </c>
      <c r="AC397" s="0">
        <f>IF(AND(ISNUMBER(W397),W397&gt;0),C397,"")</f>
      </c>
      <c r="AD397" s="0">
        <f>IF(AND(ISNUMBER(W397),W397&gt;0),D397,"")</f>
      </c>
      <c r="AE397" s="0">
        <f>IF(AND(ISNUMBER(W397),W397&gt;0),IF(INDEX('PEGAR'!$D$13:$D$512,IF(L397&gt;0,L397,K397))="","Sin descripción",INDEX('PEGAR'!$D$13:$D$512,IF(L397&gt;0,L397,K397))),"")</f>
      </c>
      <c r="AF397" s="0">
        <f>IF(AND(ISNUMBER(W397),W397&gt;0),J397,"")</f>
      </c>
      <c r="AG397" s="0" t="n">
        <f>IF(AND(ISNUMBER(W397),W397&gt;0),W397,0)</f>
        <v>0</v>
      </c>
      <c r="AH397" s="0">
        <f>IF(AG397&gt;0,COUNTIFS($AG$13:AG397,"&gt;0"),"")</f>
      </c>
    </row>
    <row r="398" ht="22" customHeight="1">
      <c r="B398" s="27">
        <f>IF(K398="","",INDEX('PEGAR'!$O$13:$O$512,K398))</f>
      </c>
      <c r="C398" s="30">
        <f>IF(B398="","",IF(LEN(TRIM(INDEX('PEGAR'!$B$13:$B$512,IF(L398&gt;0,L398,K398))&amp;""))=0,"Sin capítulo",TRIM(INDEX('PEGAR'!$B$13:$B$512,IF(L398&gt;0,L398,K398))&amp;"")))</f>
      </c>
      <c r="D398" s="27">
        <f>IF(B398="","",IF(LEN(TRIM(INDEX('PEGAR'!$C$13:$C$512,IF(L398&gt;0,L398,K398))&amp;""))=0,"",TRIM(INDEX('PEGAR'!$C$13:$C$512,IF(L398&gt;0,L398,K398))&amp;"")))</f>
      </c>
      <c r="E398" s="27">
        <f>IF(B398="","",INDEX('PEGAR'!$S$13:$S$512,IF(L398&gt;0,L398,K398)))</f>
      </c>
      <c r="F398" s="39">
        <f>IF(B398="","",IF(L398&gt;0,INDEX('PEGAR'!$F$13:$F$512,L398),""))</f>
      </c>
      <c r="G398" s="39">
        <f>IF(B398="","",IF(OR(M398=0,N398&gt;0,O398&gt;0),"",SUMIFS('PEGAR'!$M$13:$M$512,'PEGAR'!$O$13:$O$512,B398)))</f>
      </c>
      <c r="H398" s="39">
        <f>IF(AND(ISNUMBER(F398),ISNUMBER(G398)),G398-F398,"")</f>
      </c>
      <c r="I398" s="27">
        <f>IF(B398="","",IF(W398=2,"ROJO",IF(W398=1,"ÁMBAR","VERDE")))</f>
      </c>
      <c r="J398" s="30">
        <f>IF(B398="","",IF(W398=0,"Sin avisos numéricos. Revisamos el alcance aparte.",IF(L398=0,"Faltan datos completos de partida; no elegimos un total por suposición."&amp;CHAR(10),"")&amp;IF(N398&gt;0,"Hay filas incompletas o contradictorias; las revisamos en PEGAR."&amp;CHAR(10),"")&amp;IF(O398&gt;0,"Faltan las medidas de alguna fila; no cerramos la suma."&amp;CHAR(10),"")&amp;IF(M398=0,"No constan líneas de medición."&amp;CHAR(10),"")&amp;IF(IF(ISNUMBER(H398),ROUND(ABS(H398),8)&gt;$F$6,FALSE),"Las líneas difieren del total en más de 0,01; confirmamos cantidad o exclusión."&amp;CHAR(10),"")&amp;IF(P398&gt;0,"Parece m³: encontramos tres dimensiones bajo m²."&amp;CHAR(10),"")&amp;IF(R398&gt;0,"Código repetido dentro del capítulo; mantenemos sus ID separados."&amp;CHAR(10),"")&amp;IF(S398&gt;0,"Código repetido en otro capítulo; no unimos las partidas."&amp;CHAR(10),"")&amp;IF(T398&gt;0,"Mismo código con unidades distintas; pedimos aclaración."&amp;CHAR(10),"")&amp;IF(Q398&gt;0,"Hay más precisión que los decimales indicados; cotejamos el formato original."&amp;CHAR(10),"")&amp;IF(U398&gt;0,"Unidad sin normalizar; cotejamos su significado antes de sumar unidades."&amp;CHAR(10),"")&amp;IF(V398&gt;0,"Revisamos dimensiones, cantidades directas, ceros o deducciones en PEGAR."&amp;CHAR(10),"")))</f>
      </c>
      <c r="K398" s="0">
        <f>IF(386&gt;'RESUMEN'!$E$6,"",MATCH(386,'PEGAR'!$W$13:$W$512,0))</f>
      </c>
      <c r="L398" s="0">
        <f>IF(K398="","",INDEX('PEGAR'!$R$13:$R$512,K398))</f>
      </c>
      <c r="M398" s="0">
        <f>IF(B398="","",COUNTIFS('PEGAR'!$O$13:$O$512,B398,'PEGAR'!$P$13:$P$512,"DIMENSIONES")+COUNTIFS('PEGAR'!$O$13:$O$512,B398,'PEGAR'!$P$13:$P$512,"DIRECTA"))</f>
      </c>
      <c r="N398" s="0">
        <f>IF(B398="","",COUNTIFS('PEGAR'!$O$13:$O$512,B398,'PEGAR'!$X$13:$X$512,2))</f>
      </c>
      <c r="O398" s="0">
        <f>IF(B398="","",COUNTIFS('PEGAR'!$O$13:$O$512,B398,'PEGAR'!$P$13:$P$512,"SIN LÍNEAS"))</f>
      </c>
      <c r="P398" s="0">
        <f>IF(B398="","",SUMIFS('PEGAR'!$Y$13:$Y$512,'PEGAR'!$O$13:$O$512,B398))</f>
      </c>
      <c r="Q398" s="0">
        <f>IF(B398="","",SUMIFS('PEGAR'!$Z$13:$Z$512,'PEGAR'!$O$13:$O$512,B398))</f>
      </c>
      <c r="R398" s="0" t="n">
        <f>IF(OR(B398="",D398=""),0,SUMPRODUCT(--($B$13:$B$512&lt;&gt;""),--($D$13:$D$512=D398),--($C$13:$C$512=C398))-1)</f>
        <v>0</v>
      </c>
      <c r="S398" s="0" t="n">
        <f>IF(OR(B398="",D398=""),0,SUMPRODUCT(--($B$13:$B$512&lt;&gt;""),--($D$13:$D$512=D398),--($C$13:$C$512&lt;&gt;C398)))</f>
        <v>0</v>
      </c>
      <c r="T398" s="0" t="n">
        <f>IF(OR(B398="",D398=""),0,SUMPRODUCT(--($B$13:$B$512&lt;&gt;""),--($D$13:$D$512=D398),--($E$13:$E$512&lt;&gt;E398)))</f>
        <v>0</v>
      </c>
      <c r="U398" s="0" t="n">
        <f>IF(B398="",0,IF(SUMPRODUCT(--('LÉEME'!$C$65:$C$86=E398))=0,1,0))</f>
        <v>0</v>
      </c>
      <c r="V398" s="0">
        <f>IF(B398="","",SUMIFS('PEGAR'!$AA$13:$AA$512,'PEGAR'!$O$13:$O$512,B398))</f>
      </c>
      <c r="W398" s="0">
        <f>IF(B398="","",IF(OR(L398=0,N398&gt;0,T398&gt;0,IF(ISNUMBER(H398),ROUND(ABS(H398),8)&gt;$F$6,FALSE)),2,IF(OR(M398=0,O398&gt;0,P398&gt;0,Q398&gt;0,R398&gt;0,S398&gt;0,U398&gt;0,V398&gt;0),1,0)))</f>
      </c>
      <c r="X398" s="0">
        <f>IF(B398="","",IF(ISNUMBER(G398),1,0))</f>
      </c>
      <c r="AB398" s="0">
        <f>IF(AND(ISNUMBER(W398),W398&gt;0),"ID "&amp;B398,"")</f>
      </c>
      <c r="AC398" s="0">
        <f>IF(AND(ISNUMBER(W398),W398&gt;0),C398,"")</f>
      </c>
      <c r="AD398" s="0">
        <f>IF(AND(ISNUMBER(W398),W398&gt;0),D398,"")</f>
      </c>
      <c r="AE398" s="0">
        <f>IF(AND(ISNUMBER(W398),W398&gt;0),IF(INDEX('PEGAR'!$D$13:$D$512,IF(L398&gt;0,L398,K398))="","Sin descripción",INDEX('PEGAR'!$D$13:$D$512,IF(L398&gt;0,L398,K398))),"")</f>
      </c>
      <c r="AF398" s="0">
        <f>IF(AND(ISNUMBER(W398),W398&gt;0),J398,"")</f>
      </c>
      <c r="AG398" s="0" t="n">
        <f>IF(AND(ISNUMBER(W398),W398&gt;0),W398,0)</f>
        <v>0</v>
      </c>
      <c r="AH398" s="0">
        <f>IF(AG398&gt;0,COUNTIFS($AG$13:AG398,"&gt;0"),"")</f>
      </c>
    </row>
    <row r="399" ht="22" customHeight="1">
      <c r="B399" s="27">
        <f>IF(K399="","",INDEX('PEGAR'!$O$13:$O$512,K399))</f>
      </c>
      <c r="C399" s="30">
        <f>IF(B399="","",IF(LEN(TRIM(INDEX('PEGAR'!$B$13:$B$512,IF(L399&gt;0,L399,K399))&amp;""))=0,"Sin capítulo",TRIM(INDEX('PEGAR'!$B$13:$B$512,IF(L399&gt;0,L399,K399))&amp;"")))</f>
      </c>
      <c r="D399" s="27">
        <f>IF(B399="","",IF(LEN(TRIM(INDEX('PEGAR'!$C$13:$C$512,IF(L399&gt;0,L399,K399))&amp;""))=0,"",TRIM(INDEX('PEGAR'!$C$13:$C$512,IF(L399&gt;0,L399,K399))&amp;"")))</f>
      </c>
      <c r="E399" s="27">
        <f>IF(B399="","",INDEX('PEGAR'!$S$13:$S$512,IF(L399&gt;0,L399,K399)))</f>
      </c>
      <c r="F399" s="39">
        <f>IF(B399="","",IF(L399&gt;0,INDEX('PEGAR'!$F$13:$F$512,L399),""))</f>
      </c>
      <c r="G399" s="39">
        <f>IF(B399="","",IF(OR(M399=0,N399&gt;0,O399&gt;0),"",SUMIFS('PEGAR'!$M$13:$M$512,'PEGAR'!$O$13:$O$512,B399)))</f>
      </c>
      <c r="H399" s="39">
        <f>IF(AND(ISNUMBER(F399),ISNUMBER(G399)),G399-F399,"")</f>
      </c>
      <c r="I399" s="27">
        <f>IF(B399="","",IF(W399=2,"ROJO",IF(W399=1,"ÁMBAR","VERDE")))</f>
      </c>
      <c r="J399" s="30">
        <f>IF(B399="","",IF(W399=0,"Sin avisos numéricos. Revisamos el alcance aparte.",IF(L399=0,"Faltan datos completos de partida; no elegimos un total por suposición."&amp;CHAR(10),"")&amp;IF(N399&gt;0,"Hay filas incompletas o contradictorias; las revisamos en PEGAR."&amp;CHAR(10),"")&amp;IF(O399&gt;0,"Faltan las medidas de alguna fila; no cerramos la suma."&amp;CHAR(10),"")&amp;IF(M399=0,"No constan líneas de medición."&amp;CHAR(10),"")&amp;IF(IF(ISNUMBER(H399),ROUND(ABS(H399),8)&gt;$F$6,FALSE),"Las líneas difieren del total en más de 0,01; confirmamos cantidad o exclusión."&amp;CHAR(10),"")&amp;IF(P399&gt;0,"Parece m³: encontramos tres dimensiones bajo m²."&amp;CHAR(10),"")&amp;IF(R399&gt;0,"Código repetido dentro del capítulo; mantenemos sus ID separados."&amp;CHAR(10),"")&amp;IF(S399&gt;0,"Código repetido en otro capítulo; no unimos las partidas."&amp;CHAR(10),"")&amp;IF(T399&gt;0,"Mismo código con unidades distintas; pedimos aclaración."&amp;CHAR(10),"")&amp;IF(Q399&gt;0,"Hay más precisión que los decimales indicados; cotejamos el formato original."&amp;CHAR(10),"")&amp;IF(U399&gt;0,"Unidad sin normalizar; cotejamos su significado antes de sumar unidades."&amp;CHAR(10),"")&amp;IF(V399&gt;0,"Revisamos dimensiones, cantidades directas, ceros o deducciones en PEGAR."&amp;CHAR(10),"")))</f>
      </c>
      <c r="K399" s="0">
        <f>IF(387&gt;'RESUMEN'!$E$6,"",MATCH(387,'PEGAR'!$W$13:$W$512,0))</f>
      </c>
      <c r="L399" s="0">
        <f>IF(K399="","",INDEX('PEGAR'!$R$13:$R$512,K399))</f>
      </c>
      <c r="M399" s="0">
        <f>IF(B399="","",COUNTIFS('PEGAR'!$O$13:$O$512,B399,'PEGAR'!$P$13:$P$512,"DIMENSIONES")+COUNTIFS('PEGAR'!$O$13:$O$512,B399,'PEGAR'!$P$13:$P$512,"DIRECTA"))</f>
      </c>
      <c r="N399" s="0">
        <f>IF(B399="","",COUNTIFS('PEGAR'!$O$13:$O$512,B399,'PEGAR'!$X$13:$X$512,2))</f>
      </c>
      <c r="O399" s="0">
        <f>IF(B399="","",COUNTIFS('PEGAR'!$O$13:$O$512,B399,'PEGAR'!$P$13:$P$512,"SIN LÍNEAS"))</f>
      </c>
      <c r="P399" s="0">
        <f>IF(B399="","",SUMIFS('PEGAR'!$Y$13:$Y$512,'PEGAR'!$O$13:$O$512,B399))</f>
      </c>
      <c r="Q399" s="0">
        <f>IF(B399="","",SUMIFS('PEGAR'!$Z$13:$Z$512,'PEGAR'!$O$13:$O$512,B399))</f>
      </c>
      <c r="R399" s="0" t="n">
        <f>IF(OR(B399="",D399=""),0,SUMPRODUCT(--($B$13:$B$512&lt;&gt;""),--($D$13:$D$512=D399),--($C$13:$C$512=C399))-1)</f>
        <v>0</v>
      </c>
      <c r="S399" s="0" t="n">
        <f>IF(OR(B399="",D399=""),0,SUMPRODUCT(--($B$13:$B$512&lt;&gt;""),--($D$13:$D$512=D399),--($C$13:$C$512&lt;&gt;C399)))</f>
        <v>0</v>
      </c>
      <c r="T399" s="0" t="n">
        <f>IF(OR(B399="",D399=""),0,SUMPRODUCT(--($B$13:$B$512&lt;&gt;""),--($D$13:$D$512=D399),--($E$13:$E$512&lt;&gt;E399)))</f>
        <v>0</v>
      </c>
      <c r="U399" s="0" t="n">
        <f>IF(B399="",0,IF(SUMPRODUCT(--('LÉEME'!$C$65:$C$86=E399))=0,1,0))</f>
        <v>0</v>
      </c>
      <c r="V399" s="0">
        <f>IF(B399="","",SUMIFS('PEGAR'!$AA$13:$AA$512,'PEGAR'!$O$13:$O$512,B399))</f>
      </c>
      <c r="W399" s="0">
        <f>IF(B399="","",IF(OR(L399=0,N399&gt;0,T399&gt;0,IF(ISNUMBER(H399),ROUND(ABS(H399),8)&gt;$F$6,FALSE)),2,IF(OR(M399=0,O399&gt;0,P399&gt;0,Q399&gt;0,R399&gt;0,S399&gt;0,U399&gt;0,V399&gt;0),1,0)))</f>
      </c>
      <c r="X399" s="0">
        <f>IF(B399="","",IF(ISNUMBER(G399),1,0))</f>
      </c>
      <c r="AB399" s="0">
        <f>IF(AND(ISNUMBER(W399),W399&gt;0),"ID "&amp;B399,"")</f>
      </c>
      <c r="AC399" s="0">
        <f>IF(AND(ISNUMBER(W399),W399&gt;0),C399,"")</f>
      </c>
      <c r="AD399" s="0">
        <f>IF(AND(ISNUMBER(W399),W399&gt;0),D399,"")</f>
      </c>
      <c r="AE399" s="0">
        <f>IF(AND(ISNUMBER(W399),W399&gt;0),IF(INDEX('PEGAR'!$D$13:$D$512,IF(L399&gt;0,L399,K399))="","Sin descripción",INDEX('PEGAR'!$D$13:$D$512,IF(L399&gt;0,L399,K399))),"")</f>
      </c>
      <c r="AF399" s="0">
        <f>IF(AND(ISNUMBER(W399),W399&gt;0),J399,"")</f>
      </c>
      <c r="AG399" s="0" t="n">
        <f>IF(AND(ISNUMBER(W399),W399&gt;0),W399,0)</f>
        <v>0</v>
      </c>
      <c r="AH399" s="0">
        <f>IF(AG399&gt;0,COUNTIFS($AG$13:AG399,"&gt;0"),"")</f>
      </c>
    </row>
    <row r="400" ht="22" customHeight="1">
      <c r="B400" s="27">
        <f>IF(K400="","",INDEX('PEGAR'!$O$13:$O$512,K400))</f>
      </c>
      <c r="C400" s="30">
        <f>IF(B400="","",IF(LEN(TRIM(INDEX('PEGAR'!$B$13:$B$512,IF(L400&gt;0,L400,K400))&amp;""))=0,"Sin capítulo",TRIM(INDEX('PEGAR'!$B$13:$B$512,IF(L400&gt;0,L400,K400))&amp;"")))</f>
      </c>
      <c r="D400" s="27">
        <f>IF(B400="","",IF(LEN(TRIM(INDEX('PEGAR'!$C$13:$C$512,IF(L400&gt;0,L400,K400))&amp;""))=0,"",TRIM(INDEX('PEGAR'!$C$13:$C$512,IF(L400&gt;0,L400,K400))&amp;"")))</f>
      </c>
      <c r="E400" s="27">
        <f>IF(B400="","",INDEX('PEGAR'!$S$13:$S$512,IF(L400&gt;0,L400,K400)))</f>
      </c>
      <c r="F400" s="39">
        <f>IF(B400="","",IF(L400&gt;0,INDEX('PEGAR'!$F$13:$F$512,L400),""))</f>
      </c>
      <c r="G400" s="39">
        <f>IF(B400="","",IF(OR(M400=0,N400&gt;0,O400&gt;0),"",SUMIFS('PEGAR'!$M$13:$M$512,'PEGAR'!$O$13:$O$512,B400)))</f>
      </c>
      <c r="H400" s="39">
        <f>IF(AND(ISNUMBER(F400),ISNUMBER(G400)),G400-F400,"")</f>
      </c>
      <c r="I400" s="27">
        <f>IF(B400="","",IF(W400=2,"ROJO",IF(W400=1,"ÁMBAR","VERDE")))</f>
      </c>
      <c r="J400" s="30">
        <f>IF(B400="","",IF(W400=0,"Sin avisos numéricos. Revisamos el alcance aparte.",IF(L400=0,"Faltan datos completos de partida; no elegimos un total por suposición."&amp;CHAR(10),"")&amp;IF(N400&gt;0,"Hay filas incompletas o contradictorias; las revisamos en PEGAR."&amp;CHAR(10),"")&amp;IF(O400&gt;0,"Faltan las medidas de alguna fila; no cerramos la suma."&amp;CHAR(10),"")&amp;IF(M400=0,"No constan líneas de medición."&amp;CHAR(10),"")&amp;IF(IF(ISNUMBER(H400),ROUND(ABS(H400),8)&gt;$F$6,FALSE),"Las líneas difieren del total en más de 0,01; confirmamos cantidad o exclusión."&amp;CHAR(10),"")&amp;IF(P400&gt;0,"Parece m³: encontramos tres dimensiones bajo m²."&amp;CHAR(10),"")&amp;IF(R400&gt;0,"Código repetido dentro del capítulo; mantenemos sus ID separados."&amp;CHAR(10),"")&amp;IF(S400&gt;0,"Código repetido en otro capítulo; no unimos las partidas."&amp;CHAR(10),"")&amp;IF(T400&gt;0,"Mismo código con unidades distintas; pedimos aclaración."&amp;CHAR(10),"")&amp;IF(Q400&gt;0,"Hay más precisión que los decimales indicados; cotejamos el formato original."&amp;CHAR(10),"")&amp;IF(U400&gt;0,"Unidad sin normalizar; cotejamos su significado antes de sumar unidades."&amp;CHAR(10),"")&amp;IF(V400&gt;0,"Revisamos dimensiones, cantidades directas, ceros o deducciones en PEGAR."&amp;CHAR(10),"")))</f>
      </c>
      <c r="K400" s="0">
        <f>IF(388&gt;'RESUMEN'!$E$6,"",MATCH(388,'PEGAR'!$W$13:$W$512,0))</f>
      </c>
      <c r="L400" s="0">
        <f>IF(K400="","",INDEX('PEGAR'!$R$13:$R$512,K400))</f>
      </c>
      <c r="M400" s="0">
        <f>IF(B400="","",COUNTIFS('PEGAR'!$O$13:$O$512,B400,'PEGAR'!$P$13:$P$512,"DIMENSIONES")+COUNTIFS('PEGAR'!$O$13:$O$512,B400,'PEGAR'!$P$13:$P$512,"DIRECTA"))</f>
      </c>
      <c r="N400" s="0">
        <f>IF(B400="","",COUNTIFS('PEGAR'!$O$13:$O$512,B400,'PEGAR'!$X$13:$X$512,2))</f>
      </c>
      <c r="O400" s="0">
        <f>IF(B400="","",COUNTIFS('PEGAR'!$O$13:$O$512,B400,'PEGAR'!$P$13:$P$512,"SIN LÍNEAS"))</f>
      </c>
      <c r="P400" s="0">
        <f>IF(B400="","",SUMIFS('PEGAR'!$Y$13:$Y$512,'PEGAR'!$O$13:$O$512,B400))</f>
      </c>
      <c r="Q400" s="0">
        <f>IF(B400="","",SUMIFS('PEGAR'!$Z$13:$Z$512,'PEGAR'!$O$13:$O$512,B400))</f>
      </c>
      <c r="R400" s="0" t="n">
        <f>IF(OR(B400="",D400=""),0,SUMPRODUCT(--($B$13:$B$512&lt;&gt;""),--($D$13:$D$512=D400),--($C$13:$C$512=C400))-1)</f>
        <v>0</v>
      </c>
      <c r="S400" s="0" t="n">
        <f>IF(OR(B400="",D400=""),0,SUMPRODUCT(--($B$13:$B$512&lt;&gt;""),--($D$13:$D$512=D400),--($C$13:$C$512&lt;&gt;C400)))</f>
        <v>0</v>
      </c>
      <c r="T400" s="0" t="n">
        <f>IF(OR(B400="",D400=""),0,SUMPRODUCT(--($B$13:$B$512&lt;&gt;""),--($D$13:$D$512=D400),--($E$13:$E$512&lt;&gt;E400)))</f>
        <v>0</v>
      </c>
      <c r="U400" s="0" t="n">
        <f>IF(B400="",0,IF(SUMPRODUCT(--('LÉEME'!$C$65:$C$86=E400))=0,1,0))</f>
        <v>0</v>
      </c>
      <c r="V400" s="0">
        <f>IF(B400="","",SUMIFS('PEGAR'!$AA$13:$AA$512,'PEGAR'!$O$13:$O$512,B400))</f>
      </c>
      <c r="W400" s="0">
        <f>IF(B400="","",IF(OR(L400=0,N400&gt;0,T400&gt;0,IF(ISNUMBER(H400),ROUND(ABS(H400),8)&gt;$F$6,FALSE)),2,IF(OR(M400=0,O400&gt;0,P400&gt;0,Q400&gt;0,R400&gt;0,S400&gt;0,U400&gt;0,V400&gt;0),1,0)))</f>
      </c>
      <c r="X400" s="0">
        <f>IF(B400="","",IF(ISNUMBER(G400),1,0))</f>
      </c>
      <c r="AB400" s="0">
        <f>IF(AND(ISNUMBER(W400),W400&gt;0),"ID "&amp;B400,"")</f>
      </c>
      <c r="AC400" s="0">
        <f>IF(AND(ISNUMBER(W400),W400&gt;0),C400,"")</f>
      </c>
      <c r="AD400" s="0">
        <f>IF(AND(ISNUMBER(W400),W400&gt;0),D400,"")</f>
      </c>
      <c r="AE400" s="0">
        <f>IF(AND(ISNUMBER(W400),W400&gt;0),IF(INDEX('PEGAR'!$D$13:$D$512,IF(L400&gt;0,L400,K400))="","Sin descripción",INDEX('PEGAR'!$D$13:$D$512,IF(L400&gt;0,L400,K400))),"")</f>
      </c>
      <c r="AF400" s="0">
        <f>IF(AND(ISNUMBER(W400),W400&gt;0),J400,"")</f>
      </c>
      <c r="AG400" s="0" t="n">
        <f>IF(AND(ISNUMBER(W400),W400&gt;0),W400,0)</f>
        <v>0</v>
      </c>
      <c r="AH400" s="0">
        <f>IF(AG400&gt;0,COUNTIFS($AG$13:AG400,"&gt;0"),"")</f>
      </c>
    </row>
    <row r="401" ht="22" customHeight="1">
      <c r="B401" s="27">
        <f>IF(K401="","",INDEX('PEGAR'!$O$13:$O$512,K401))</f>
      </c>
      <c r="C401" s="30">
        <f>IF(B401="","",IF(LEN(TRIM(INDEX('PEGAR'!$B$13:$B$512,IF(L401&gt;0,L401,K401))&amp;""))=0,"Sin capítulo",TRIM(INDEX('PEGAR'!$B$13:$B$512,IF(L401&gt;0,L401,K401))&amp;"")))</f>
      </c>
      <c r="D401" s="27">
        <f>IF(B401="","",IF(LEN(TRIM(INDEX('PEGAR'!$C$13:$C$512,IF(L401&gt;0,L401,K401))&amp;""))=0,"",TRIM(INDEX('PEGAR'!$C$13:$C$512,IF(L401&gt;0,L401,K401))&amp;"")))</f>
      </c>
      <c r="E401" s="27">
        <f>IF(B401="","",INDEX('PEGAR'!$S$13:$S$512,IF(L401&gt;0,L401,K401)))</f>
      </c>
      <c r="F401" s="39">
        <f>IF(B401="","",IF(L401&gt;0,INDEX('PEGAR'!$F$13:$F$512,L401),""))</f>
      </c>
      <c r="G401" s="39">
        <f>IF(B401="","",IF(OR(M401=0,N401&gt;0,O401&gt;0),"",SUMIFS('PEGAR'!$M$13:$M$512,'PEGAR'!$O$13:$O$512,B401)))</f>
      </c>
      <c r="H401" s="39">
        <f>IF(AND(ISNUMBER(F401),ISNUMBER(G401)),G401-F401,"")</f>
      </c>
      <c r="I401" s="27">
        <f>IF(B401="","",IF(W401=2,"ROJO",IF(W401=1,"ÁMBAR","VERDE")))</f>
      </c>
      <c r="J401" s="30">
        <f>IF(B401="","",IF(W401=0,"Sin avisos numéricos. Revisamos el alcance aparte.",IF(L401=0,"Faltan datos completos de partida; no elegimos un total por suposición."&amp;CHAR(10),"")&amp;IF(N401&gt;0,"Hay filas incompletas o contradictorias; las revisamos en PEGAR."&amp;CHAR(10),"")&amp;IF(O401&gt;0,"Faltan las medidas de alguna fila; no cerramos la suma."&amp;CHAR(10),"")&amp;IF(M401=0,"No constan líneas de medición."&amp;CHAR(10),"")&amp;IF(IF(ISNUMBER(H401),ROUND(ABS(H401),8)&gt;$F$6,FALSE),"Las líneas difieren del total en más de 0,01; confirmamos cantidad o exclusión."&amp;CHAR(10),"")&amp;IF(P401&gt;0,"Parece m³: encontramos tres dimensiones bajo m²."&amp;CHAR(10),"")&amp;IF(R401&gt;0,"Código repetido dentro del capítulo; mantenemos sus ID separados."&amp;CHAR(10),"")&amp;IF(S401&gt;0,"Código repetido en otro capítulo; no unimos las partidas."&amp;CHAR(10),"")&amp;IF(T401&gt;0,"Mismo código con unidades distintas; pedimos aclaración."&amp;CHAR(10),"")&amp;IF(Q401&gt;0,"Hay más precisión que los decimales indicados; cotejamos el formato original."&amp;CHAR(10),"")&amp;IF(U401&gt;0,"Unidad sin normalizar; cotejamos su significado antes de sumar unidades."&amp;CHAR(10),"")&amp;IF(V401&gt;0,"Revisamos dimensiones, cantidades directas, ceros o deducciones en PEGAR."&amp;CHAR(10),"")))</f>
      </c>
      <c r="K401" s="0">
        <f>IF(389&gt;'RESUMEN'!$E$6,"",MATCH(389,'PEGAR'!$W$13:$W$512,0))</f>
      </c>
      <c r="L401" s="0">
        <f>IF(K401="","",INDEX('PEGAR'!$R$13:$R$512,K401))</f>
      </c>
      <c r="M401" s="0">
        <f>IF(B401="","",COUNTIFS('PEGAR'!$O$13:$O$512,B401,'PEGAR'!$P$13:$P$512,"DIMENSIONES")+COUNTIFS('PEGAR'!$O$13:$O$512,B401,'PEGAR'!$P$13:$P$512,"DIRECTA"))</f>
      </c>
      <c r="N401" s="0">
        <f>IF(B401="","",COUNTIFS('PEGAR'!$O$13:$O$512,B401,'PEGAR'!$X$13:$X$512,2))</f>
      </c>
      <c r="O401" s="0">
        <f>IF(B401="","",COUNTIFS('PEGAR'!$O$13:$O$512,B401,'PEGAR'!$P$13:$P$512,"SIN LÍNEAS"))</f>
      </c>
      <c r="P401" s="0">
        <f>IF(B401="","",SUMIFS('PEGAR'!$Y$13:$Y$512,'PEGAR'!$O$13:$O$512,B401))</f>
      </c>
      <c r="Q401" s="0">
        <f>IF(B401="","",SUMIFS('PEGAR'!$Z$13:$Z$512,'PEGAR'!$O$13:$O$512,B401))</f>
      </c>
      <c r="R401" s="0" t="n">
        <f>IF(OR(B401="",D401=""),0,SUMPRODUCT(--($B$13:$B$512&lt;&gt;""),--($D$13:$D$512=D401),--($C$13:$C$512=C401))-1)</f>
        <v>0</v>
      </c>
      <c r="S401" s="0" t="n">
        <f>IF(OR(B401="",D401=""),0,SUMPRODUCT(--($B$13:$B$512&lt;&gt;""),--($D$13:$D$512=D401),--($C$13:$C$512&lt;&gt;C401)))</f>
        <v>0</v>
      </c>
      <c r="T401" s="0" t="n">
        <f>IF(OR(B401="",D401=""),0,SUMPRODUCT(--($B$13:$B$512&lt;&gt;""),--($D$13:$D$512=D401),--($E$13:$E$512&lt;&gt;E401)))</f>
        <v>0</v>
      </c>
      <c r="U401" s="0" t="n">
        <f>IF(B401="",0,IF(SUMPRODUCT(--('LÉEME'!$C$65:$C$86=E401))=0,1,0))</f>
        <v>0</v>
      </c>
      <c r="V401" s="0">
        <f>IF(B401="","",SUMIFS('PEGAR'!$AA$13:$AA$512,'PEGAR'!$O$13:$O$512,B401))</f>
      </c>
      <c r="W401" s="0">
        <f>IF(B401="","",IF(OR(L401=0,N401&gt;0,T401&gt;0,IF(ISNUMBER(H401),ROUND(ABS(H401),8)&gt;$F$6,FALSE)),2,IF(OR(M401=0,O401&gt;0,P401&gt;0,Q401&gt;0,R401&gt;0,S401&gt;0,U401&gt;0,V401&gt;0),1,0)))</f>
      </c>
      <c r="X401" s="0">
        <f>IF(B401="","",IF(ISNUMBER(G401),1,0))</f>
      </c>
      <c r="AB401" s="0">
        <f>IF(AND(ISNUMBER(W401),W401&gt;0),"ID "&amp;B401,"")</f>
      </c>
      <c r="AC401" s="0">
        <f>IF(AND(ISNUMBER(W401),W401&gt;0),C401,"")</f>
      </c>
      <c r="AD401" s="0">
        <f>IF(AND(ISNUMBER(W401),W401&gt;0),D401,"")</f>
      </c>
      <c r="AE401" s="0">
        <f>IF(AND(ISNUMBER(W401),W401&gt;0),IF(INDEX('PEGAR'!$D$13:$D$512,IF(L401&gt;0,L401,K401))="","Sin descripción",INDEX('PEGAR'!$D$13:$D$512,IF(L401&gt;0,L401,K401))),"")</f>
      </c>
      <c r="AF401" s="0">
        <f>IF(AND(ISNUMBER(W401),W401&gt;0),J401,"")</f>
      </c>
      <c r="AG401" s="0" t="n">
        <f>IF(AND(ISNUMBER(W401),W401&gt;0),W401,0)</f>
        <v>0</v>
      </c>
      <c r="AH401" s="0">
        <f>IF(AG401&gt;0,COUNTIFS($AG$13:AG401,"&gt;0"),"")</f>
      </c>
    </row>
    <row r="402" ht="22" customHeight="1">
      <c r="B402" s="27">
        <f>IF(K402="","",INDEX('PEGAR'!$O$13:$O$512,K402))</f>
      </c>
      <c r="C402" s="30">
        <f>IF(B402="","",IF(LEN(TRIM(INDEX('PEGAR'!$B$13:$B$512,IF(L402&gt;0,L402,K402))&amp;""))=0,"Sin capítulo",TRIM(INDEX('PEGAR'!$B$13:$B$512,IF(L402&gt;0,L402,K402))&amp;"")))</f>
      </c>
      <c r="D402" s="27">
        <f>IF(B402="","",IF(LEN(TRIM(INDEX('PEGAR'!$C$13:$C$512,IF(L402&gt;0,L402,K402))&amp;""))=0,"",TRIM(INDEX('PEGAR'!$C$13:$C$512,IF(L402&gt;0,L402,K402))&amp;"")))</f>
      </c>
      <c r="E402" s="27">
        <f>IF(B402="","",INDEX('PEGAR'!$S$13:$S$512,IF(L402&gt;0,L402,K402)))</f>
      </c>
      <c r="F402" s="39">
        <f>IF(B402="","",IF(L402&gt;0,INDEX('PEGAR'!$F$13:$F$512,L402),""))</f>
      </c>
      <c r="G402" s="39">
        <f>IF(B402="","",IF(OR(M402=0,N402&gt;0,O402&gt;0),"",SUMIFS('PEGAR'!$M$13:$M$512,'PEGAR'!$O$13:$O$512,B402)))</f>
      </c>
      <c r="H402" s="39">
        <f>IF(AND(ISNUMBER(F402),ISNUMBER(G402)),G402-F402,"")</f>
      </c>
      <c r="I402" s="27">
        <f>IF(B402="","",IF(W402=2,"ROJO",IF(W402=1,"ÁMBAR","VERDE")))</f>
      </c>
      <c r="J402" s="30">
        <f>IF(B402="","",IF(W402=0,"Sin avisos numéricos. Revisamos el alcance aparte.",IF(L402=0,"Faltan datos completos de partida; no elegimos un total por suposición."&amp;CHAR(10),"")&amp;IF(N402&gt;0,"Hay filas incompletas o contradictorias; las revisamos en PEGAR."&amp;CHAR(10),"")&amp;IF(O402&gt;0,"Faltan las medidas de alguna fila; no cerramos la suma."&amp;CHAR(10),"")&amp;IF(M402=0,"No constan líneas de medición."&amp;CHAR(10),"")&amp;IF(IF(ISNUMBER(H402),ROUND(ABS(H402),8)&gt;$F$6,FALSE),"Las líneas difieren del total en más de 0,01; confirmamos cantidad o exclusión."&amp;CHAR(10),"")&amp;IF(P402&gt;0,"Parece m³: encontramos tres dimensiones bajo m²."&amp;CHAR(10),"")&amp;IF(R402&gt;0,"Código repetido dentro del capítulo; mantenemos sus ID separados."&amp;CHAR(10),"")&amp;IF(S402&gt;0,"Código repetido en otro capítulo; no unimos las partidas."&amp;CHAR(10),"")&amp;IF(T402&gt;0,"Mismo código con unidades distintas; pedimos aclaración."&amp;CHAR(10),"")&amp;IF(Q402&gt;0,"Hay más precisión que los decimales indicados; cotejamos el formato original."&amp;CHAR(10),"")&amp;IF(U402&gt;0,"Unidad sin normalizar; cotejamos su significado antes de sumar unidades."&amp;CHAR(10),"")&amp;IF(V402&gt;0,"Revisamos dimensiones, cantidades directas, ceros o deducciones en PEGAR."&amp;CHAR(10),"")))</f>
      </c>
      <c r="K402" s="0">
        <f>IF(390&gt;'RESUMEN'!$E$6,"",MATCH(390,'PEGAR'!$W$13:$W$512,0))</f>
      </c>
      <c r="L402" s="0">
        <f>IF(K402="","",INDEX('PEGAR'!$R$13:$R$512,K402))</f>
      </c>
      <c r="M402" s="0">
        <f>IF(B402="","",COUNTIFS('PEGAR'!$O$13:$O$512,B402,'PEGAR'!$P$13:$P$512,"DIMENSIONES")+COUNTIFS('PEGAR'!$O$13:$O$512,B402,'PEGAR'!$P$13:$P$512,"DIRECTA"))</f>
      </c>
      <c r="N402" s="0">
        <f>IF(B402="","",COUNTIFS('PEGAR'!$O$13:$O$512,B402,'PEGAR'!$X$13:$X$512,2))</f>
      </c>
      <c r="O402" s="0">
        <f>IF(B402="","",COUNTIFS('PEGAR'!$O$13:$O$512,B402,'PEGAR'!$P$13:$P$512,"SIN LÍNEAS"))</f>
      </c>
      <c r="P402" s="0">
        <f>IF(B402="","",SUMIFS('PEGAR'!$Y$13:$Y$512,'PEGAR'!$O$13:$O$512,B402))</f>
      </c>
      <c r="Q402" s="0">
        <f>IF(B402="","",SUMIFS('PEGAR'!$Z$13:$Z$512,'PEGAR'!$O$13:$O$512,B402))</f>
      </c>
      <c r="R402" s="0" t="n">
        <f>IF(OR(B402="",D402=""),0,SUMPRODUCT(--($B$13:$B$512&lt;&gt;""),--($D$13:$D$512=D402),--($C$13:$C$512=C402))-1)</f>
        <v>0</v>
      </c>
      <c r="S402" s="0" t="n">
        <f>IF(OR(B402="",D402=""),0,SUMPRODUCT(--($B$13:$B$512&lt;&gt;""),--($D$13:$D$512=D402),--($C$13:$C$512&lt;&gt;C402)))</f>
        <v>0</v>
      </c>
      <c r="T402" s="0" t="n">
        <f>IF(OR(B402="",D402=""),0,SUMPRODUCT(--($B$13:$B$512&lt;&gt;""),--($D$13:$D$512=D402),--($E$13:$E$512&lt;&gt;E402)))</f>
        <v>0</v>
      </c>
      <c r="U402" s="0" t="n">
        <f>IF(B402="",0,IF(SUMPRODUCT(--('LÉEME'!$C$65:$C$86=E402))=0,1,0))</f>
        <v>0</v>
      </c>
      <c r="V402" s="0">
        <f>IF(B402="","",SUMIFS('PEGAR'!$AA$13:$AA$512,'PEGAR'!$O$13:$O$512,B402))</f>
      </c>
      <c r="W402" s="0">
        <f>IF(B402="","",IF(OR(L402=0,N402&gt;0,T402&gt;0,IF(ISNUMBER(H402),ROUND(ABS(H402),8)&gt;$F$6,FALSE)),2,IF(OR(M402=0,O402&gt;0,P402&gt;0,Q402&gt;0,R402&gt;0,S402&gt;0,U402&gt;0,V402&gt;0),1,0)))</f>
      </c>
      <c r="X402" s="0">
        <f>IF(B402="","",IF(ISNUMBER(G402),1,0))</f>
      </c>
      <c r="AB402" s="0">
        <f>IF(AND(ISNUMBER(W402),W402&gt;0),"ID "&amp;B402,"")</f>
      </c>
      <c r="AC402" s="0">
        <f>IF(AND(ISNUMBER(W402),W402&gt;0),C402,"")</f>
      </c>
      <c r="AD402" s="0">
        <f>IF(AND(ISNUMBER(W402),W402&gt;0),D402,"")</f>
      </c>
      <c r="AE402" s="0">
        <f>IF(AND(ISNUMBER(W402),W402&gt;0),IF(INDEX('PEGAR'!$D$13:$D$512,IF(L402&gt;0,L402,K402))="","Sin descripción",INDEX('PEGAR'!$D$13:$D$512,IF(L402&gt;0,L402,K402))),"")</f>
      </c>
      <c r="AF402" s="0">
        <f>IF(AND(ISNUMBER(W402),W402&gt;0),J402,"")</f>
      </c>
      <c r="AG402" s="0" t="n">
        <f>IF(AND(ISNUMBER(W402),W402&gt;0),W402,0)</f>
        <v>0</v>
      </c>
      <c r="AH402" s="0">
        <f>IF(AG402&gt;0,COUNTIFS($AG$13:AG402,"&gt;0"),"")</f>
      </c>
    </row>
    <row r="403" ht="22" customHeight="1">
      <c r="B403" s="27">
        <f>IF(K403="","",INDEX('PEGAR'!$O$13:$O$512,K403))</f>
      </c>
      <c r="C403" s="30">
        <f>IF(B403="","",IF(LEN(TRIM(INDEX('PEGAR'!$B$13:$B$512,IF(L403&gt;0,L403,K403))&amp;""))=0,"Sin capítulo",TRIM(INDEX('PEGAR'!$B$13:$B$512,IF(L403&gt;0,L403,K403))&amp;"")))</f>
      </c>
      <c r="D403" s="27">
        <f>IF(B403="","",IF(LEN(TRIM(INDEX('PEGAR'!$C$13:$C$512,IF(L403&gt;0,L403,K403))&amp;""))=0,"",TRIM(INDEX('PEGAR'!$C$13:$C$512,IF(L403&gt;0,L403,K403))&amp;"")))</f>
      </c>
      <c r="E403" s="27">
        <f>IF(B403="","",INDEX('PEGAR'!$S$13:$S$512,IF(L403&gt;0,L403,K403)))</f>
      </c>
      <c r="F403" s="39">
        <f>IF(B403="","",IF(L403&gt;0,INDEX('PEGAR'!$F$13:$F$512,L403),""))</f>
      </c>
      <c r="G403" s="39">
        <f>IF(B403="","",IF(OR(M403=0,N403&gt;0,O403&gt;0),"",SUMIFS('PEGAR'!$M$13:$M$512,'PEGAR'!$O$13:$O$512,B403)))</f>
      </c>
      <c r="H403" s="39">
        <f>IF(AND(ISNUMBER(F403),ISNUMBER(G403)),G403-F403,"")</f>
      </c>
      <c r="I403" s="27">
        <f>IF(B403="","",IF(W403=2,"ROJO",IF(W403=1,"ÁMBAR","VERDE")))</f>
      </c>
      <c r="J403" s="30">
        <f>IF(B403="","",IF(W403=0,"Sin avisos numéricos. Revisamos el alcance aparte.",IF(L403=0,"Faltan datos completos de partida; no elegimos un total por suposición."&amp;CHAR(10),"")&amp;IF(N403&gt;0,"Hay filas incompletas o contradictorias; las revisamos en PEGAR."&amp;CHAR(10),"")&amp;IF(O403&gt;0,"Faltan las medidas de alguna fila; no cerramos la suma."&amp;CHAR(10),"")&amp;IF(M403=0,"No constan líneas de medición."&amp;CHAR(10),"")&amp;IF(IF(ISNUMBER(H403),ROUND(ABS(H403),8)&gt;$F$6,FALSE),"Las líneas difieren del total en más de 0,01; confirmamos cantidad o exclusión."&amp;CHAR(10),"")&amp;IF(P403&gt;0,"Parece m³: encontramos tres dimensiones bajo m²."&amp;CHAR(10),"")&amp;IF(R403&gt;0,"Código repetido dentro del capítulo; mantenemos sus ID separados."&amp;CHAR(10),"")&amp;IF(S403&gt;0,"Código repetido en otro capítulo; no unimos las partidas."&amp;CHAR(10),"")&amp;IF(T403&gt;0,"Mismo código con unidades distintas; pedimos aclaración."&amp;CHAR(10),"")&amp;IF(Q403&gt;0,"Hay más precisión que los decimales indicados; cotejamos el formato original."&amp;CHAR(10),"")&amp;IF(U403&gt;0,"Unidad sin normalizar; cotejamos su significado antes de sumar unidades."&amp;CHAR(10),"")&amp;IF(V403&gt;0,"Revisamos dimensiones, cantidades directas, ceros o deducciones en PEGAR."&amp;CHAR(10),"")))</f>
      </c>
      <c r="K403" s="0">
        <f>IF(391&gt;'RESUMEN'!$E$6,"",MATCH(391,'PEGAR'!$W$13:$W$512,0))</f>
      </c>
      <c r="L403" s="0">
        <f>IF(K403="","",INDEX('PEGAR'!$R$13:$R$512,K403))</f>
      </c>
      <c r="M403" s="0">
        <f>IF(B403="","",COUNTIFS('PEGAR'!$O$13:$O$512,B403,'PEGAR'!$P$13:$P$512,"DIMENSIONES")+COUNTIFS('PEGAR'!$O$13:$O$512,B403,'PEGAR'!$P$13:$P$512,"DIRECTA"))</f>
      </c>
      <c r="N403" s="0">
        <f>IF(B403="","",COUNTIFS('PEGAR'!$O$13:$O$512,B403,'PEGAR'!$X$13:$X$512,2))</f>
      </c>
      <c r="O403" s="0">
        <f>IF(B403="","",COUNTIFS('PEGAR'!$O$13:$O$512,B403,'PEGAR'!$P$13:$P$512,"SIN LÍNEAS"))</f>
      </c>
      <c r="P403" s="0">
        <f>IF(B403="","",SUMIFS('PEGAR'!$Y$13:$Y$512,'PEGAR'!$O$13:$O$512,B403))</f>
      </c>
      <c r="Q403" s="0">
        <f>IF(B403="","",SUMIFS('PEGAR'!$Z$13:$Z$512,'PEGAR'!$O$13:$O$512,B403))</f>
      </c>
      <c r="R403" s="0" t="n">
        <f>IF(OR(B403="",D403=""),0,SUMPRODUCT(--($B$13:$B$512&lt;&gt;""),--($D$13:$D$512=D403),--($C$13:$C$512=C403))-1)</f>
        <v>0</v>
      </c>
      <c r="S403" s="0" t="n">
        <f>IF(OR(B403="",D403=""),0,SUMPRODUCT(--($B$13:$B$512&lt;&gt;""),--($D$13:$D$512=D403),--($C$13:$C$512&lt;&gt;C403)))</f>
        <v>0</v>
      </c>
      <c r="T403" s="0" t="n">
        <f>IF(OR(B403="",D403=""),0,SUMPRODUCT(--($B$13:$B$512&lt;&gt;""),--($D$13:$D$512=D403),--($E$13:$E$512&lt;&gt;E403)))</f>
        <v>0</v>
      </c>
      <c r="U403" s="0" t="n">
        <f>IF(B403="",0,IF(SUMPRODUCT(--('LÉEME'!$C$65:$C$86=E403))=0,1,0))</f>
        <v>0</v>
      </c>
      <c r="V403" s="0">
        <f>IF(B403="","",SUMIFS('PEGAR'!$AA$13:$AA$512,'PEGAR'!$O$13:$O$512,B403))</f>
      </c>
      <c r="W403" s="0">
        <f>IF(B403="","",IF(OR(L403=0,N403&gt;0,T403&gt;0,IF(ISNUMBER(H403),ROUND(ABS(H403),8)&gt;$F$6,FALSE)),2,IF(OR(M403=0,O403&gt;0,P403&gt;0,Q403&gt;0,R403&gt;0,S403&gt;0,U403&gt;0,V403&gt;0),1,0)))</f>
      </c>
      <c r="X403" s="0">
        <f>IF(B403="","",IF(ISNUMBER(G403),1,0))</f>
      </c>
      <c r="AB403" s="0">
        <f>IF(AND(ISNUMBER(W403),W403&gt;0),"ID "&amp;B403,"")</f>
      </c>
      <c r="AC403" s="0">
        <f>IF(AND(ISNUMBER(W403),W403&gt;0),C403,"")</f>
      </c>
      <c r="AD403" s="0">
        <f>IF(AND(ISNUMBER(W403),W403&gt;0),D403,"")</f>
      </c>
      <c r="AE403" s="0">
        <f>IF(AND(ISNUMBER(W403),W403&gt;0),IF(INDEX('PEGAR'!$D$13:$D$512,IF(L403&gt;0,L403,K403))="","Sin descripción",INDEX('PEGAR'!$D$13:$D$512,IF(L403&gt;0,L403,K403))),"")</f>
      </c>
      <c r="AF403" s="0">
        <f>IF(AND(ISNUMBER(W403),W403&gt;0),J403,"")</f>
      </c>
      <c r="AG403" s="0" t="n">
        <f>IF(AND(ISNUMBER(W403),W403&gt;0),W403,0)</f>
        <v>0</v>
      </c>
      <c r="AH403" s="0">
        <f>IF(AG403&gt;0,COUNTIFS($AG$13:AG403,"&gt;0"),"")</f>
      </c>
    </row>
    <row r="404" ht="22" customHeight="1">
      <c r="B404" s="27">
        <f>IF(K404="","",INDEX('PEGAR'!$O$13:$O$512,K404))</f>
      </c>
      <c r="C404" s="30">
        <f>IF(B404="","",IF(LEN(TRIM(INDEX('PEGAR'!$B$13:$B$512,IF(L404&gt;0,L404,K404))&amp;""))=0,"Sin capítulo",TRIM(INDEX('PEGAR'!$B$13:$B$512,IF(L404&gt;0,L404,K404))&amp;"")))</f>
      </c>
      <c r="D404" s="27">
        <f>IF(B404="","",IF(LEN(TRIM(INDEX('PEGAR'!$C$13:$C$512,IF(L404&gt;0,L404,K404))&amp;""))=0,"",TRIM(INDEX('PEGAR'!$C$13:$C$512,IF(L404&gt;0,L404,K404))&amp;"")))</f>
      </c>
      <c r="E404" s="27">
        <f>IF(B404="","",INDEX('PEGAR'!$S$13:$S$512,IF(L404&gt;0,L404,K404)))</f>
      </c>
      <c r="F404" s="39">
        <f>IF(B404="","",IF(L404&gt;0,INDEX('PEGAR'!$F$13:$F$512,L404),""))</f>
      </c>
      <c r="G404" s="39">
        <f>IF(B404="","",IF(OR(M404=0,N404&gt;0,O404&gt;0),"",SUMIFS('PEGAR'!$M$13:$M$512,'PEGAR'!$O$13:$O$512,B404)))</f>
      </c>
      <c r="H404" s="39">
        <f>IF(AND(ISNUMBER(F404),ISNUMBER(G404)),G404-F404,"")</f>
      </c>
      <c r="I404" s="27">
        <f>IF(B404="","",IF(W404=2,"ROJO",IF(W404=1,"ÁMBAR","VERDE")))</f>
      </c>
      <c r="J404" s="30">
        <f>IF(B404="","",IF(W404=0,"Sin avisos numéricos. Revisamos el alcance aparte.",IF(L404=0,"Faltan datos completos de partida; no elegimos un total por suposición."&amp;CHAR(10),"")&amp;IF(N404&gt;0,"Hay filas incompletas o contradictorias; las revisamos en PEGAR."&amp;CHAR(10),"")&amp;IF(O404&gt;0,"Faltan las medidas de alguna fila; no cerramos la suma."&amp;CHAR(10),"")&amp;IF(M404=0,"No constan líneas de medición."&amp;CHAR(10),"")&amp;IF(IF(ISNUMBER(H404),ROUND(ABS(H404),8)&gt;$F$6,FALSE),"Las líneas difieren del total en más de 0,01; confirmamos cantidad o exclusión."&amp;CHAR(10),"")&amp;IF(P404&gt;0,"Parece m³: encontramos tres dimensiones bajo m²."&amp;CHAR(10),"")&amp;IF(R404&gt;0,"Código repetido dentro del capítulo; mantenemos sus ID separados."&amp;CHAR(10),"")&amp;IF(S404&gt;0,"Código repetido en otro capítulo; no unimos las partidas."&amp;CHAR(10),"")&amp;IF(T404&gt;0,"Mismo código con unidades distintas; pedimos aclaración."&amp;CHAR(10),"")&amp;IF(Q404&gt;0,"Hay más precisión que los decimales indicados; cotejamos el formato original."&amp;CHAR(10),"")&amp;IF(U404&gt;0,"Unidad sin normalizar; cotejamos su significado antes de sumar unidades."&amp;CHAR(10),"")&amp;IF(V404&gt;0,"Revisamos dimensiones, cantidades directas, ceros o deducciones en PEGAR."&amp;CHAR(10),"")))</f>
      </c>
      <c r="K404" s="0">
        <f>IF(392&gt;'RESUMEN'!$E$6,"",MATCH(392,'PEGAR'!$W$13:$W$512,0))</f>
      </c>
      <c r="L404" s="0">
        <f>IF(K404="","",INDEX('PEGAR'!$R$13:$R$512,K404))</f>
      </c>
      <c r="M404" s="0">
        <f>IF(B404="","",COUNTIFS('PEGAR'!$O$13:$O$512,B404,'PEGAR'!$P$13:$P$512,"DIMENSIONES")+COUNTIFS('PEGAR'!$O$13:$O$512,B404,'PEGAR'!$P$13:$P$512,"DIRECTA"))</f>
      </c>
      <c r="N404" s="0">
        <f>IF(B404="","",COUNTIFS('PEGAR'!$O$13:$O$512,B404,'PEGAR'!$X$13:$X$512,2))</f>
      </c>
      <c r="O404" s="0">
        <f>IF(B404="","",COUNTIFS('PEGAR'!$O$13:$O$512,B404,'PEGAR'!$P$13:$P$512,"SIN LÍNEAS"))</f>
      </c>
      <c r="P404" s="0">
        <f>IF(B404="","",SUMIFS('PEGAR'!$Y$13:$Y$512,'PEGAR'!$O$13:$O$512,B404))</f>
      </c>
      <c r="Q404" s="0">
        <f>IF(B404="","",SUMIFS('PEGAR'!$Z$13:$Z$512,'PEGAR'!$O$13:$O$512,B404))</f>
      </c>
      <c r="R404" s="0" t="n">
        <f>IF(OR(B404="",D404=""),0,SUMPRODUCT(--($B$13:$B$512&lt;&gt;""),--($D$13:$D$512=D404),--($C$13:$C$512=C404))-1)</f>
        <v>0</v>
      </c>
      <c r="S404" s="0" t="n">
        <f>IF(OR(B404="",D404=""),0,SUMPRODUCT(--($B$13:$B$512&lt;&gt;""),--($D$13:$D$512=D404),--($C$13:$C$512&lt;&gt;C404)))</f>
        <v>0</v>
      </c>
      <c r="T404" s="0" t="n">
        <f>IF(OR(B404="",D404=""),0,SUMPRODUCT(--($B$13:$B$512&lt;&gt;""),--($D$13:$D$512=D404),--($E$13:$E$512&lt;&gt;E404)))</f>
        <v>0</v>
      </c>
      <c r="U404" s="0" t="n">
        <f>IF(B404="",0,IF(SUMPRODUCT(--('LÉEME'!$C$65:$C$86=E404))=0,1,0))</f>
        <v>0</v>
      </c>
      <c r="V404" s="0">
        <f>IF(B404="","",SUMIFS('PEGAR'!$AA$13:$AA$512,'PEGAR'!$O$13:$O$512,B404))</f>
      </c>
      <c r="W404" s="0">
        <f>IF(B404="","",IF(OR(L404=0,N404&gt;0,T404&gt;0,IF(ISNUMBER(H404),ROUND(ABS(H404),8)&gt;$F$6,FALSE)),2,IF(OR(M404=0,O404&gt;0,P404&gt;0,Q404&gt;0,R404&gt;0,S404&gt;0,U404&gt;0,V404&gt;0),1,0)))</f>
      </c>
      <c r="X404" s="0">
        <f>IF(B404="","",IF(ISNUMBER(G404),1,0))</f>
      </c>
      <c r="AB404" s="0">
        <f>IF(AND(ISNUMBER(W404),W404&gt;0),"ID "&amp;B404,"")</f>
      </c>
      <c r="AC404" s="0">
        <f>IF(AND(ISNUMBER(W404),W404&gt;0),C404,"")</f>
      </c>
      <c r="AD404" s="0">
        <f>IF(AND(ISNUMBER(W404),W404&gt;0),D404,"")</f>
      </c>
      <c r="AE404" s="0">
        <f>IF(AND(ISNUMBER(W404),W404&gt;0),IF(INDEX('PEGAR'!$D$13:$D$512,IF(L404&gt;0,L404,K404))="","Sin descripción",INDEX('PEGAR'!$D$13:$D$512,IF(L404&gt;0,L404,K404))),"")</f>
      </c>
      <c r="AF404" s="0">
        <f>IF(AND(ISNUMBER(W404),W404&gt;0),J404,"")</f>
      </c>
      <c r="AG404" s="0" t="n">
        <f>IF(AND(ISNUMBER(W404),W404&gt;0),W404,0)</f>
        <v>0</v>
      </c>
      <c r="AH404" s="0">
        <f>IF(AG404&gt;0,COUNTIFS($AG$13:AG404,"&gt;0"),"")</f>
      </c>
    </row>
    <row r="405" ht="22" customHeight="1">
      <c r="B405" s="27">
        <f>IF(K405="","",INDEX('PEGAR'!$O$13:$O$512,K405))</f>
      </c>
      <c r="C405" s="30">
        <f>IF(B405="","",IF(LEN(TRIM(INDEX('PEGAR'!$B$13:$B$512,IF(L405&gt;0,L405,K405))&amp;""))=0,"Sin capítulo",TRIM(INDEX('PEGAR'!$B$13:$B$512,IF(L405&gt;0,L405,K405))&amp;"")))</f>
      </c>
      <c r="D405" s="27">
        <f>IF(B405="","",IF(LEN(TRIM(INDEX('PEGAR'!$C$13:$C$512,IF(L405&gt;0,L405,K405))&amp;""))=0,"",TRIM(INDEX('PEGAR'!$C$13:$C$512,IF(L405&gt;0,L405,K405))&amp;"")))</f>
      </c>
      <c r="E405" s="27">
        <f>IF(B405="","",INDEX('PEGAR'!$S$13:$S$512,IF(L405&gt;0,L405,K405)))</f>
      </c>
      <c r="F405" s="39">
        <f>IF(B405="","",IF(L405&gt;0,INDEX('PEGAR'!$F$13:$F$512,L405),""))</f>
      </c>
      <c r="G405" s="39">
        <f>IF(B405="","",IF(OR(M405=0,N405&gt;0,O405&gt;0),"",SUMIFS('PEGAR'!$M$13:$M$512,'PEGAR'!$O$13:$O$512,B405)))</f>
      </c>
      <c r="H405" s="39">
        <f>IF(AND(ISNUMBER(F405),ISNUMBER(G405)),G405-F405,"")</f>
      </c>
      <c r="I405" s="27">
        <f>IF(B405="","",IF(W405=2,"ROJO",IF(W405=1,"ÁMBAR","VERDE")))</f>
      </c>
      <c r="J405" s="30">
        <f>IF(B405="","",IF(W405=0,"Sin avisos numéricos. Revisamos el alcance aparte.",IF(L405=0,"Faltan datos completos de partida; no elegimos un total por suposición."&amp;CHAR(10),"")&amp;IF(N405&gt;0,"Hay filas incompletas o contradictorias; las revisamos en PEGAR."&amp;CHAR(10),"")&amp;IF(O405&gt;0,"Faltan las medidas de alguna fila; no cerramos la suma."&amp;CHAR(10),"")&amp;IF(M405=0,"No constan líneas de medición."&amp;CHAR(10),"")&amp;IF(IF(ISNUMBER(H405),ROUND(ABS(H405),8)&gt;$F$6,FALSE),"Las líneas difieren del total en más de 0,01; confirmamos cantidad o exclusión."&amp;CHAR(10),"")&amp;IF(P405&gt;0,"Parece m³: encontramos tres dimensiones bajo m²."&amp;CHAR(10),"")&amp;IF(R405&gt;0,"Código repetido dentro del capítulo; mantenemos sus ID separados."&amp;CHAR(10),"")&amp;IF(S405&gt;0,"Código repetido en otro capítulo; no unimos las partidas."&amp;CHAR(10),"")&amp;IF(T405&gt;0,"Mismo código con unidades distintas; pedimos aclaración."&amp;CHAR(10),"")&amp;IF(Q405&gt;0,"Hay más precisión que los decimales indicados; cotejamos el formato original."&amp;CHAR(10),"")&amp;IF(U405&gt;0,"Unidad sin normalizar; cotejamos su significado antes de sumar unidades."&amp;CHAR(10),"")&amp;IF(V405&gt;0,"Revisamos dimensiones, cantidades directas, ceros o deducciones en PEGAR."&amp;CHAR(10),"")))</f>
      </c>
      <c r="K405" s="0">
        <f>IF(393&gt;'RESUMEN'!$E$6,"",MATCH(393,'PEGAR'!$W$13:$W$512,0))</f>
      </c>
      <c r="L405" s="0">
        <f>IF(K405="","",INDEX('PEGAR'!$R$13:$R$512,K405))</f>
      </c>
      <c r="M405" s="0">
        <f>IF(B405="","",COUNTIFS('PEGAR'!$O$13:$O$512,B405,'PEGAR'!$P$13:$P$512,"DIMENSIONES")+COUNTIFS('PEGAR'!$O$13:$O$512,B405,'PEGAR'!$P$13:$P$512,"DIRECTA"))</f>
      </c>
      <c r="N405" s="0">
        <f>IF(B405="","",COUNTIFS('PEGAR'!$O$13:$O$512,B405,'PEGAR'!$X$13:$X$512,2))</f>
      </c>
      <c r="O405" s="0">
        <f>IF(B405="","",COUNTIFS('PEGAR'!$O$13:$O$512,B405,'PEGAR'!$P$13:$P$512,"SIN LÍNEAS"))</f>
      </c>
      <c r="P405" s="0">
        <f>IF(B405="","",SUMIFS('PEGAR'!$Y$13:$Y$512,'PEGAR'!$O$13:$O$512,B405))</f>
      </c>
      <c r="Q405" s="0">
        <f>IF(B405="","",SUMIFS('PEGAR'!$Z$13:$Z$512,'PEGAR'!$O$13:$O$512,B405))</f>
      </c>
      <c r="R405" s="0" t="n">
        <f>IF(OR(B405="",D405=""),0,SUMPRODUCT(--($B$13:$B$512&lt;&gt;""),--($D$13:$D$512=D405),--($C$13:$C$512=C405))-1)</f>
        <v>0</v>
      </c>
      <c r="S405" s="0" t="n">
        <f>IF(OR(B405="",D405=""),0,SUMPRODUCT(--($B$13:$B$512&lt;&gt;""),--($D$13:$D$512=D405),--($C$13:$C$512&lt;&gt;C405)))</f>
        <v>0</v>
      </c>
      <c r="T405" s="0" t="n">
        <f>IF(OR(B405="",D405=""),0,SUMPRODUCT(--($B$13:$B$512&lt;&gt;""),--($D$13:$D$512=D405),--($E$13:$E$512&lt;&gt;E405)))</f>
        <v>0</v>
      </c>
      <c r="U405" s="0" t="n">
        <f>IF(B405="",0,IF(SUMPRODUCT(--('LÉEME'!$C$65:$C$86=E405))=0,1,0))</f>
        <v>0</v>
      </c>
      <c r="V405" s="0">
        <f>IF(B405="","",SUMIFS('PEGAR'!$AA$13:$AA$512,'PEGAR'!$O$13:$O$512,B405))</f>
      </c>
      <c r="W405" s="0">
        <f>IF(B405="","",IF(OR(L405=0,N405&gt;0,T405&gt;0,IF(ISNUMBER(H405),ROUND(ABS(H405),8)&gt;$F$6,FALSE)),2,IF(OR(M405=0,O405&gt;0,P405&gt;0,Q405&gt;0,R405&gt;0,S405&gt;0,U405&gt;0,V405&gt;0),1,0)))</f>
      </c>
      <c r="X405" s="0">
        <f>IF(B405="","",IF(ISNUMBER(G405),1,0))</f>
      </c>
      <c r="AB405" s="0">
        <f>IF(AND(ISNUMBER(W405),W405&gt;0),"ID "&amp;B405,"")</f>
      </c>
      <c r="AC405" s="0">
        <f>IF(AND(ISNUMBER(W405),W405&gt;0),C405,"")</f>
      </c>
      <c r="AD405" s="0">
        <f>IF(AND(ISNUMBER(W405),W405&gt;0),D405,"")</f>
      </c>
      <c r="AE405" s="0">
        <f>IF(AND(ISNUMBER(W405),W405&gt;0),IF(INDEX('PEGAR'!$D$13:$D$512,IF(L405&gt;0,L405,K405))="","Sin descripción",INDEX('PEGAR'!$D$13:$D$512,IF(L405&gt;0,L405,K405))),"")</f>
      </c>
      <c r="AF405" s="0">
        <f>IF(AND(ISNUMBER(W405),W405&gt;0),J405,"")</f>
      </c>
      <c r="AG405" s="0" t="n">
        <f>IF(AND(ISNUMBER(W405),W405&gt;0),W405,0)</f>
        <v>0</v>
      </c>
      <c r="AH405" s="0">
        <f>IF(AG405&gt;0,COUNTIFS($AG$13:AG405,"&gt;0"),"")</f>
      </c>
    </row>
    <row r="406" ht="22" customHeight="1">
      <c r="B406" s="27">
        <f>IF(K406="","",INDEX('PEGAR'!$O$13:$O$512,K406))</f>
      </c>
      <c r="C406" s="30">
        <f>IF(B406="","",IF(LEN(TRIM(INDEX('PEGAR'!$B$13:$B$512,IF(L406&gt;0,L406,K406))&amp;""))=0,"Sin capítulo",TRIM(INDEX('PEGAR'!$B$13:$B$512,IF(L406&gt;0,L406,K406))&amp;"")))</f>
      </c>
      <c r="D406" s="27">
        <f>IF(B406="","",IF(LEN(TRIM(INDEX('PEGAR'!$C$13:$C$512,IF(L406&gt;0,L406,K406))&amp;""))=0,"",TRIM(INDEX('PEGAR'!$C$13:$C$512,IF(L406&gt;0,L406,K406))&amp;"")))</f>
      </c>
      <c r="E406" s="27">
        <f>IF(B406="","",INDEX('PEGAR'!$S$13:$S$512,IF(L406&gt;0,L406,K406)))</f>
      </c>
      <c r="F406" s="39">
        <f>IF(B406="","",IF(L406&gt;0,INDEX('PEGAR'!$F$13:$F$512,L406),""))</f>
      </c>
      <c r="G406" s="39">
        <f>IF(B406="","",IF(OR(M406=0,N406&gt;0,O406&gt;0),"",SUMIFS('PEGAR'!$M$13:$M$512,'PEGAR'!$O$13:$O$512,B406)))</f>
      </c>
      <c r="H406" s="39">
        <f>IF(AND(ISNUMBER(F406),ISNUMBER(G406)),G406-F406,"")</f>
      </c>
      <c r="I406" s="27">
        <f>IF(B406="","",IF(W406=2,"ROJO",IF(W406=1,"ÁMBAR","VERDE")))</f>
      </c>
      <c r="J406" s="30">
        <f>IF(B406="","",IF(W406=0,"Sin avisos numéricos. Revisamos el alcance aparte.",IF(L406=0,"Faltan datos completos de partida; no elegimos un total por suposición."&amp;CHAR(10),"")&amp;IF(N406&gt;0,"Hay filas incompletas o contradictorias; las revisamos en PEGAR."&amp;CHAR(10),"")&amp;IF(O406&gt;0,"Faltan las medidas de alguna fila; no cerramos la suma."&amp;CHAR(10),"")&amp;IF(M406=0,"No constan líneas de medición."&amp;CHAR(10),"")&amp;IF(IF(ISNUMBER(H406),ROUND(ABS(H406),8)&gt;$F$6,FALSE),"Las líneas difieren del total en más de 0,01; confirmamos cantidad o exclusión."&amp;CHAR(10),"")&amp;IF(P406&gt;0,"Parece m³: encontramos tres dimensiones bajo m²."&amp;CHAR(10),"")&amp;IF(R406&gt;0,"Código repetido dentro del capítulo; mantenemos sus ID separados."&amp;CHAR(10),"")&amp;IF(S406&gt;0,"Código repetido en otro capítulo; no unimos las partidas."&amp;CHAR(10),"")&amp;IF(T406&gt;0,"Mismo código con unidades distintas; pedimos aclaración."&amp;CHAR(10),"")&amp;IF(Q406&gt;0,"Hay más precisión que los decimales indicados; cotejamos el formato original."&amp;CHAR(10),"")&amp;IF(U406&gt;0,"Unidad sin normalizar; cotejamos su significado antes de sumar unidades."&amp;CHAR(10),"")&amp;IF(V406&gt;0,"Revisamos dimensiones, cantidades directas, ceros o deducciones en PEGAR."&amp;CHAR(10),"")))</f>
      </c>
      <c r="K406" s="0">
        <f>IF(394&gt;'RESUMEN'!$E$6,"",MATCH(394,'PEGAR'!$W$13:$W$512,0))</f>
      </c>
      <c r="L406" s="0">
        <f>IF(K406="","",INDEX('PEGAR'!$R$13:$R$512,K406))</f>
      </c>
      <c r="M406" s="0">
        <f>IF(B406="","",COUNTIFS('PEGAR'!$O$13:$O$512,B406,'PEGAR'!$P$13:$P$512,"DIMENSIONES")+COUNTIFS('PEGAR'!$O$13:$O$512,B406,'PEGAR'!$P$13:$P$512,"DIRECTA"))</f>
      </c>
      <c r="N406" s="0">
        <f>IF(B406="","",COUNTIFS('PEGAR'!$O$13:$O$512,B406,'PEGAR'!$X$13:$X$512,2))</f>
      </c>
      <c r="O406" s="0">
        <f>IF(B406="","",COUNTIFS('PEGAR'!$O$13:$O$512,B406,'PEGAR'!$P$13:$P$512,"SIN LÍNEAS"))</f>
      </c>
      <c r="P406" s="0">
        <f>IF(B406="","",SUMIFS('PEGAR'!$Y$13:$Y$512,'PEGAR'!$O$13:$O$512,B406))</f>
      </c>
      <c r="Q406" s="0">
        <f>IF(B406="","",SUMIFS('PEGAR'!$Z$13:$Z$512,'PEGAR'!$O$13:$O$512,B406))</f>
      </c>
      <c r="R406" s="0" t="n">
        <f>IF(OR(B406="",D406=""),0,SUMPRODUCT(--($B$13:$B$512&lt;&gt;""),--($D$13:$D$512=D406),--($C$13:$C$512=C406))-1)</f>
        <v>0</v>
      </c>
      <c r="S406" s="0" t="n">
        <f>IF(OR(B406="",D406=""),0,SUMPRODUCT(--($B$13:$B$512&lt;&gt;""),--($D$13:$D$512=D406),--($C$13:$C$512&lt;&gt;C406)))</f>
        <v>0</v>
      </c>
      <c r="T406" s="0" t="n">
        <f>IF(OR(B406="",D406=""),0,SUMPRODUCT(--($B$13:$B$512&lt;&gt;""),--($D$13:$D$512=D406),--($E$13:$E$512&lt;&gt;E406)))</f>
        <v>0</v>
      </c>
      <c r="U406" s="0" t="n">
        <f>IF(B406="",0,IF(SUMPRODUCT(--('LÉEME'!$C$65:$C$86=E406))=0,1,0))</f>
        <v>0</v>
      </c>
      <c r="V406" s="0">
        <f>IF(B406="","",SUMIFS('PEGAR'!$AA$13:$AA$512,'PEGAR'!$O$13:$O$512,B406))</f>
      </c>
      <c r="W406" s="0">
        <f>IF(B406="","",IF(OR(L406=0,N406&gt;0,T406&gt;0,IF(ISNUMBER(H406),ROUND(ABS(H406),8)&gt;$F$6,FALSE)),2,IF(OR(M406=0,O406&gt;0,P406&gt;0,Q406&gt;0,R406&gt;0,S406&gt;0,U406&gt;0,V406&gt;0),1,0)))</f>
      </c>
      <c r="X406" s="0">
        <f>IF(B406="","",IF(ISNUMBER(G406),1,0))</f>
      </c>
      <c r="AB406" s="0">
        <f>IF(AND(ISNUMBER(W406),W406&gt;0),"ID "&amp;B406,"")</f>
      </c>
      <c r="AC406" s="0">
        <f>IF(AND(ISNUMBER(W406),W406&gt;0),C406,"")</f>
      </c>
      <c r="AD406" s="0">
        <f>IF(AND(ISNUMBER(W406),W406&gt;0),D406,"")</f>
      </c>
      <c r="AE406" s="0">
        <f>IF(AND(ISNUMBER(W406),W406&gt;0),IF(INDEX('PEGAR'!$D$13:$D$512,IF(L406&gt;0,L406,K406))="","Sin descripción",INDEX('PEGAR'!$D$13:$D$512,IF(L406&gt;0,L406,K406))),"")</f>
      </c>
      <c r="AF406" s="0">
        <f>IF(AND(ISNUMBER(W406),W406&gt;0),J406,"")</f>
      </c>
      <c r="AG406" s="0" t="n">
        <f>IF(AND(ISNUMBER(W406),W406&gt;0),W406,0)</f>
        <v>0</v>
      </c>
      <c r="AH406" s="0">
        <f>IF(AG406&gt;0,COUNTIFS($AG$13:AG406,"&gt;0"),"")</f>
      </c>
    </row>
    <row r="407" ht="22" customHeight="1">
      <c r="B407" s="27">
        <f>IF(K407="","",INDEX('PEGAR'!$O$13:$O$512,K407))</f>
      </c>
      <c r="C407" s="30">
        <f>IF(B407="","",IF(LEN(TRIM(INDEX('PEGAR'!$B$13:$B$512,IF(L407&gt;0,L407,K407))&amp;""))=0,"Sin capítulo",TRIM(INDEX('PEGAR'!$B$13:$B$512,IF(L407&gt;0,L407,K407))&amp;"")))</f>
      </c>
      <c r="D407" s="27">
        <f>IF(B407="","",IF(LEN(TRIM(INDEX('PEGAR'!$C$13:$C$512,IF(L407&gt;0,L407,K407))&amp;""))=0,"",TRIM(INDEX('PEGAR'!$C$13:$C$512,IF(L407&gt;0,L407,K407))&amp;"")))</f>
      </c>
      <c r="E407" s="27">
        <f>IF(B407="","",INDEX('PEGAR'!$S$13:$S$512,IF(L407&gt;0,L407,K407)))</f>
      </c>
      <c r="F407" s="39">
        <f>IF(B407="","",IF(L407&gt;0,INDEX('PEGAR'!$F$13:$F$512,L407),""))</f>
      </c>
      <c r="G407" s="39">
        <f>IF(B407="","",IF(OR(M407=0,N407&gt;0,O407&gt;0),"",SUMIFS('PEGAR'!$M$13:$M$512,'PEGAR'!$O$13:$O$512,B407)))</f>
      </c>
      <c r="H407" s="39">
        <f>IF(AND(ISNUMBER(F407),ISNUMBER(G407)),G407-F407,"")</f>
      </c>
      <c r="I407" s="27">
        <f>IF(B407="","",IF(W407=2,"ROJO",IF(W407=1,"ÁMBAR","VERDE")))</f>
      </c>
      <c r="J407" s="30">
        <f>IF(B407="","",IF(W407=0,"Sin avisos numéricos. Revisamos el alcance aparte.",IF(L407=0,"Faltan datos completos de partida; no elegimos un total por suposición."&amp;CHAR(10),"")&amp;IF(N407&gt;0,"Hay filas incompletas o contradictorias; las revisamos en PEGAR."&amp;CHAR(10),"")&amp;IF(O407&gt;0,"Faltan las medidas de alguna fila; no cerramos la suma."&amp;CHAR(10),"")&amp;IF(M407=0,"No constan líneas de medición."&amp;CHAR(10),"")&amp;IF(IF(ISNUMBER(H407),ROUND(ABS(H407),8)&gt;$F$6,FALSE),"Las líneas difieren del total en más de 0,01; confirmamos cantidad o exclusión."&amp;CHAR(10),"")&amp;IF(P407&gt;0,"Parece m³: encontramos tres dimensiones bajo m²."&amp;CHAR(10),"")&amp;IF(R407&gt;0,"Código repetido dentro del capítulo; mantenemos sus ID separados."&amp;CHAR(10),"")&amp;IF(S407&gt;0,"Código repetido en otro capítulo; no unimos las partidas."&amp;CHAR(10),"")&amp;IF(T407&gt;0,"Mismo código con unidades distintas; pedimos aclaración."&amp;CHAR(10),"")&amp;IF(Q407&gt;0,"Hay más precisión que los decimales indicados; cotejamos el formato original."&amp;CHAR(10),"")&amp;IF(U407&gt;0,"Unidad sin normalizar; cotejamos su significado antes de sumar unidades."&amp;CHAR(10),"")&amp;IF(V407&gt;0,"Revisamos dimensiones, cantidades directas, ceros o deducciones en PEGAR."&amp;CHAR(10),"")))</f>
      </c>
      <c r="K407" s="0">
        <f>IF(395&gt;'RESUMEN'!$E$6,"",MATCH(395,'PEGAR'!$W$13:$W$512,0))</f>
      </c>
      <c r="L407" s="0">
        <f>IF(K407="","",INDEX('PEGAR'!$R$13:$R$512,K407))</f>
      </c>
      <c r="M407" s="0">
        <f>IF(B407="","",COUNTIFS('PEGAR'!$O$13:$O$512,B407,'PEGAR'!$P$13:$P$512,"DIMENSIONES")+COUNTIFS('PEGAR'!$O$13:$O$512,B407,'PEGAR'!$P$13:$P$512,"DIRECTA"))</f>
      </c>
      <c r="N407" s="0">
        <f>IF(B407="","",COUNTIFS('PEGAR'!$O$13:$O$512,B407,'PEGAR'!$X$13:$X$512,2))</f>
      </c>
      <c r="O407" s="0">
        <f>IF(B407="","",COUNTIFS('PEGAR'!$O$13:$O$512,B407,'PEGAR'!$P$13:$P$512,"SIN LÍNEAS"))</f>
      </c>
      <c r="P407" s="0">
        <f>IF(B407="","",SUMIFS('PEGAR'!$Y$13:$Y$512,'PEGAR'!$O$13:$O$512,B407))</f>
      </c>
      <c r="Q407" s="0">
        <f>IF(B407="","",SUMIFS('PEGAR'!$Z$13:$Z$512,'PEGAR'!$O$13:$O$512,B407))</f>
      </c>
      <c r="R407" s="0" t="n">
        <f>IF(OR(B407="",D407=""),0,SUMPRODUCT(--($B$13:$B$512&lt;&gt;""),--($D$13:$D$512=D407),--($C$13:$C$512=C407))-1)</f>
        <v>0</v>
      </c>
      <c r="S407" s="0" t="n">
        <f>IF(OR(B407="",D407=""),0,SUMPRODUCT(--($B$13:$B$512&lt;&gt;""),--($D$13:$D$512=D407),--($C$13:$C$512&lt;&gt;C407)))</f>
        <v>0</v>
      </c>
      <c r="T407" s="0" t="n">
        <f>IF(OR(B407="",D407=""),0,SUMPRODUCT(--($B$13:$B$512&lt;&gt;""),--($D$13:$D$512=D407),--($E$13:$E$512&lt;&gt;E407)))</f>
        <v>0</v>
      </c>
      <c r="U407" s="0" t="n">
        <f>IF(B407="",0,IF(SUMPRODUCT(--('LÉEME'!$C$65:$C$86=E407))=0,1,0))</f>
        <v>0</v>
      </c>
      <c r="V407" s="0">
        <f>IF(B407="","",SUMIFS('PEGAR'!$AA$13:$AA$512,'PEGAR'!$O$13:$O$512,B407))</f>
      </c>
      <c r="W407" s="0">
        <f>IF(B407="","",IF(OR(L407=0,N407&gt;0,T407&gt;0,IF(ISNUMBER(H407),ROUND(ABS(H407),8)&gt;$F$6,FALSE)),2,IF(OR(M407=0,O407&gt;0,P407&gt;0,Q407&gt;0,R407&gt;0,S407&gt;0,U407&gt;0,V407&gt;0),1,0)))</f>
      </c>
      <c r="X407" s="0">
        <f>IF(B407="","",IF(ISNUMBER(G407),1,0))</f>
      </c>
      <c r="AB407" s="0">
        <f>IF(AND(ISNUMBER(W407),W407&gt;0),"ID "&amp;B407,"")</f>
      </c>
      <c r="AC407" s="0">
        <f>IF(AND(ISNUMBER(W407),W407&gt;0),C407,"")</f>
      </c>
      <c r="AD407" s="0">
        <f>IF(AND(ISNUMBER(W407),W407&gt;0),D407,"")</f>
      </c>
      <c r="AE407" s="0">
        <f>IF(AND(ISNUMBER(W407),W407&gt;0),IF(INDEX('PEGAR'!$D$13:$D$512,IF(L407&gt;0,L407,K407))="","Sin descripción",INDEX('PEGAR'!$D$13:$D$512,IF(L407&gt;0,L407,K407))),"")</f>
      </c>
      <c r="AF407" s="0">
        <f>IF(AND(ISNUMBER(W407),W407&gt;0),J407,"")</f>
      </c>
      <c r="AG407" s="0" t="n">
        <f>IF(AND(ISNUMBER(W407),W407&gt;0),W407,0)</f>
        <v>0</v>
      </c>
      <c r="AH407" s="0">
        <f>IF(AG407&gt;0,COUNTIFS($AG$13:AG407,"&gt;0"),"")</f>
      </c>
    </row>
    <row r="408" ht="22" customHeight="1">
      <c r="B408" s="27">
        <f>IF(K408="","",INDEX('PEGAR'!$O$13:$O$512,K408))</f>
      </c>
      <c r="C408" s="30">
        <f>IF(B408="","",IF(LEN(TRIM(INDEX('PEGAR'!$B$13:$B$512,IF(L408&gt;0,L408,K408))&amp;""))=0,"Sin capítulo",TRIM(INDEX('PEGAR'!$B$13:$B$512,IF(L408&gt;0,L408,K408))&amp;"")))</f>
      </c>
      <c r="D408" s="27">
        <f>IF(B408="","",IF(LEN(TRIM(INDEX('PEGAR'!$C$13:$C$512,IF(L408&gt;0,L408,K408))&amp;""))=0,"",TRIM(INDEX('PEGAR'!$C$13:$C$512,IF(L408&gt;0,L408,K408))&amp;"")))</f>
      </c>
      <c r="E408" s="27">
        <f>IF(B408="","",INDEX('PEGAR'!$S$13:$S$512,IF(L408&gt;0,L408,K408)))</f>
      </c>
      <c r="F408" s="39">
        <f>IF(B408="","",IF(L408&gt;0,INDEX('PEGAR'!$F$13:$F$512,L408),""))</f>
      </c>
      <c r="G408" s="39">
        <f>IF(B408="","",IF(OR(M408=0,N408&gt;0,O408&gt;0),"",SUMIFS('PEGAR'!$M$13:$M$512,'PEGAR'!$O$13:$O$512,B408)))</f>
      </c>
      <c r="H408" s="39">
        <f>IF(AND(ISNUMBER(F408),ISNUMBER(G408)),G408-F408,"")</f>
      </c>
      <c r="I408" s="27">
        <f>IF(B408="","",IF(W408=2,"ROJO",IF(W408=1,"ÁMBAR","VERDE")))</f>
      </c>
      <c r="J408" s="30">
        <f>IF(B408="","",IF(W408=0,"Sin avisos numéricos. Revisamos el alcance aparte.",IF(L408=0,"Faltan datos completos de partida; no elegimos un total por suposición."&amp;CHAR(10),"")&amp;IF(N408&gt;0,"Hay filas incompletas o contradictorias; las revisamos en PEGAR."&amp;CHAR(10),"")&amp;IF(O408&gt;0,"Faltan las medidas de alguna fila; no cerramos la suma."&amp;CHAR(10),"")&amp;IF(M408=0,"No constan líneas de medición."&amp;CHAR(10),"")&amp;IF(IF(ISNUMBER(H408),ROUND(ABS(H408),8)&gt;$F$6,FALSE),"Las líneas difieren del total en más de 0,01; confirmamos cantidad o exclusión."&amp;CHAR(10),"")&amp;IF(P408&gt;0,"Parece m³: encontramos tres dimensiones bajo m²."&amp;CHAR(10),"")&amp;IF(R408&gt;0,"Código repetido dentro del capítulo; mantenemos sus ID separados."&amp;CHAR(10),"")&amp;IF(S408&gt;0,"Código repetido en otro capítulo; no unimos las partidas."&amp;CHAR(10),"")&amp;IF(T408&gt;0,"Mismo código con unidades distintas; pedimos aclaración."&amp;CHAR(10),"")&amp;IF(Q408&gt;0,"Hay más precisión que los decimales indicados; cotejamos el formato original."&amp;CHAR(10),"")&amp;IF(U408&gt;0,"Unidad sin normalizar; cotejamos su significado antes de sumar unidades."&amp;CHAR(10),"")&amp;IF(V408&gt;0,"Revisamos dimensiones, cantidades directas, ceros o deducciones en PEGAR."&amp;CHAR(10),"")))</f>
      </c>
      <c r="K408" s="0">
        <f>IF(396&gt;'RESUMEN'!$E$6,"",MATCH(396,'PEGAR'!$W$13:$W$512,0))</f>
      </c>
      <c r="L408" s="0">
        <f>IF(K408="","",INDEX('PEGAR'!$R$13:$R$512,K408))</f>
      </c>
      <c r="M408" s="0">
        <f>IF(B408="","",COUNTIFS('PEGAR'!$O$13:$O$512,B408,'PEGAR'!$P$13:$P$512,"DIMENSIONES")+COUNTIFS('PEGAR'!$O$13:$O$512,B408,'PEGAR'!$P$13:$P$512,"DIRECTA"))</f>
      </c>
      <c r="N408" s="0">
        <f>IF(B408="","",COUNTIFS('PEGAR'!$O$13:$O$512,B408,'PEGAR'!$X$13:$X$512,2))</f>
      </c>
      <c r="O408" s="0">
        <f>IF(B408="","",COUNTIFS('PEGAR'!$O$13:$O$512,B408,'PEGAR'!$P$13:$P$512,"SIN LÍNEAS"))</f>
      </c>
      <c r="P408" s="0">
        <f>IF(B408="","",SUMIFS('PEGAR'!$Y$13:$Y$512,'PEGAR'!$O$13:$O$512,B408))</f>
      </c>
      <c r="Q408" s="0">
        <f>IF(B408="","",SUMIFS('PEGAR'!$Z$13:$Z$512,'PEGAR'!$O$13:$O$512,B408))</f>
      </c>
      <c r="R408" s="0" t="n">
        <f>IF(OR(B408="",D408=""),0,SUMPRODUCT(--($B$13:$B$512&lt;&gt;""),--($D$13:$D$512=D408),--($C$13:$C$512=C408))-1)</f>
        <v>0</v>
      </c>
      <c r="S408" s="0" t="n">
        <f>IF(OR(B408="",D408=""),0,SUMPRODUCT(--($B$13:$B$512&lt;&gt;""),--($D$13:$D$512=D408),--($C$13:$C$512&lt;&gt;C408)))</f>
        <v>0</v>
      </c>
      <c r="T408" s="0" t="n">
        <f>IF(OR(B408="",D408=""),0,SUMPRODUCT(--($B$13:$B$512&lt;&gt;""),--($D$13:$D$512=D408),--($E$13:$E$512&lt;&gt;E408)))</f>
        <v>0</v>
      </c>
      <c r="U408" s="0" t="n">
        <f>IF(B408="",0,IF(SUMPRODUCT(--('LÉEME'!$C$65:$C$86=E408))=0,1,0))</f>
        <v>0</v>
      </c>
      <c r="V408" s="0">
        <f>IF(B408="","",SUMIFS('PEGAR'!$AA$13:$AA$512,'PEGAR'!$O$13:$O$512,B408))</f>
      </c>
      <c r="W408" s="0">
        <f>IF(B408="","",IF(OR(L408=0,N408&gt;0,T408&gt;0,IF(ISNUMBER(H408),ROUND(ABS(H408),8)&gt;$F$6,FALSE)),2,IF(OR(M408=0,O408&gt;0,P408&gt;0,Q408&gt;0,R408&gt;0,S408&gt;0,U408&gt;0,V408&gt;0),1,0)))</f>
      </c>
      <c r="X408" s="0">
        <f>IF(B408="","",IF(ISNUMBER(G408),1,0))</f>
      </c>
      <c r="AB408" s="0">
        <f>IF(AND(ISNUMBER(W408),W408&gt;0),"ID "&amp;B408,"")</f>
      </c>
      <c r="AC408" s="0">
        <f>IF(AND(ISNUMBER(W408),W408&gt;0),C408,"")</f>
      </c>
      <c r="AD408" s="0">
        <f>IF(AND(ISNUMBER(W408),W408&gt;0),D408,"")</f>
      </c>
      <c r="AE408" s="0">
        <f>IF(AND(ISNUMBER(W408),W408&gt;0),IF(INDEX('PEGAR'!$D$13:$D$512,IF(L408&gt;0,L408,K408))="","Sin descripción",INDEX('PEGAR'!$D$13:$D$512,IF(L408&gt;0,L408,K408))),"")</f>
      </c>
      <c r="AF408" s="0">
        <f>IF(AND(ISNUMBER(W408),W408&gt;0),J408,"")</f>
      </c>
      <c r="AG408" s="0" t="n">
        <f>IF(AND(ISNUMBER(W408),W408&gt;0),W408,0)</f>
        <v>0</v>
      </c>
      <c r="AH408" s="0">
        <f>IF(AG408&gt;0,COUNTIFS($AG$13:AG408,"&gt;0"),"")</f>
      </c>
    </row>
    <row r="409" ht="22" customHeight="1">
      <c r="B409" s="27">
        <f>IF(K409="","",INDEX('PEGAR'!$O$13:$O$512,K409))</f>
      </c>
      <c r="C409" s="30">
        <f>IF(B409="","",IF(LEN(TRIM(INDEX('PEGAR'!$B$13:$B$512,IF(L409&gt;0,L409,K409))&amp;""))=0,"Sin capítulo",TRIM(INDEX('PEGAR'!$B$13:$B$512,IF(L409&gt;0,L409,K409))&amp;"")))</f>
      </c>
      <c r="D409" s="27">
        <f>IF(B409="","",IF(LEN(TRIM(INDEX('PEGAR'!$C$13:$C$512,IF(L409&gt;0,L409,K409))&amp;""))=0,"",TRIM(INDEX('PEGAR'!$C$13:$C$512,IF(L409&gt;0,L409,K409))&amp;"")))</f>
      </c>
      <c r="E409" s="27">
        <f>IF(B409="","",INDEX('PEGAR'!$S$13:$S$512,IF(L409&gt;0,L409,K409)))</f>
      </c>
      <c r="F409" s="39">
        <f>IF(B409="","",IF(L409&gt;0,INDEX('PEGAR'!$F$13:$F$512,L409),""))</f>
      </c>
      <c r="G409" s="39">
        <f>IF(B409="","",IF(OR(M409=0,N409&gt;0,O409&gt;0),"",SUMIFS('PEGAR'!$M$13:$M$512,'PEGAR'!$O$13:$O$512,B409)))</f>
      </c>
      <c r="H409" s="39">
        <f>IF(AND(ISNUMBER(F409),ISNUMBER(G409)),G409-F409,"")</f>
      </c>
      <c r="I409" s="27">
        <f>IF(B409="","",IF(W409=2,"ROJO",IF(W409=1,"ÁMBAR","VERDE")))</f>
      </c>
      <c r="J409" s="30">
        <f>IF(B409="","",IF(W409=0,"Sin avisos numéricos. Revisamos el alcance aparte.",IF(L409=0,"Faltan datos completos de partida; no elegimos un total por suposición."&amp;CHAR(10),"")&amp;IF(N409&gt;0,"Hay filas incompletas o contradictorias; las revisamos en PEGAR."&amp;CHAR(10),"")&amp;IF(O409&gt;0,"Faltan las medidas de alguna fila; no cerramos la suma."&amp;CHAR(10),"")&amp;IF(M409=0,"No constan líneas de medición."&amp;CHAR(10),"")&amp;IF(IF(ISNUMBER(H409),ROUND(ABS(H409),8)&gt;$F$6,FALSE),"Las líneas difieren del total en más de 0,01; confirmamos cantidad o exclusión."&amp;CHAR(10),"")&amp;IF(P409&gt;0,"Parece m³: encontramos tres dimensiones bajo m²."&amp;CHAR(10),"")&amp;IF(R409&gt;0,"Código repetido dentro del capítulo; mantenemos sus ID separados."&amp;CHAR(10),"")&amp;IF(S409&gt;0,"Código repetido en otro capítulo; no unimos las partidas."&amp;CHAR(10),"")&amp;IF(T409&gt;0,"Mismo código con unidades distintas; pedimos aclaración."&amp;CHAR(10),"")&amp;IF(Q409&gt;0,"Hay más precisión que los decimales indicados; cotejamos el formato original."&amp;CHAR(10),"")&amp;IF(U409&gt;0,"Unidad sin normalizar; cotejamos su significado antes de sumar unidades."&amp;CHAR(10),"")&amp;IF(V409&gt;0,"Revisamos dimensiones, cantidades directas, ceros o deducciones en PEGAR."&amp;CHAR(10),"")))</f>
      </c>
      <c r="K409" s="0">
        <f>IF(397&gt;'RESUMEN'!$E$6,"",MATCH(397,'PEGAR'!$W$13:$W$512,0))</f>
      </c>
      <c r="L409" s="0">
        <f>IF(K409="","",INDEX('PEGAR'!$R$13:$R$512,K409))</f>
      </c>
      <c r="M409" s="0">
        <f>IF(B409="","",COUNTIFS('PEGAR'!$O$13:$O$512,B409,'PEGAR'!$P$13:$P$512,"DIMENSIONES")+COUNTIFS('PEGAR'!$O$13:$O$512,B409,'PEGAR'!$P$13:$P$512,"DIRECTA"))</f>
      </c>
      <c r="N409" s="0">
        <f>IF(B409="","",COUNTIFS('PEGAR'!$O$13:$O$512,B409,'PEGAR'!$X$13:$X$512,2))</f>
      </c>
      <c r="O409" s="0">
        <f>IF(B409="","",COUNTIFS('PEGAR'!$O$13:$O$512,B409,'PEGAR'!$P$13:$P$512,"SIN LÍNEAS"))</f>
      </c>
      <c r="P409" s="0">
        <f>IF(B409="","",SUMIFS('PEGAR'!$Y$13:$Y$512,'PEGAR'!$O$13:$O$512,B409))</f>
      </c>
      <c r="Q409" s="0">
        <f>IF(B409="","",SUMIFS('PEGAR'!$Z$13:$Z$512,'PEGAR'!$O$13:$O$512,B409))</f>
      </c>
      <c r="R409" s="0" t="n">
        <f>IF(OR(B409="",D409=""),0,SUMPRODUCT(--($B$13:$B$512&lt;&gt;""),--($D$13:$D$512=D409),--($C$13:$C$512=C409))-1)</f>
        <v>0</v>
      </c>
      <c r="S409" s="0" t="n">
        <f>IF(OR(B409="",D409=""),0,SUMPRODUCT(--($B$13:$B$512&lt;&gt;""),--($D$13:$D$512=D409),--($C$13:$C$512&lt;&gt;C409)))</f>
        <v>0</v>
      </c>
      <c r="T409" s="0" t="n">
        <f>IF(OR(B409="",D409=""),0,SUMPRODUCT(--($B$13:$B$512&lt;&gt;""),--($D$13:$D$512=D409),--($E$13:$E$512&lt;&gt;E409)))</f>
        <v>0</v>
      </c>
      <c r="U409" s="0" t="n">
        <f>IF(B409="",0,IF(SUMPRODUCT(--('LÉEME'!$C$65:$C$86=E409))=0,1,0))</f>
        <v>0</v>
      </c>
      <c r="V409" s="0">
        <f>IF(B409="","",SUMIFS('PEGAR'!$AA$13:$AA$512,'PEGAR'!$O$13:$O$512,B409))</f>
      </c>
      <c r="W409" s="0">
        <f>IF(B409="","",IF(OR(L409=0,N409&gt;0,T409&gt;0,IF(ISNUMBER(H409),ROUND(ABS(H409),8)&gt;$F$6,FALSE)),2,IF(OR(M409=0,O409&gt;0,P409&gt;0,Q409&gt;0,R409&gt;0,S409&gt;0,U409&gt;0,V409&gt;0),1,0)))</f>
      </c>
      <c r="X409" s="0">
        <f>IF(B409="","",IF(ISNUMBER(G409),1,0))</f>
      </c>
      <c r="AB409" s="0">
        <f>IF(AND(ISNUMBER(W409),W409&gt;0),"ID "&amp;B409,"")</f>
      </c>
      <c r="AC409" s="0">
        <f>IF(AND(ISNUMBER(W409),W409&gt;0),C409,"")</f>
      </c>
      <c r="AD409" s="0">
        <f>IF(AND(ISNUMBER(W409),W409&gt;0),D409,"")</f>
      </c>
      <c r="AE409" s="0">
        <f>IF(AND(ISNUMBER(W409),W409&gt;0),IF(INDEX('PEGAR'!$D$13:$D$512,IF(L409&gt;0,L409,K409))="","Sin descripción",INDEX('PEGAR'!$D$13:$D$512,IF(L409&gt;0,L409,K409))),"")</f>
      </c>
      <c r="AF409" s="0">
        <f>IF(AND(ISNUMBER(W409),W409&gt;0),J409,"")</f>
      </c>
      <c r="AG409" s="0" t="n">
        <f>IF(AND(ISNUMBER(W409),W409&gt;0),W409,0)</f>
        <v>0</v>
      </c>
      <c r="AH409" s="0">
        <f>IF(AG409&gt;0,COUNTIFS($AG$13:AG409,"&gt;0"),"")</f>
      </c>
    </row>
    <row r="410" ht="22" customHeight="1">
      <c r="B410" s="27">
        <f>IF(K410="","",INDEX('PEGAR'!$O$13:$O$512,K410))</f>
      </c>
      <c r="C410" s="30">
        <f>IF(B410="","",IF(LEN(TRIM(INDEX('PEGAR'!$B$13:$B$512,IF(L410&gt;0,L410,K410))&amp;""))=0,"Sin capítulo",TRIM(INDEX('PEGAR'!$B$13:$B$512,IF(L410&gt;0,L410,K410))&amp;"")))</f>
      </c>
      <c r="D410" s="27">
        <f>IF(B410="","",IF(LEN(TRIM(INDEX('PEGAR'!$C$13:$C$512,IF(L410&gt;0,L410,K410))&amp;""))=0,"",TRIM(INDEX('PEGAR'!$C$13:$C$512,IF(L410&gt;0,L410,K410))&amp;"")))</f>
      </c>
      <c r="E410" s="27">
        <f>IF(B410="","",INDEX('PEGAR'!$S$13:$S$512,IF(L410&gt;0,L410,K410)))</f>
      </c>
      <c r="F410" s="39">
        <f>IF(B410="","",IF(L410&gt;0,INDEX('PEGAR'!$F$13:$F$512,L410),""))</f>
      </c>
      <c r="G410" s="39">
        <f>IF(B410="","",IF(OR(M410=0,N410&gt;0,O410&gt;0),"",SUMIFS('PEGAR'!$M$13:$M$512,'PEGAR'!$O$13:$O$512,B410)))</f>
      </c>
      <c r="H410" s="39">
        <f>IF(AND(ISNUMBER(F410),ISNUMBER(G410)),G410-F410,"")</f>
      </c>
      <c r="I410" s="27">
        <f>IF(B410="","",IF(W410=2,"ROJO",IF(W410=1,"ÁMBAR","VERDE")))</f>
      </c>
      <c r="J410" s="30">
        <f>IF(B410="","",IF(W410=0,"Sin avisos numéricos. Revisamos el alcance aparte.",IF(L410=0,"Faltan datos completos de partida; no elegimos un total por suposición."&amp;CHAR(10),"")&amp;IF(N410&gt;0,"Hay filas incompletas o contradictorias; las revisamos en PEGAR."&amp;CHAR(10),"")&amp;IF(O410&gt;0,"Faltan las medidas de alguna fila; no cerramos la suma."&amp;CHAR(10),"")&amp;IF(M410=0,"No constan líneas de medición."&amp;CHAR(10),"")&amp;IF(IF(ISNUMBER(H410),ROUND(ABS(H410),8)&gt;$F$6,FALSE),"Las líneas difieren del total en más de 0,01; confirmamos cantidad o exclusión."&amp;CHAR(10),"")&amp;IF(P410&gt;0,"Parece m³: encontramos tres dimensiones bajo m²."&amp;CHAR(10),"")&amp;IF(R410&gt;0,"Código repetido dentro del capítulo; mantenemos sus ID separados."&amp;CHAR(10),"")&amp;IF(S410&gt;0,"Código repetido en otro capítulo; no unimos las partidas."&amp;CHAR(10),"")&amp;IF(T410&gt;0,"Mismo código con unidades distintas; pedimos aclaración."&amp;CHAR(10),"")&amp;IF(Q410&gt;0,"Hay más precisión que los decimales indicados; cotejamos el formato original."&amp;CHAR(10),"")&amp;IF(U410&gt;0,"Unidad sin normalizar; cotejamos su significado antes de sumar unidades."&amp;CHAR(10),"")&amp;IF(V410&gt;0,"Revisamos dimensiones, cantidades directas, ceros o deducciones en PEGAR."&amp;CHAR(10),"")))</f>
      </c>
      <c r="K410" s="0">
        <f>IF(398&gt;'RESUMEN'!$E$6,"",MATCH(398,'PEGAR'!$W$13:$W$512,0))</f>
      </c>
      <c r="L410" s="0">
        <f>IF(K410="","",INDEX('PEGAR'!$R$13:$R$512,K410))</f>
      </c>
      <c r="M410" s="0">
        <f>IF(B410="","",COUNTIFS('PEGAR'!$O$13:$O$512,B410,'PEGAR'!$P$13:$P$512,"DIMENSIONES")+COUNTIFS('PEGAR'!$O$13:$O$512,B410,'PEGAR'!$P$13:$P$512,"DIRECTA"))</f>
      </c>
      <c r="N410" s="0">
        <f>IF(B410="","",COUNTIFS('PEGAR'!$O$13:$O$512,B410,'PEGAR'!$X$13:$X$512,2))</f>
      </c>
      <c r="O410" s="0">
        <f>IF(B410="","",COUNTIFS('PEGAR'!$O$13:$O$512,B410,'PEGAR'!$P$13:$P$512,"SIN LÍNEAS"))</f>
      </c>
      <c r="P410" s="0">
        <f>IF(B410="","",SUMIFS('PEGAR'!$Y$13:$Y$512,'PEGAR'!$O$13:$O$512,B410))</f>
      </c>
      <c r="Q410" s="0">
        <f>IF(B410="","",SUMIFS('PEGAR'!$Z$13:$Z$512,'PEGAR'!$O$13:$O$512,B410))</f>
      </c>
      <c r="R410" s="0" t="n">
        <f>IF(OR(B410="",D410=""),0,SUMPRODUCT(--($B$13:$B$512&lt;&gt;""),--($D$13:$D$512=D410),--($C$13:$C$512=C410))-1)</f>
        <v>0</v>
      </c>
      <c r="S410" s="0" t="n">
        <f>IF(OR(B410="",D410=""),0,SUMPRODUCT(--($B$13:$B$512&lt;&gt;""),--($D$13:$D$512=D410),--($C$13:$C$512&lt;&gt;C410)))</f>
        <v>0</v>
      </c>
      <c r="T410" s="0" t="n">
        <f>IF(OR(B410="",D410=""),0,SUMPRODUCT(--($B$13:$B$512&lt;&gt;""),--($D$13:$D$512=D410),--($E$13:$E$512&lt;&gt;E410)))</f>
        <v>0</v>
      </c>
      <c r="U410" s="0" t="n">
        <f>IF(B410="",0,IF(SUMPRODUCT(--('LÉEME'!$C$65:$C$86=E410))=0,1,0))</f>
        <v>0</v>
      </c>
      <c r="V410" s="0">
        <f>IF(B410="","",SUMIFS('PEGAR'!$AA$13:$AA$512,'PEGAR'!$O$13:$O$512,B410))</f>
      </c>
      <c r="W410" s="0">
        <f>IF(B410="","",IF(OR(L410=0,N410&gt;0,T410&gt;0,IF(ISNUMBER(H410),ROUND(ABS(H410),8)&gt;$F$6,FALSE)),2,IF(OR(M410=0,O410&gt;0,P410&gt;0,Q410&gt;0,R410&gt;0,S410&gt;0,U410&gt;0,V410&gt;0),1,0)))</f>
      </c>
      <c r="X410" s="0">
        <f>IF(B410="","",IF(ISNUMBER(G410),1,0))</f>
      </c>
      <c r="AB410" s="0">
        <f>IF(AND(ISNUMBER(W410),W410&gt;0),"ID "&amp;B410,"")</f>
      </c>
      <c r="AC410" s="0">
        <f>IF(AND(ISNUMBER(W410),W410&gt;0),C410,"")</f>
      </c>
      <c r="AD410" s="0">
        <f>IF(AND(ISNUMBER(W410),W410&gt;0),D410,"")</f>
      </c>
      <c r="AE410" s="0">
        <f>IF(AND(ISNUMBER(W410),W410&gt;0),IF(INDEX('PEGAR'!$D$13:$D$512,IF(L410&gt;0,L410,K410))="","Sin descripción",INDEX('PEGAR'!$D$13:$D$512,IF(L410&gt;0,L410,K410))),"")</f>
      </c>
      <c r="AF410" s="0">
        <f>IF(AND(ISNUMBER(W410),W410&gt;0),J410,"")</f>
      </c>
      <c r="AG410" s="0" t="n">
        <f>IF(AND(ISNUMBER(W410),W410&gt;0),W410,0)</f>
        <v>0</v>
      </c>
      <c r="AH410" s="0">
        <f>IF(AG410&gt;0,COUNTIFS($AG$13:AG410,"&gt;0"),"")</f>
      </c>
    </row>
    <row r="411" ht="22" customHeight="1">
      <c r="B411" s="27">
        <f>IF(K411="","",INDEX('PEGAR'!$O$13:$O$512,K411))</f>
      </c>
      <c r="C411" s="30">
        <f>IF(B411="","",IF(LEN(TRIM(INDEX('PEGAR'!$B$13:$B$512,IF(L411&gt;0,L411,K411))&amp;""))=0,"Sin capítulo",TRIM(INDEX('PEGAR'!$B$13:$B$512,IF(L411&gt;0,L411,K411))&amp;"")))</f>
      </c>
      <c r="D411" s="27">
        <f>IF(B411="","",IF(LEN(TRIM(INDEX('PEGAR'!$C$13:$C$512,IF(L411&gt;0,L411,K411))&amp;""))=0,"",TRIM(INDEX('PEGAR'!$C$13:$C$512,IF(L411&gt;0,L411,K411))&amp;"")))</f>
      </c>
      <c r="E411" s="27">
        <f>IF(B411="","",INDEX('PEGAR'!$S$13:$S$512,IF(L411&gt;0,L411,K411)))</f>
      </c>
      <c r="F411" s="39">
        <f>IF(B411="","",IF(L411&gt;0,INDEX('PEGAR'!$F$13:$F$512,L411),""))</f>
      </c>
      <c r="G411" s="39">
        <f>IF(B411="","",IF(OR(M411=0,N411&gt;0,O411&gt;0),"",SUMIFS('PEGAR'!$M$13:$M$512,'PEGAR'!$O$13:$O$512,B411)))</f>
      </c>
      <c r="H411" s="39">
        <f>IF(AND(ISNUMBER(F411),ISNUMBER(G411)),G411-F411,"")</f>
      </c>
      <c r="I411" s="27">
        <f>IF(B411="","",IF(W411=2,"ROJO",IF(W411=1,"ÁMBAR","VERDE")))</f>
      </c>
      <c r="J411" s="30">
        <f>IF(B411="","",IF(W411=0,"Sin avisos numéricos. Revisamos el alcance aparte.",IF(L411=0,"Faltan datos completos de partida; no elegimos un total por suposición."&amp;CHAR(10),"")&amp;IF(N411&gt;0,"Hay filas incompletas o contradictorias; las revisamos en PEGAR."&amp;CHAR(10),"")&amp;IF(O411&gt;0,"Faltan las medidas de alguna fila; no cerramos la suma."&amp;CHAR(10),"")&amp;IF(M411=0,"No constan líneas de medición."&amp;CHAR(10),"")&amp;IF(IF(ISNUMBER(H411),ROUND(ABS(H411),8)&gt;$F$6,FALSE),"Las líneas difieren del total en más de 0,01; confirmamos cantidad o exclusión."&amp;CHAR(10),"")&amp;IF(P411&gt;0,"Parece m³: encontramos tres dimensiones bajo m²."&amp;CHAR(10),"")&amp;IF(R411&gt;0,"Código repetido dentro del capítulo; mantenemos sus ID separados."&amp;CHAR(10),"")&amp;IF(S411&gt;0,"Código repetido en otro capítulo; no unimos las partidas."&amp;CHAR(10),"")&amp;IF(T411&gt;0,"Mismo código con unidades distintas; pedimos aclaración."&amp;CHAR(10),"")&amp;IF(Q411&gt;0,"Hay más precisión que los decimales indicados; cotejamos el formato original."&amp;CHAR(10),"")&amp;IF(U411&gt;0,"Unidad sin normalizar; cotejamos su significado antes de sumar unidades."&amp;CHAR(10),"")&amp;IF(V411&gt;0,"Revisamos dimensiones, cantidades directas, ceros o deducciones en PEGAR."&amp;CHAR(10),"")))</f>
      </c>
      <c r="K411" s="0">
        <f>IF(399&gt;'RESUMEN'!$E$6,"",MATCH(399,'PEGAR'!$W$13:$W$512,0))</f>
      </c>
      <c r="L411" s="0">
        <f>IF(K411="","",INDEX('PEGAR'!$R$13:$R$512,K411))</f>
      </c>
      <c r="M411" s="0">
        <f>IF(B411="","",COUNTIFS('PEGAR'!$O$13:$O$512,B411,'PEGAR'!$P$13:$P$512,"DIMENSIONES")+COUNTIFS('PEGAR'!$O$13:$O$512,B411,'PEGAR'!$P$13:$P$512,"DIRECTA"))</f>
      </c>
      <c r="N411" s="0">
        <f>IF(B411="","",COUNTIFS('PEGAR'!$O$13:$O$512,B411,'PEGAR'!$X$13:$X$512,2))</f>
      </c>
      <c r="O411" s="0">
        <f>IF(B411="","",COUNTIFS('PEGAR'!$O$13:$O$512,B411,'PEGAR'!$P$13:$P$512,"SIN LÍNEAS"))</f>
      </c>
      <c r="P411" s="0">
        <f>IF(B411="","",SUMIFS('PEGAR'!$Y$13:$Y$512,'PEGAR'!$O$13:$O$512,B411))</f>
      </c>
      <c r="Q411" s="0">
        <f>IF(B411="","",SUMIFS('PEGAR'!$Z$13:$Z$512,'PEGAR'!$O$13:$O$512,B411))</f>
      </c>
      <c r="R411" s="0" t="n">
        <f>IF(OR(B411="",D411=""),0,SUMPRODUCT(--($B$13:$B$512&lt;&gt;""),--($D$13:$D$512=D411),--($C$13:$C$512=C411))-1)</f>
        <v>0</v>
      </c>
      <c r="S411" s="0" t="n">
        <f>IF(OR(B411="",D411=""),0,SUMPRODUCT(--($B$13:$B$512&lt;&gt;""),--($D$13:$D$512=D411),--($C$13:$C$512&lt;&gt;C411)))</f>
        <v>0</v>
      </c>
      <c r="T411" s="0" t="n">
        <f>IF(OR(B411="",D411=""),0,SUMPRODUCT(--($B$13:$B$512&lt;&gt;""),--($D$13:$D$512=D411),--($E$13:$E$512&lt;&gt;E411)))</f>
        <v>0</v>
      </c>
      <c r="U411" s="0" t="n">
        <f>IF(B411="",0,IF(SUMPRODUCT(--('LÉEME'!$C$65:$C$86=E411))=0,1,0))</f>
        <v>0</v>
      </c>
      <c r="V411" s="0">
        <f>IF(B411="","",SUMIFS('PEGAR'!$AA$13:$AA$512,'PEGAR'!$O$13:$O$512,B411))</f>
      </c>
      <c r="W411" s="0">
        <f>IF(B411="","",IF(OR(L411=0,N411&gt;0,T411&gt;0,IF(ISNUMBER(H411),ROUND(ABS(H411),8)&gt;$F$6,FALSE)),2,IF(OR(M411=0,O411&gt;0,P411&gt;0,Q411&gt;0,R411&gt;0,S411&gt;0,U411&gt;0,V411&gt;0),1,0)))</f>
      </c>
      <c r="X411" s="0">
        <f>IF(B411="","",IF(ISNUMBER(G411),1,0))</f>
      </c>
      <c r="AB411" s="0">
        <f>IF(AND(ISNUMBER(W411),W411&gt;0),"ID "&amp;B411,"")</f>
      </c>
      <c r="AC411" s="0">
        <f>IF(AND(ISNUMBER(W411),W411&gt;0),C411,"")</f>
      </c>
      <c r="AD411" s="0">
        <f>IF(AND(ISNUMBER(W411),W411&gt;0),D411,"")</f>
      </c>
      <c r="AE411" s="0">
        <f>IF(AND(ISNUMBER(W411),W411&gt;0),IF(INDEX('PEGAR'!$D$13:$D$512,IF(L411&gt;0,L411,K411))="","Sin descripción",INDEX('PEGAR'!$D$13:$D$512,IF(L411&gt;0,L411,K411))),"")</f>
      </c>
      <c r="AF411" s="0">
        <f>IF(AND(ISNUMBER(W411),W411&gt;0),J411,"")</f>
      </c>
      <c r="AG411" s="0" t="n">
        <f>IF(AND(ISNUMBER(W411),W411&gt;0),W411,0)</f>
        <v>0</v>
      </c>
      <c r="AH411" s="0">
        <f>IF(AG411&gt;0,COUNTIFS($AG$13:AG411,"&gt;0"),"")</f>
      </c>
    </row>
    <row r="412" ht="22" customHeight="1">
      <c r="B412" s="27">
        <f>IF(K412="","",INDEX('PEGAR'!$O$13:$O$512,K412))</f>
      </c>
      <c r="C412" s="30">
        <f>IF(B412="","",IF(LEN(TRIM(INDEX('PEGAR'!$B$13:$B$512,IF(L412&gt;0,L412,K412))&amp;""))=0,"Sin capítulo",TRIM(INDEX('PEGAR'!$B$13:$B$512,IF(L412&gt;0,L412,K412))&amp;"")))</f>
      </c>
      <c r="D412" s="27">
        <f>IF(B412="","",IF(LEN(TRIM(INDEX('PEGAR'!$C$13:$C$512,IF(L412&gt;0,L412,K412))&amp;""))=0,"",TRIM(INDEX('PEGAR'!$C$13:$C$512,IF(L412&gt;0,L412,K412))&amp;"")))</f>
      </c>
      <c r="E412" s="27">
        <f>IF(B412="","",INDEX('PEGAR'!$S$13:$S$512,IF(L412&gt;0,L412,K412)))</f>
      </c>
      <c r="F412" s="39">
        <f>IF(B412="","",IF(L412&gt;0,INDEX('PEGAR'!$F$13:$F$512,L412),""))</f>
      </c>
      <c r="G412" s="39">
        <f>IF(B412="","",IF(OR(M412=0,N412&gt;0,O412&gt;0),"",SUMIFS('PEGAR'!$M$13:$M$512,'PEGAR'!$O$13:$O$512,B412)))</f>
      </c>
      <c r="H412" s="39">
        <f>IF(AND(ISNUMBER(F412),ISNUMBER(G412)),G412-F412,"")</f>
      </c>
      <c r="I412" s="27">
        <f>IF(B412="","",IF(W412=2,"ROJO",IF(W412=1,"ÁMBAR","VERDE")))</f>
      </c>
      <c r="J412" s="30">
        <f>IF(B412="","",IF(W412=0,"Sin avisos numéricos. Revisamos el alcance aparte.",IF(L412=0,"Faltan datos completos de partida; no elegimos un total por suposición."&amp;CHAR(10),"")&amp;IF(N412&gt;0,"Hay filas incompletas o contradictorias; las revisamos en PEGAR."&amp;CHAR(10),"")&amp;IF(O412&gt;0,"Faltan las medidas de alguna fila; no cerramos la suma."&amp;CHAR(10),"")&amp;IF(M412=0,"No constan líneas de medición."&amp;CHAR(10),"")&amp;IF(IF(ISNUMBER(H412),ROUND(ABS(H412),8)&gt;$F$6,FALSE),"Las líneas difieren del total en más de 0,01; confirmamos cantidad o exclusión."&amp;CHAR(10),"")&amp;IF(P412&gt;0,"Parece m³: encontramos tres dimensiones bajo m²."&amp;CHAR(10),"")&amp;IF(R412&gt;0,"Código repetido dentro del capítulo; mantenemos sus ID separados."&amp;CHAR(10),"")&amp;IF(S412&gt;0,"Código repetido en otro capítulo; no unimos las partidas."&amp;CHAR(10),"")&amp;IF(T412&gt;0,"Mismo código con unidades distintas; pedimos aclaración."&amp;CHAR(10),"")&amp;IF(Q412&gt;0,"Hay más precisión que los decimales indicados; cotejamos el formato original."&amp;CHAR(10),"")&amp;IF(U412&gt;0,"Unidad sin normalizar; cotejamos su significado antes de sumar unidades."&amp;CHAR(10),"")&amp;IF(V412&gt;0,"Revisamos dimensiones, cantidades directas, ceros o deducciones en PEGAR."&amp;CHAR(10),"")))</f>
      </c>
      <c r="K412" s="0">
        <f>IF(400&gt;'RESUMEN'!$E$6,"",MATCH(400,'PEGAR'!$W$13:$W$512,0))</f>
      </c>
      <c r="L412" s="0">
        <f>IF(K412="","",INDEX('PEGAR'!$R$13:$R$512,K412))</f>
      </c>
      <c r="M412" s="0">
        <f>IF(B412="","",COUNTIFS('PEGAR'!$O$13:$O$512,B412,'PEGAR'!$P$13:$P$512,"DIMENSIONES")+COUNTIFS('PEGAR'!$O$13:$O$512,B412,'PEGAR'!$P$13:$P$512,"DIRECTA"))</f>
      </c>
      <c r="N412" s="0">
        <f>IF(B412="","",COUNTIFS('PEGAR'!$O$13:$O$512,B412,'PEGAR'!$X$13:$X$512,2))</f>
      </c>
      <c r="O412" s="0">
        <f>IF(B412="","",COUNTIFS('PEGAR'!$O$13:$O$512,B412,'PEGAR'!$P$13:$P$512,"SIN LÍNEAS"))</f>
      </c>
      <c r="P412" s="0">
        <f>IF(B412="","",SUMIFS('PEGAR'!$Y$13:$Y$512,'PEGAR'!$O$13:$O$512,B412))</f>
      </c>
      <c r="Q412" s="0">
        <f>IF(B412="","",SUMIFS('PEGAR'!$Z$13:$Z$512,'PEGAR'!$O$13:$O$512,B412))</f>
      </c>
      <c r="R412" s="0" t="n">
        <f>IF(OR(B412="",D412=""),0,SUMPRODUCT(--($B$13:$B$512&lt;&gt;""),--($D$13:$D$512=D412),--($C$13:$C$512=C412))-1)</f>
        <v>0</v>
      </c>
      <c r="S412" s="0" t="n">
        <f>IF(OR(B412="",D412=""),0,SUMPRODUCT(--($B$13:$B$512&lt;&gt;""),--($D$13:$D$512=D412),--($C$13:$C$512&lt;&gt;C412)))</f>
        <v>0</v>
      </c>
      <c r="T412" s="0" t="n">
        <f>IF(OR(B412="",D412=""),0,SUMPRODUCT(--($B$13:$B$512&lt;&gt;""),--($D$13:$D$512=D412),--($E$13:$E$512&lt;&gt;E412)))</f>
        <v>0</v>
      </c>
      <c r="U412" s="0" t="n">
        <f>IF(B412="",0,IF(SUMPRODUCT(--('LÉEME'!$C$65:$C$86=E412))=0,1,0))</f>
        <v>0</v>
      </c>
      <c r="V412" s="0">
        <f>IF(B412="","",SUMIFS('PEGAR'!$AA$13:$AA$512,'PEGAR'!$O$13:$O$512,B412))</f>
      </c>
      <c r="W412" s="0">
        <f>IF(B412="","",IF(OR(L412=0,N412&gt;0,T412&gt;0,IF(ISNUMBER(H412),ROUND(ABS(H412),8)&gt;$F$6,FALSE)),2,IF(OR(M412=0,O412&gt;0,P412&gt;0,Q412&gt;0,R412&gt;0,S412&gt;0,U412&gt;0,V412&gt;0),1,0)))</f>
      </c>
      <c r="X412" s="0">
        <f>IF(B412="","",IF(ISNUMBER(G412),1,0))</f>
      </c>
      <c r="AB412" s="0">
        <f>IF(AND(ISNUMBER(W412),W412&gt;0),"ID "&amp;B412,"")</f>
      </c>
      <c r="AC412" s="0">
        <f>IF(AND(ISNUMBER(W412),W412&gt;0),C412,"")</f>
      </c>
      <c r="AD412" s="0">
        <f>IF(AND(ISNUMBER(W412),W412&gt;0),D412,"")</f>
      </c>
      <c r="AE412" s="0">
        <f>IF(AND(ISNUMBER(W412),W412&gt;0),IF(INDEX('PEGAR'!$D$13:$D$512,IF(L412&gt;0,L412,K412))="","Sin descripción",INDEX('PEGAR'!$D$13:$D$512,IF(L412&gt;0,L412,K412))),"")</f>
      </c>
      <c r="AF412" s="0">
        <f>IF(AND(ISNUMBER(W412),W412&gt;0),J412,"")</f>
      </c>
      <c r="AG412" s="0" t="n">
        <f>IF(AND(ISNUMBER(W412),W412&gt;0),W412,0)</f>
        <v>0</v>
      </c>
      <c r="AH412" s="0">
        <f>IF(AG412&gt;0,COUNTIFS($AG$13:AG412,"&gt;0"),"")</f>
      </c>
    </row>
    <row r="413" ht="22" customHeight="1">
      <c r="B413" s="27">
        <f>IF(K413="","",INDEX('PEGAR'!$O$13:$O$512,K413))</f>
      </c>
      <c r="C413" s="30">
        <f>IF(B413="","",IF(LEN(TRIM(INDEX('PEGAR'!$B$13:$B$512,IF(L413&gt;0,L413,K413))&amp;""))=0,"Sin capítulo",TRIM(INDEX('PEGAR'!$B$13:$B$512,IF(L413&gt;0,L413,K413))&amp;"")))</f>
      </c>
      <c r="D413" s="27">
        <f>IF(B413="","",IF(LEN(TRIM(INDEX('PEGAR'!$C$13:$C$512,IF(L413&gt;0,L413,K413))&amp;""))=0,"",TRIM(INDEX('PEGAR'!$C$13:$C$512,IF(L413&gt;0,L413,K413))&amp;"")))</f>
      </c>
      <c r="E413" s="27">
        <f>IF(B413="","",INDEX('PEGAR'!$S$13:$S$512,IF(L413&gt;0,L413,K413)))</f>
      </c>
      <c r="F413" s="39">
        <f>IF(B413="","",IF(L413&gt;0,INDEX('PEGAR'!$F$13:$F$512,L413),""))</f>
      </c>
      <c r="G413" s="39">
        <f>IF(B413="","",IF(OR(M413=0,N413&gt;0,O413&gt;0),"",SUMIFS('PEGAR'!$M$13:$M$512,'PEGAR'!$O$13:$O$512,B413)))</f>
      </c>
      <c r="H413" s="39">
        <f>IF(AND(ISNUMBER(F413),ISNUMBER(G413)),G413-F413,"")</f>
      </c>
      <c r="I413" s="27">
        <f>IF(B413="","",IF(W413=2,"ROJO",IF(W413=1,"ÁMBAR","VERDE")))</f>
      </c>
      <c r="J413" s="30">
        <f>IF(B413="","",IF(W413=0,"Sin avisos numéricos. Revisamos el alcance aparte.",IF(L413=0,"Faltan datos completos de partida; no elegimos un total por suposición."&amp;CHAR(10),"")&amp;IF(N413&gt;0,"Hay filas incompletas o contradictorias; las revisamos en PEGAR."&amp;CHAR(10),"")&amp;IF(O413&gt;0,"Faltan las medidas de alguna fila; no cerramos la suma."&amp;CHAR(10),"")&amp;IF(M413=0,"No constan líneas de medición."&amp;CHAR(10),"")&amp;IF(IF(ISNUMBER(H413),ROUND(ABS(H413),8)&gt;$F$6,FALSE),"Las líneas difieren del total en más de 0,01; confirmamos cantidad o exclusión."&amp;CHAR(10),"")&amp;IF(P413&gt;0,"Parece m³: encontramos tres dimensiones bajo m²."&amp;CHAR(10),"")&amp;IF(R413&gt;0,"Código repetido dentro del capítulo; mantenemos sus ID separados."&amp;CHAR(10),"")&amp;IF(S413&gt;0,"Código repetido en otro capítulo; no unimos las partidas."&amp;CHAR(10),"")&amp;IF(T413&gt;0,"Mismo código con unidades distintas; pedimos aclaración."&amp;CHAR(10),"")&amp;IF(Q413&gt;0,"Hay más precisión que los decimales indicados; cotejamos el formato original."&amp;CHAR(10),"")&amp;IF(U413&gt;0,"Unidad sin normalizar; cotejamos su significado antes de sumar unidades."&amp;CHAR(10),"")&amp;IF(V413&gt;0,"Revisamos dimensiones, cantidades directas, ceros o deducciones en PEGAR."&amp;CHAR(10),"")))</f>
      </c>
      <c r="K413" s="0">
        <f>IF(401&gt;'RESUMEN'!$E$6,"",MATCH(401,'PEGAR'!$W$13:$W$512,0))</f>
      </c>
      <c r="L413" s="0">
        <f>IF(K413="","",INDEX('PEGAR'!$R$13:$R$512,K413))</f>
      </c>
      <c r="M413" s="0">
        <f>IF(B413="","",COUNTIFS('PEGAR'!$O$13:$O$512,B413,'PEGAR'!$P$13:$P$512,"DIMENSIONES")+COUNTIFS('PEGAR'!$O$13:$O$512,B413,'PEGAR'!$P$13:$P$512,"DIRECTA"))</f>
      </c>
      <c r="N413" s="0">
        <f>IF(B413="","",COUNTIFS('PEGAR'!$O$13:$O$512,B413,'PEGAR'!$X$13:$X$512,2))</f>
      </c>
      <c r="O413" s="0">
        <f>IF(B413="","",COUNTIFS('PEGAR'!$O$13:$O$512,B413,'PEGAR'!$P$13:$P$512,"SIN LÍNEAS"))</f>
      </c>
      <c r="P413" s="0">
        <f>IF(B413="","",SUMIFS('PEGAR'!$Y$13:$Y$512,'PEGAR'!$O$13:$O$512,B413))</f>
      </c>
      <c r="Q413" s="0">
        <f>IF(B413="","",SUMIFS('PEGAR'!$Z$13:$Z$512,'PEGAR'!$O$13:$O$512,B413))</f>
      </c>
      <c r="R413" s="0" t="n">
        <f>IF(OR(B413="",D413=""),0,SUMPRODUCT(--($B$13:$B$512&lt;&gt;""),--($D$13:$D$512=D413),--($C$13:$C$512=C413))-1)</f>
        <v>0</v>
      </c>
      <c r="S413" s="0" t="n">
        <f>IF(OR(B413="",D413=""),0,SUMPRODUCT(--($B$13:$B$512&lt;&gt;""),--($D$13:$D$512=D413),--($C$13:$C$512&lt;&gt;C413)))</f>
        <v>0</v>
      </c>
      <c r="T413" s="0" t="n">
        <f>IF(OR(B413="",D413=""),0,SUMPRODUCT(--($B$13:$B$512&lt;&gt;""),--($D$13:$D$512=D413),--($E$13:$E$512&lt;&gt;E413)))</f>
        <v>0</v>
      </c>
      <c r="U413" s="0" t="n">
        <f>IF(B413="",0,IF(SUMPRODUCT(--('LÉEME'!$C$65:$C$86=E413))=0,1,0))</f>
        <v>0</v>
      </c>
      <c r="V413" s="0">
        <f>IF(B413="","",SUMIFS('PEGAR'!$AA$13:$AA$512,'PEGAR'!$O$13:$O$512,B413))</f>
      </c>
      <c r="W413" s="0">
        <f>IF(B413="","",IF(OR(L413=0,N413&gt;0,T413&gt;0,IF(ISNUMBER(H413),ROUND(ABS(H413),8)&gt;$F$6,FALSE)),2,IF(OR(M413=0,O413&gt;0,P413&gt;0,Q413&gt;0,R413&gt;0,S413&gt;0,U413&gt;0,V413&gt;0),1,0)))</f>
      </c>
      <c r="X413" s="0">
        <f>IF(B413="","",IF(ISNUMBER(G413),1,0))</f>
      </c>
      <c r="AB413" s="0">
        <f>IF(AND(ISNUMBER(W413),W413&gt;0),"ID "&amp;B413,"")</f>
      </c>
      <c r="AC413" s="0">
        <f>IF(AND(ISNUMBER(W413),W413&gt;0),C413,"")</f>
      </c>
      <c r="AD413" s="0">
        <f>IF(AND(ISNUMBER(W413),W413&gt;0),D413,"")</f>
      </c>
      <c r="AE413" s="0">
        <f>IF(AND(ISNUMBER(W413),W413&gt;0),IF(INDEX('PEGAR'!$D$13:$D$512,IF(L413&gt;0,L413,K413))="","Sin descripción",INDEX('PEGAR'!$D$13:$D$512,IF(L413&gt;0,L413,K413))),"")</f>
      </c>
      <c r="AF413" s="0">
        <f>IF(AND(ISNUMBER(W413),W413&gt;0),J413,"")</f>
      </c>
      <c r="AG413" s="0" t="n">
        <f>IF(AND(ISNUMBER(W413),W413&gt;0),W413,0)</f>
        <v>0</v>
      </c>
      <c r="AH413" s="0">
        <f>IF(AG413&gt;0,COUNTIFS($AG$13:AG413,"&gt;0"),"")</f>
      </c>
    </row>
    <row r="414" ht="22" customHeight="1">
      <c r="B414" s="27">
        <f>IF(K414="","",INDEX('PEGAR'!$O$13:$O$512,K414))</f>
      </c>
      <c r="C414" s="30">
        <f>IF(B414="","",IF(LEN(TRIM(INDEX('PEGAR'!$B$13:$B$512,IF(L414&gt;0,L414,K414))&amp;""))=0,"Sin capítulo",TRIM(INDEX('PEGAR'!$B$13:$B$512,IF(L414&gt;0,L414,K414))&amp;"")))</f>
      </c>
      <c r="D414" s="27">
        <f>IF(B414="","",IF(LEN(TRIM(INDEX('PEGAR'!$C$13:$C$512,IF(L414&gt;0,L414,K414))&amp;""))=0,"",TRIM(INDEX('PEGAR'!$C$13:$C$512,IF(L414&gt;0,L414,K414))&amp;"")))</f>
      </c>
      <c r="E414" s="27">
        <f>IF(B414="","",INDEX('PEGAR'!$S$13:$S$512,IF(L414&gt;0,L414,K414)))</f>
      </c>
      <c r="F414" s="39">
        <f>IF(B414="","",IF(L414&gt;0,INDEX('PEGAR'!$F$13:$F$512,L414),""))</f>
      </c>
      <c r="G414" s="39">
        <f>IF(B414="","",IF(OR(M414=0,N414&gt;0,O414&gt;0),"",SUMIFS('PEGAR'!$M$13:$M$512,'PEGAR'!$O$13:$O$512,B414)))</f>
      </c>
      <c r="H414" s="39">
        <f>IF(AND(ISNUMBER(F414),ISNUMBER(G414)),G414-F414,"")</f>
      </c>
      <c r="I414" s="27">
        <f>IF(B414="","",IF(W414=2,"ROJO",IF(W414=1,"ÁMBAR","VERDE")))</f>
      </c>
      <c r="J414" s="30">
        <f>IF(B414="","",IF(W414=0,"Sin avisos numéricos. Revisamos el alcance aparte.",IF(L414=0,"Faltan datos completos de partida; no elegimos un total por suposición."&amp;CHAR(10),"")&amp;IF(N414&gt;0,"Hay filas incompletas o contradictorias; las revisamos en PEGAR."&amp;CHAR(10),"")&amp;IF(O414&gt;0,"Faltan las medidas de alguna fila; no cerramos la suma."&amp;CHAR(10),"")&amp;IF(M414=0,"No constan líneas de medición."&amp;CHAR(10),"")&amp;IF(IF(ISNUMBER(H414),ROUND(ABS(H414),8)&gt;$F$6,FALSE),"Las líneas difieren del total en más de 0,01; confirmamos cantidad o exclusión."&amp;CHAR(10),"")&amp;IF(P414&gt;0,"Parece m³: encontramos tres dimensiones bajo m²."&amp;CHAR(10),"")&amp;IF(R414&gt;0,"Código repetido dentro del capítulo; mantenemos sus ID separados."&amp;CHAR(10),"")&amp;IF(S414&gt;0,"Código repetido en otro capítulo; no unimos las partidas."&amp;CHAR(10),"")&amp;IF(T414&gt;0,"Mismo código con unidades distintas; pedimos aclaración."&amp;CHAR(10),"")&amp;IF(Q414&gt;0,"Hay más precisión que los decimales indicados; cotejamos el formato original."&amp;CHAR(10),"")&amp;IF(U414&gt;0,"Unidad sin normalizar; cotejamos su significado antes de sumar unidades."&amp;CHAR(10),"")&amp;IF(V414&gt;0,"Revisamos dimensiones, cantidades directas, ceros o deducciones en PEGAR."&amp;CHAR(10),"")))</f>
      </c>
      <c r="K414" s="0">
        <f>IF(402&gt;'RESUMEN'!$E$6,"",MATCH(402,'PEGAR'!$W$13:$W$512,0))</f>
      </c>
      <c r="L414" s="0">
        <f>IF(K414="","",INDEX('PEGAR'!$R$13:$R$512,K414))</f>
      </c>
      <c r="M414" s="0">
        <f>IF(B414="","",COUNTIFS('PEGAR'!$O$13:$O$512,B414,'PEGAR'!$P$13:$P$512,"DIMENSIONES")+COUNTIFS('PEGAR'!$O$13:$O$512,B414,'PEGAR'!$P$13:$P$512,"DIRECTA"))</f>
      </c>
      <c r="N414" s="0">
        <f>IF(B414="","",COUNTIFS('PEGAR'!$O$13:$O$512,B414,'PEGAR'!$X$13:$X$512,2))</f>
      </c>
      <c r="O414" s="0">
        <f>IF(B414="","",COUNTIFS('PEGAR'!$O$13:$O$512,B414,'PEGAR'!$P$13:$P$512,"SIN LÍNEAS"))</f>
      </c>
      <c r="P414" s="0">
        <f>IF(B414="","",SUMIFS('PEGAR'!$Y$13:$Y$512,'PEGAR'!$O$13:$O$512,B414))</f>
      </c>
      <c r="Q414" s="0">
        <f>IF(B414="","",SUMIFS('PEGAR'!$Z$13:$Z$512,'PEGAR'!$O$13:$O$512,B414))</f>
      </c>
      <c r="R414" s="0" t="n">
        <f>IF(OR(B414="",D414=""),0,SUMPRODUCT(--($B$13:$B$512&lt;&gt;""),--($D$13:$D$512=D414),--($C$13:$C$512=C414))-1)</f>
        <v>0</v>
      </c>
      <c r="S414" s="0" t="n">
        <f>IF(OR(B414="",D414=""),0,SUMPRODUCT(--($B$13:$B$512&lt;&gt;""),--($D$13:$D$512=D414),--($C$13:$C$512&lt;&gt;C414)))</f>
        <v>0</v>
      </c>
      <c r="T414" s="0" t="n">
        <f>IF(OR(B414="",D414=""),0,SUMPRODUCT(--($B$13:$B$512&lt;&gt;""),--($D$13:$D$512=D414),--($E$13:$E$512&lt;&gt;E414)))</f>
        <v>0</v>
      </c>
      <c r="U414" s="0" t="n">
        <f>IF(B414="",0,IF(SUMPRODUCT(--('LÉEME'!$C$65:$C$86=E414))=0,1,0))</f>
        <v>0</v>
      </c>
      <c r="V414" s="0">
        <f>IF(B414="","",SUMIFS('PEGAR'!$AA$13:$AA$512,'PEGAR'!$O$13:$O$512,B414))</f>
      </c>
      <c r="W414" s="0">
        <f>IF(B414="","",IF(OR(L414=0,N414&gt;0,T414&gt;0,IF(ISNUMBER(H414),ROUND(ABS(H414),8)&gt;$F$6,FALSE)),2,IF(OR(M414=0,O414&gt;0,P414&gt;0,Q414&gt;0,R414&gt;0,S414&gt;0,U414&gt;0,V414&gt;0),1,0)))</f>
      </c>
      <c r="X414" s="0">
        <f>IF(B414="","",IF(ISNUMBER(G414),1,0))</f>
      </c>
      <c r="AB414" s="0">
        <f>IF(AND(ISNUMBER(W414),W414&gt;0),"ID "&amp;B414,"")</f>
      </c>
      <c r="AC414" s="0">
        <f>IF(AND(ISNUMBER(W414),W414&gt;0),C414,"")</f>
      </c>
      <c r="AD414" s="0">
        <f>IF(AND(ISNUMBER(W414),W414&gt;0),D414,"")</f>
      </c>
      <c r="AE414" s="0">
        <f>IF(AND(ISNUMBER(W414),W414&gt;0),IF(INDEX('PEGAR'!$D$13:$D$512,IF(L414&gt;0,L414,K414))="","Sin descripción",INDEX('PEGAR'!$D$13:$D$512,IF(L414&gt;0,L414,K414))),"")</f>
      </c>
      <c r="AF414" s="0">
        <f>IF(AND(ISNUMBER(W414),W414&gt;0),J414,"")</f>
      </c>
      <c r="AG414" s="0" t="n">
        <f>IF(AND(ISNUMBER(W414),W414&gt;0),W414,0)</f>
        <v>0</v>
      </c>
      <c r="AH414" s="0">
        <f>IF(AG414&gt;0,COUNTIFS($AG$13:AG414,"&gt;0"),"")</f>
      </c>
    </row>
    <row r="415" ht="22" customHeight="1">
      <c r="B415" s="27">
        <f>IF(K415="","",INDEX('PEGAR'!$O$13:$O$512,K415))</f>
      </c>
      <c r="C415" s="30">
        <f>IF(B415="","",IF(LEN(TRIM(INDEX('PEGAR'!$B$13:$B$512,IF(L415&gt;0,L415,K415))&amp;""))=0,"Sin capítulo",TRIM(INDEX('PEGAR'!$B$13:$B$512,IF(L415&gt;0,L415,K415))&amp;"")))</f>
      </c>
      <c r="D415" s="27">
        <f>IF(B415="","",IF(LEN(TRIM(INDEX('PEGAR'!$C$13:$C$512,IF(L415&gt;0,L415,K415))&amp;""))=0,"",TRIM(INDEX('PEGAR'!$C$13:$C$512,IF(L415&gt;0,L415,K415))&amp;"")))</f>
      </c>
      <c r="E415" s="27">
        <f>IF(B415="","",INDEX('PEGAR'!$S$13:$S$512,IF(L415&gt;0,L415,K415)))</f>
      </c>
      <c r="F415" s="39">
        <f>IF(B415="","",IF(L415&gt;0,INDEX('PEGAR'!$F$13:$F$512,L415),""))</f>
      </c>
      <c r="G415" s="39">
        <f>IF(B415="","",IF(OR(M415=0,N415&gt;0,O415&gt;0),"",SUMIFS('PEGAR'!$M$13:$M$512,'PEGAR'!$O$13:$O$512,B415)))</f>
      </c>
      <c r="H415" s="39">
        <f>IF(AND(ISNUMBER(F415),ISNUMBER(G415)),G415-F415,"")</f>
      </c>
      <c r="I415" s="27">
        <f>IF(B415="","",IF(W415=2,"ROJO",IF(W415=1,"ÁMBAR","VERDE")))</f>
      </c>
      <c r="J415" s="30">
        <f>IF(B415="","",IF(W415=0,"Sin avisos numéricos. Revisamos el alcance aparte.",IF(L415=0,"Faltan datos completos de partida; no elegimos un total por suposición."&amp;CHAR(10),"")&amp;IF(N415&gt;0,"Hay filas incompletas o contradictorias; las revisamos en PEGAR."&amp;CHAR(10),"")&amp;IF(O415&gt;0,"Faltan las medidas de alguna fila; no cerramos la suma."&amp;CHAR(10),"")&amp;IF(M415=0,"No constan líneas de medición."&amp;CHAR(10),"")&amp;IF(IF(ISNUMBER(H415),ROUND(ABS(H415),8)&gt;$F$6,FALSE),"Las líneas difieren del total en más de 0,01; confirmamos cantidad o exclusión."&amp;CHAR(10),"")&amp;IF(P415&gt;0,"Parece m³: encontramos tres dimensiones bajo m²."&amp;CHAR(10),"")&amp;IF(R415&gt;0,"Código repetido dentro del capítulo; mantenemos sus ID separados."&amp;CHAR(10),"")&amp;IF(S415&gt;0,"Código repetido en otro capítulo; no unimos las partidas."&amp;CHAR(10),"")&amp;IF(T415&gt;0,"Mismo código con unidades distintas; pedimos aclaración."&amp;CHAR(10),"")&amp;IF(Q415&gt;0,"Hay más precisión que los decimales indicados; cotejamos el formato original."&amp;CHAR(10),"")&amp;IF(U415&gt;0,"Unidad sin normalizar; cotejamos su significado antes de sumar unidades."&amp;CHAR(10),"")&amp;IF(V415&gt;0,"Revisamos dimensiones, cantidades directas, ceros o deducciones en PEGAR."&amp;CHAR(10),"")))</f>
      </c>
      <c r="K415" s="0">
        <f>IF(403&gt;'RESUMEN'!$E$6,"",MATCH(403,'PEGAR'!$W$13:$W$512,0))</f>
      </c>
      <c r="L415" s="0">
        <f>IF(K415="","",INDEX('PEGAR'!$R$13:$R$512,K415))</f>
      </c>
      <c r="M415" s="0">
        <f>IF(B415="","",COUNTIFS('PEGAR'!$O$13:$O$512,B415,'PEGAR'!$P$13:$P$512,"DIMENSIONES")+COUNTIFS('PEGAR'!$O$13:$O$512,B415,'PEGAR'!$P$13:$P$512,"DIRECTA"))</f>
      </c>
      <c r="N415" s="0">
        <f>IF(B415="","",COUNTIFS('PEGAR'!$O$13:$O$512,B415,'PEGAR'!$X$13:$X$512,2))</f>
      </c>
      <c r="O415" s="0">
        <f>IF(B415="","",COUNTIFS('PEGAR'!$O$13:$O$512,B415,'PEGAR'!$P$13:$P$512,"SIN LÍNEAS"))</f>
      </c>
      <c r="P415" s="0">
        <f>IF(B415="","",SUMIFS('PEGAR'!$Y$13:$Y$512,'PEGAR'!$O$13:$O$512,B415))</f>
      </c>
      <c r="Q415" s="0">
        <f>IF(B415="","",SUMIFS('PEGAR'!$Z$13:$Z$512,'PEGAR'!$O$13:$O$512,B415))</f>
      </c>
      <c r="R415" s="0" t="n">
        <f>IF(OR(B415="",D415=""),0,SUMPRODUCT(--($B$13:$B$512&lt;&gt;""),--($D$13:$D$512=D415),--($C$13:$C$512=C415))-1)</f>
        <v>0</v>
      </c>
      <c r="S415" s="0" t="n">
        <f>IF(OR(B415="",D415=""),0,SUMPRODUCT(--($B$13:$B$512&lt;&gt;""),--($D$13:$D$512=D415),--($C$13:$C$512&lt;&gt;C415)))</f>
        <v>0</v>
      </c>
      <c r="T415" s="0" t="n">
        <f>IF(OR(B415="",D415=""),0,SUMPRODUCT(--($B$13:$B$512&lt;&gt;""),--($D$13:$D$512=D415),--($E$13:$E$512&lt;&gt;E415)))</f>
        <v>0</v>
      </c>
      <c r="U415" s="0" t="n">
        <f>IF(B415="",0,IF(SUMPRODUCT(--('LÉEME'!$C$65:$C$86=E415))=0,1,0))</f>
        <v>0</v>
      </c>
      <c r="V415" s="0">
        <f>IF(B415="","",SUMIFS('PEGAR'!$AA$13:$AA$512,'PEGAR'!$O$13:$O$512,B415))</f>
      </c>
      <c r="W415" s="0">
        <f>IF(B415="","",IF(OR(L415=0,N415&gt;0,T415&gt;0,IF(ISNUMBER(H415),ROUND(ABS(H415),8)&gt;$F$6,FALSE)),2,IF(OR(M415=0,O415&gt;0,P415&gt;0,Q415&gt;0,R415&gt;0,S415&gt;0,U415&gt;0,V415&gt;0),1,0)))</f>
      </c>
      <c r="X415" s="0">
        <f>IF(B415="","",IF(ISNUMBER(G415),1,0))</f>
      </c>
      <c r="AB415" s="0">
        <f>IF(AND(ISNUMBER(W415),W415&gt;0),"ID "&amp;B415,"")</f>
      </c>
      <c r="AC415" s="0">
        <f>IF(AND(ISNUMBER(W415),W415&gt;0),C415,"")</f>
      </c>
      <c r="AD415" s="0">
        <f>IF(AND(ISNUMBER(W415),W415&gt;0),D415,"")</f>
      </c>
      <c r="AE415" s="0">
        <f>IF(AND(ISNUMBER(W415),W415&gt;0),IF(INDEX('PEGAR'!$D$13:$D$512,IF(L415&gt;0,L415,K415))="","Sin descripción",INDEX('PEGAR'!$D$13:$D$512,IF(L415&gt;0,L415,K415))),"")</f>
      </c>
      <c r="AF415" s="0">
        <f>IF(AND(ISNUMBER(W415),W415&gt;0),J415,"")</f>
      </c>
      <c r="AG415" s="0" t="n">
        <f>IF(AND(ISNUMBER(W415),W415&gt;0),W415,0)</f>
        <v>0</v>
      </c>
      <c r="AH415" s="0">
        <f>IF(AG415&gt;0,COUNTIFS($AG$13:AG415,"&gt;0"),"")</f>
      </c>
    </row>
    <row r="416" ht="22" customHeight="1">
      <c r="B416" s="27">
        <f>IF(K416="","",INDEX('PEGAR'!$O$13:$O$512,K416))</f>
      </c>
      <c r="C416" s="30">
        <f>IF(B416="","",IF(LEN(TRIM(INDEX('PEGAR'!$B$13:$B$512,IF(L416&gt;0,L416,K416))&amp;""))=0,"Sin capítulo",TRIM(INDEX('PEGAR'!$B$13:$B$512,IF(L416&gt;0,L416,K416))&amp;"")))</f>
      </c>
      <c r="D416" s="27">
        <f>IF(B416="","",IF(LEN(TRIM(INDEX('PEGAR'!$C$13:$C$512,IF(L416&gt;0,L416,K416))&amp;""))=0,"",TRIM(INDEX('PEGAR'!$C$13:$C$512,IF(L416&gt;0,L416,K416))&amp;"")))</f>
      </c>
      <c r="E416" s="27">
        <f>IF(B416="","",INDEX('PEGAR'!$S$13:$S$512,IF(L416&gt;0,L416,K416)))</f>
      </c>
      <c r="F416" s="39">
        <f>IF(B416="","",IF(L416&gt;0,INDEX('PEGAR'!$F$13:$F$512,L416),""))</f>
      </c>
      <c r="G416" s="39">
        <f>IF(B416="","",IF(OR(M416=0,N416&gt;0,O416&gt;0),"",SUMIFS('PEGAR'!$M$13:$M$512,'PEGAR'!$O$13:$O$512,B416)))</f>
      </c>
      <c r="H416" s="39">
        <f>IF(AND(ISNUMBER(F416),ISNUMBER(G416)),G416-F416,"")</f>
      </c>
      <c r="I416" s="27">
        <f>IF(B416="","",IF(W416=2,"ROJO",IF(W416=1,"ÁMBAR","VERDE")))</f>
      </c>
      <c r="J416" s="30">
        <f>IF(B416="","",IF(W416=0,"Sin avisos numéricos. Revisamos el alcance aparte.",IF(L416=0,"Faltan datos completos de partida; no elegimos un total por suposición."&amp;CHAR(10),"")&amp;IF(N416&gt;0,"Hay filas incompletas o contradictorias; las revisamos en PEGAR."&amp;CHAR(10),"")&amp;IF(O416&gt;0,"Faltan las medidas de alguna fila; no cerramos la suma."&amp;CHAR(10),"")&amp;IF(M416=0,"No constan líneas de medición."&amp;CHAR(10),"")&amp;IF(IF(ISNUMBER(H416),ROUND(ABS(H416),8)&gt;$F$6,FALSE),"Las líneas difieren del total en más de 0,01; confirmamos cantidad o exclusión."&amp;CHAR(10),"")&amp;IF(P416&gt;0,"Parece m³: encontramos tres dimensiones bajo m²."&amp;CHAR(10),"")&amp;IF(R416&gt;0,"Código repetido dentro del capítulo; mantenemos sus ID separados."&amp;CHAR(10),"")&amp;IF(S416&gt;0,"Código repetido en otro capítulo; no unimos las partidas."&amp;CHAR(10),"")&amp;IF(T416&gt;0,"Mismo código con unidades distintas; pedimos aclaración."&amp;CHAR(10),"")&amp;IF(Q416&gt;0,"Hay más precisión que los decimales indicados; cotejamos el formato original."&amp;CHAR(10),"")&amp;IF(U416&gt;0,"Unidad sin normalizar; cotejamos su significado antes de sumar unidades."&amp;CHAR(10),"")&amp;IF(V416&gt;0,"Revisamos dimensiones, cantidades directas, ceros o deducciones en PEGAR."&amp;CHAR(10),"")))</f>
      </c>
      <c r="K416" s="0">
        <f>IF(404&gt;'RESUMEN'!$E$6,"",MATCH(404,'PEGAR'!$W$13:$W$512,0))</f>
      </c>
      <c r="L416" s="0">
        <f>IF(K416="","",INDEX('PEGAR'!$R$13:$R$512,K416))</f>
      </c>
      <c r="M416" s="0">
        <f>IF(B416="","",COUNTIFS('PEGAR'!$O$13:$O$512,B416,'PEGAR'!$P$13:$P$512,"DIMENSIONES")+COUNTIFS('PEGAR'!$O$13:$O$512,B416,'PEGAR'!$P$13:$P$512,"DIRECTA"))</f>
      </c>
      <c r="N416" s="0">
        <f>IF(B416="","",COUNTIFS('PEGAR'!$O$13:$O$512,B416,'PEGAR'!$X$13:$X$512,2))</f>
      </c>
      <c r="O416" s="0">
        <f>IF(B416="","",COUNTIFS('PEGAR'!$O$13:$O$512,B416,'PEGAR'!$P$13:$P$512,"SIN LÍNEAS"))</f>
      </c>
      <c r="P416" s="0">
        <f>IF(B416="","",SUMIFS('PEGAR'!$Y$13:$Y$512,'PEGAR'!$O$13:$O$512,B416))</f>
      </c>
      <c r="Q416" s="0">
        <f>IF(B416="","",SUMIFS('PEGAR'!$Z$13:$Z$512,'PEGAR'!$O$13:$O$512,B416))</f>
      </c>
      <c r="R416" s="0" t="n">
        <f>IF(OR(B416="",D416=""),0,SUMPRODUCT(--($B$13:$B$512&lt;&gt;""),--($D$13:$D$512=D416),--($C$13:$C$512=C416))-1)</f>
        <v>0</v>
      </c>
      <c r="S416" s="0" t="n">
        <f>IF(OR(B416="",D416=""),0,SUMPRODUCT(--($B$13:$B$512&lt;&gt;""),--($D$13:$D$512=D416),--($C$13:$C$512&lt;&gt;C416)))</f>
        <v>0</v>
      </c>
      <c r="T416" s="0" t="n">
        <f>IF(OR(B416="",D416=""),0,SUMPRODUCT(--($B$13:$B$512&lt;&gt;""),--($D$13:$D$512=D416),--($E$13:$E$512&lt;&gt;E416)))</f>
        <v>0</v>
      </c>
      <c r="U416" s="0" t="n">
        <f>IF(B416="",0,IF(SUMPRODUCT(--('LÉEME'!$C$65:$C$86=E416))=0,1,0))</f>
        <v>0</v>
      </c>
      <c r="V416" s="0">
        <f>IF(B416="","",SUMIFS('PEGAR'!$AA$13:$AA$512,'PEGAR'!$O$13:$O$512,B416))</f>
      </c>
      <c r="W416" s="0">
        <f>IF(B416="","",IF(OR(L416=0,N416&gt;0,T416&gt;0,IF(ISNUMBER(H416),ROUND(ABS(H416),8)&gt;$F$6,FALSE)),2,IF(OR(M416=0,O416&gt;0,P416&gt;0,Q416&gt;0,R416&gt;0,S416&gt;0,U416&gt;0,V416&gt;0),1,0)))</f>
      </c>
      <c r="X416" s="0">
        <f>IF(B416="","",IF(ISNUMBER(G416),1,0))</f>
      </c>
      <c r="AB416" s="0">
        <f>IF(AND(ISNUMBER(W416),W416&gt;0),"ID "&amp;B416,"")</f>
      </c>
      <c r="AC416" s="0">
        <f>IF(AND(ISNUMBER(W416),W416&gt;0),C416,"")</f>
      </c>
      <c r="AD416" s="0">
        <f>IF(AND(ISNUMBER(W416),W416&gt;0),D416,"")</f>
      </c>
      <c r="AE416" s="0">
        <f>IF(AND(ISNUMBER(W416),W416&gt;0),IF(INDEX('PEGAR'!$D$13:$D$512,IF(L416&gt;0,L416,K416))="","Sin descripción",INDEX('PEGAR'!$D$13:$D$512,IF(L416&gt;0,L416,K416))),"")</f>
      </c>
      <c r="AF416" s="0">
        <f>IF(AND(ISNUMBER(W416),W416&gt;0),J416,"")</f>
      </c>
      <c r="AG416" s="0" t="n">
        <f>IF(AND(ISNUMBER(W416),W416&gt;0),W416,0)</f>
        <v>0</v>
      </c>
      <c r="AH416" s="0">
        <f>IF(AG416&gt;0,COUNTIFS($AG$13:AG416,"&gt;0"),"")</f>
      </c>
    </row>
    <row r="417" ht="22" customHeight="1">
      <c r="B417" s="27">
        <f>IF(K417="","",INDEX('PEGAR'!$O$13:$O$512,K417))</f>
      </c>
      <c r="C417" s="30">
        <f>IF(B417="","",IF(LEN(TRIM(INDEX('PEGAR'!$B$13:$B$512,IF(L417&gt;0,L417,K417))&amp;""))=0,"Sin capítulo",TRIM(INDEX('PEGAR'!$B$13:$B$512,IF(L417&gt;0,L417,K417))&amp;"")))</f>
      </c>
      <c r="D417" s="27">
        <f>IF(B417="","",IF(LEN(TRIM(INDEX('PEGAR'!$C$13:$C$512,IF(L417&gt;0,L417,K417))&amp;""))=0,"",TRIM(INDEX('PEGAR'!$C$13:$C$512,IF(L417&gt;0,L417,K417))&amp;"")))</f>
      </c>
      <c r="E417" s="27">
        <f>IF(B417="","",INDEX('PEGAR'!$S$13:$S$512,IF(L417&gt;0,L417,K417)))</f>
      </c>
      <c r="F417" s="39">
        <f>IF(B417="","",IF(L417&gt;0,INDEX('PEGAR'!$F$13:$F$512,L417),""))</f>
      </c>
      <c r="G417" s="39">
        <f>IF(B417="","",IF(OR(M417=0,N417&gt;0,O417&gt;0),"",SUMIFS('PEGAR'!$M$13:$M$512,'PEGAR'!$O$13:$O$512,B417)))</f>
      </c>
      <c r="H417" s="39">
        <f>IF(AND(ISNUMBER(F417),ISNUMBER(G417)),G417-F417,"")</f>
      </c>
      <c r="I417" s="27">
        <f>IF(B417="","",IF(W417=2,"ROJO",IF(W417=1,"ÁMBAR","VERDE")))</f>
      </c>
      <c r="J417" s="30">
        <f>IF(B417="","",IF(W417=0,"Sin avisos numéricos. Revisamos el alcance aparte.",IF(L417=0,"Faltan datos completos de partida; no elegimos un total por suposición."&amp;CHAR(10),"")&amp;IF(N417&gt;0,"Hay filas incompletas o contradictorias; las revisamos en PEGAR."&amp;CHAR(10),"")&amp;IF(O417&gt;0,"Faltan las medidas de alguna fila; no cerramos la suma."&amp;CHAR(10),"")&amp;IF(M417=0,"No constan líneas de medición."&amp;CHAR(10),"")&amp;IF(IF(ISNUMBER(H417),ROUND(ABS(H417),8)&gt;$F$6,FALSE),"Las líneas difieren del total en más de 0,01; confirmamos cantidad o exclusión."&amp;CHAR(10),"")&amp;IF(P417&gt;0,"Parece m³: encontramos tres dimensiones bajo m²."&amp;CHAR(10),"")&amp;IF(R417&gt;0,"Código repetido dentro del capítulo; mantenemos sus ID separados."&amp;CHAR(10),"")&amp;IF(S417&gt;0,"Código repetido en otro capítulo; no unimos las partidas."&amp;CHAR(10),"")&amp;IF(T417&gt;0,"Mismo código con unidades distintas; pedimos aclaración."&amp;CHAR(10),"")&amp;IF(Q417&gt;0,"Hay más precisión que los decimales indicados; cotejamos el formato original."&amp;CHAR(10),"")&amp;IF(U417&gt;0,"Unidad sin normalizar; cotejamos su significado antes de sumar unidades."&amp;CHAR(10),"")&amp;IF(V417&gt;0,"Revisamos dimensiones, cantidades directas, ceros o deducciones en PEGAR."&amp;CHAR(10),"")))</f>
      </c>
      <c r="K417" s="0">
        <f>IF(405&gt;'RESUMEN'!$E$6,"",MATCH(405,'PEGAR'!$W$13:$W$512,0))</f>
      </c>
      <c r="L417" s="0">
        <f>IF(K417="","",INDEX('PEGAR'!$R$13:$R$512,K417))</f>
      </c>
      <c r="M417" s="0">
        <f>IF(B417="","",COUNTIFS('PEGAR'!$O$13:$O$512,B417,'PEGAR'!$P$13:$P$512,"DIMENSIONES")+COUNTIFS('PEGAR'!$O$13:$O$512,B417,'PEGAR'!$P$13:$P$512,"DIRECTA"))</f>
      </c>
      <c r="N417" s="0">
        <f>IF(B417="","",COUNTIFS('PEGAR'!$O$13:$O$512,B417,'PEGAR'!$X$13:$X$512,2))</f>
      </c>
      <c r="O417" s="0">
        <f>IF(B417="","",COUNTIFS('PEGAR'!$O$13:$O$512,B417,'PEGAR'!$P$13:$P$512,"SIN LÍNEAS"))</f>
      </c>
      <c r="P417" s="0">
        <f>IF(B417="","",SUMIFS('PEGAR'!$Y$13:$Y$512,'PEGAR'!$O$13:$O$512,B417))</f>
      </c>
      <c r="Q417" s="0">
        <f>IF(B417="","",SUMIFS('PEGAR'!$Z$13:$Z$512,'PEGAR'!$O$13:$O$512,B417))</f>
      </c>
      <c r="R417" s="0" t="n">
        <f>IF(OR(B417="",D417=""),0,SUMPRODUCT(--($B$13:$B$512&lt;&gt;""),--($D$13:$D$512=D417),--($C$13:$C$512=C417))-1)</f>
        <v>0</v>
      </c>
      <c r="S417" s="0" t="n">
        <f>IF(OR(B417="",D417=""),0,SUMPRODUCT(--($B$13:$B$512&lt;&gt;""),--($D$13:$D$512=D417),--($C$13:$C$512&lt;&gt;C417)))</f>
        <v>0</v>
      </c>
      <c r="T417" s="0" t="n">
        <f>IF(OR(B417="",D417=""),0,SUMPRODUCT(--($B$13:$B$512&lt;&gt;""),--($D$13:$D$512=D417),--($E$13:$E$512&lt;&gt;E417)))</f>
        <v>0</v>
      </c>
      <c r="U417" s="0" t="n">
        <f>IF(B417="",0,IF(SUMPRODUCT(--('LÉEME'!$C$65:$C$86=E417))=0,1,0))</f>
        <v>0</v>
      </c>
      <c r="V417" s="0">
        <f>IF(B417="","",SUMIFS('PEGAR'!$AA$13:$AA$512,'PEGAR'!$O$13:$O$512,B417))</f>
      </c>
      <c r="W417" s="0">
        <f>IF(B417="","",IF(OR(L417=0,N417&gt;0,T417&gt;0,IF(ISNUMBER(H417),ROUND(ABS(H417),8)&gt;$F$6,FALSE)),2,IF(OR(M417=0,O417&gt;0,P417&gt;0,Q417&gt;0,R417&gt;0,S417&gt;0,U417&gt;0,V417&gt;0),1,0)))</f>
      </c>
      <c r="X417" s="0">
        <f>IF(B417="","",IF(ISNUMBER(G417),1,0))</f>
      </c>
      <c r="AB417" s="0">
        <f>IF(AND(ISNUMBER(W417),W417&gt;0),"ID "&amp;B417,"")</f>
      </c>
      <c r="AC417" s="0">
        <f>IF(AND(ISNUMBER(W417),W417&gt;0),C417,"")</f>
      </c>
      <c r="AD417" s="0">
        <f>IF(AND(ISNUMBER(W417),W417&gt;0),D417,"")</f>
      </c>
      <c r="AE417" s="0">
        <f>IF(AND(ISNUMBER(W417),W417&gt;0),IF(INDEX('PEGAR'!$D$13:$D$512,IF(L417&gt;0,L417,K417))="","Sin descripción",INDEX('PEGAR'!$D$13:$D$512,IF(L417&gt;0,L417,K417))),"")</f>
      </c>
      <c r="AF417" s="0">
        <f>IF(AND(ISNUMBER(W417),W417&gt;0),J417,"")</f>
      </c>
      <c r="AG417" s="0" t="n">
        <f>IF(AND(ISNUMBER(W417),W417&gt;0),W417,0)</f>
        <v>0</v>
      </c>
      <c r="AH417" s="0">
        <f>IF(AG417&gt;0,COUNTIFS($AG$13:AG417,"&gt;0"),"")</f>
      </c>
    </row>
    <row r="418" ht="22" customHeight="1">
      <c r="B418" s="27">
        <f>IF(K418="","",INDEX('PEGAR'!$O$13:$O$512,K418))</f>
      </c>
      <c r="C418" s="30">
        <f>IF(B418="","",IF(LEN(TRIM(INDEX('PEGAR'!$B$13:$B$512,IF(L418&gt;0,L418,K418))&amp;""))=0,"Sin capítulo",TRIM(INDEX('PEGAR'!$B$13:$B$512,IF(L418&gt;0,L418,K418))&amp;"")))</f>
      </c>
      <c r="D418" s="27">
        <f>IF(B418="","",IF(LEN(TRIM(INDEX('PEGAR'!$C$13:$C$512,IF(L418&gt;0,L418,K418))&amp;""))=0,"",TRIM(INDEX('PEGAR'!$C$13:$C$512,IF(L418&gt;0,L418,K418))&amp;"")))</f>
      </c>
      <c r="E418" s="27">
        <f>IF(B418="","",INDEX('PEGAR'!$S$13:$S$512,IF(L418&gt;0,L418,K418)))</f>
      </c>
      <c r="F418" s="39">
        <f>IF(B418="","",IF(L418&gt;0,INDEX('PEGAR'!$F$13:$F$512,L418),""))</f>
      </c>
      <c r="G418" s="39">
        <f>IF(B418="","",IF(OR(M418=0,N418&gt;0,O418&gt;0),"",SUMIFS('PEGAR'!$M$13:$M$512,'PEGAR'!$O$13:$O$512,B418)))</f>
      </c>
      <c r="H418" s="39">
        <f>IF(AND(ISNUMBER(F418),ISNUMBER(G418)),G418-F418,"")</f>
      </c>
      <c r="I418" s="27">
        <f>IF(B418="","",IF(W418=2,"ROJO",IF(W418=1,"ÁMBAR","VERDE")))</f>
      </c>
      <c r="J418" s="30">
        <f>IF(B418="","",IF(W418=0,"Sin avisos numéricos. Revisamos el alcance aparte.",IF(L418=0,"Faltan datos completos de partida; no elegimos un total por suposición."&amp;CHAR(10),"")&amp;IF(N418&gt;0,"Hay filas incompletas o contradictorias; las revisamos en PEGAR."&amp;CHAR(10),"")&amp;IF(O418&gt;0,"Faltan las medidas de alguna fila; no cerramos la suma."&amp;CHAR(10),"")&amp;IF(M418=0,"No constan líneas de medición."&amp;CHAR(10),"")&amp;IF(IF(ISNUMBER(H418),ROUND(ABS(H418),8)&gt;$F$6,FALSE),"Las líneas difieren del total en más de 0,01; confirmamos cantidad o exclusión."&amp;CHAR(10),"")&amp;IF(P418&gt;0,"Parece m³: encontramos tres dimensiones bajo m²."&amp;CHAR(10),"")&amp;IF(R418&gt;0,"Código repetido dentro del capítulo; mantenemos sus ID separados."&amp;CHAR(10),"")&amp;IF(S418&gt;0,"Código repetido en otro capítulo; no unimos las partidas."&amp;CHAR(10),"")&amp;IF(T418&gt;0,"Mismo código con unidades distintas; pedimos aclaración."&amp;CHAR(10),"")&amp;IF(Q418&gt;0,"Hay más precisión que los decimales indicados; cotejamos el formato original."&amp;CHAR(10),"")&amp;IF(U418&gt;0,"Unidad sin normalizar; cotejamos su significado antes de sumar unidades."&amp;CHAR(10),"")&amp;IF(V418&gt;0,"Revisamos dimensiones, cantidades directas, ceros o deducciones en PEGAR."&amp;CHAR(10),"")))</f>
      </c>
      <c r="K418" s="0">
        <f>IF(406&gt;'RESUMEN'!$E$6,"",MATCH(406,'PEGAR'!$W$13:$W$512,0))</f>
      </c>
      <c r="L418" s="0">
        <f>IF(K418="","",INDEX('PEGAR'!$R$13:$R$512,K418))</f>
      </c>
      <c r="M418" s="0">
        <f>IF(B418="","",COUNTIFS('PEGAR'!$O$13:$O$512,B418,'PEGAR'!$P$13:$P$512,"DIMENSIONES")+COUNTIFS('PEGAR'!$O$13:$O$512,B418,'PEGAR'!$P$13:$P$512,"DIRECTA"))</f>
      </c>
      <c r="N418" s="0">
        <f>IF(B418="","",COUNTIFS('PEGAR'!$O$13:$O$512,B418,'PEGAR'!$X$13:$X$512,2))</f>
      </c>
      <c r="O418" s="0">
        <f>IF(B418="","",COUNTIFS('PEGAR'!$O$13:$O$512,B418,'PEGAR'!$P$13:$P$512,"SIN LÍNEAS"))</f>
      </c>
      <c r="P418" s="0">
        <f>IF(B418="","",SUMIFS('PEGAR'!$Y$13:$Y$512,'PEGAR'!$O$13:$O$512,B418))</f>
      </c>
      <c r="Q418" s="0">
        <f>IF(B418="","",SUMIFS('PEGAR'!$Z$13:$Z$512,'PEGAR'!$O$13:$O$512,B418))</f>
      </c>
      <c r="R418" s="0" t="n">
        <f>IF(OR(B418="",D418=""),0,SUMPRODUCT(--($B$13:$B$512&lt;&gt;""),--($D$13:$D$512=D418),--($C$13:$C$512=C418))-1)</f>
        <v>0</v>
      </c>
      <c r="S418" s="0" t="n">
        <f>IF(OR(B418="",D418=""),0,SUMPRODUCT(--($B$13:$B$512&lt;&gt;""),--($D$13:$D$512=D418),--($C$13:$C$512&lt;&gt;C418)))</f>
        <v>0</v>
      </c>
      <c r="T418" s="0" t="n">
        <f>IF(OR(B418="",D418=""),0,SUMPRODUCT(--($B$13:$B$512&lt;&gt;""),--($D$13:$D$512=D418),--($E$13:$E$512&lt;&gt;E418)))</f>
        <v>0</v>
      </c>
      <c r="U418" s="0" t="n">
        <f>IF(B418="",0,IF(SUMPRODUCT(--('LÉEME'!$C$65:$C$86=E418))=0,1,0))</f>
        <v>0</v>
      </c>
      <c r="V418" s="0">
        <f>IF(B418="","",SUMIFS('PEGAR'!$AA$13:$AA$512,'PEGAR'!$O$13:$O$512,B418))</f>
      </c>
      <c r="W418" s="0">
        <f>IF(B418="","",IF(OR(L418=0,N418&gt;0,T418&gt;0,IF(ISNUMBER(H418),ROUND(ABS(H418),8)&gt;$F$6,FALSE)),2,IF(OR(M418=0,O418&gt;0,P418&gt;0,Q418&gt;0,R418&gt;0,S418&gt;0,U418&gt;0,V418&gt;0),1,0)))</f>
      </c>
      <c r="X418" s="0">
        <f>IF(B418="","",IF(ISNUMBER(G418),1,0))</f>
      </c>
      <c r="AB418" s="0">
        <f>IF(AND(ISNUMBER(W418),W418&gt;0),"ID "&amp;B418,"")</f>
      </c>
      <c r="AC418" s="0">
        <f>IF(AND(ISNUMBER(W418),W418&gt;0),C418,"")</f>
      </c>
      <c r="AD418" s="0">
        <f>IF(AND(ISNUMBER(W418),W418&gt;0),D418,"")</f>
      </c>
      <c r="AE418" s="0">
        <f>IF(AND(ISNUMBER(W418),W418&gt;0),IF(INDEX('PEGAR'!$D$13:$D$512,IF(L418&gt;0,L418,K418))="","Sin descripción",INDEX('PEGAR'!$D$13:$D$512,IF(L418&gt;0,L418,K418))),"")</f>
      </c>
      <c r="AF418" s="0">
        <f>IF(AND(ISNUMBER(W418),W418&gt;0),J418,"")</f>
      </c>
      <c r="AG418" s="0" t="n">
        <f>IF(AND(ISNUMBER(W418),W418&gt;0),W418,0)</f>
        <v>0</v>
      </c>
      <c r="AH418" s="0">
        <f>IF(AG418&gt;0,COUNTIFS($AG$13:AG418,"&gt;0"),"")</f>
      </c>
    </row>
    <row r="419" ht="22" customHeight="1">
      <c r="B419" s="27">
        <f>IF(K419="","",INDEX('PEGAR'!$O$13:$O$512,K419))</f>
      </c>
      <c r="C419" s="30">
        <f>IF(B419="","",IF(LEN(TRIM(INDEX('PEGAR'!$B$13:$B$512,IF(L419&gt;0,L419,K419))&amp;""))=0,"Sin capítulo",TRIM(INDEX('PEGAR'!$B$13:$B$512,IF(L419&gt;0,L419,K419))&amp;"")))</f>
      </c>
      <c r="D419" s="27">
        <f>IF(B419="","",IF(LEN(TRIM(INDEX('PEGAR'!$C$13:$C$512,IF(L419&gt;0,L419,K419))&amp;""))=0,"",TRIM(INDEX('PEGAR'!$C$13:$C$512,IF(L419&gt;0,L419,K419))&amp;"")))</f>
      </c>
      <c r="E419" s="27">
        <f>IF(B419="","",INDEX('PEGAR'!$S$13:$S$512,IF(L419&gt;0,L419,K419)))</f>
      </c>
      <c r="F419" s="39">
        <f>IF(B419="","",IF(L419&gt;0,INDEX('PEGAR'!$F$13:$F$512,L419),""))</f>
      </c>
      <c r="G419" s="39">
        <f>IF(B419="","",IF(OR(M419=0,N419&gt;0,O419&gt;0),"",SUMIFS('PEGAR'!$M$13:$M$512,'PEGAR'!$O$13:$O$512,B419)))</f>
      </c>
      <c r="H419" s="39">
        <f>IF(AND(ISNUMBER(F419),ISNUMBER(G419)),G419-F419,"")</f>
      </c>
      <c r="I419" s="27">
        <f>IF(B419="","",IF(W419=2,"ROJO",IF(W419=1,"ÁMBAR","VERDE")))</f>
      </c>
      <c r="J419" s="30">
        <f>IF(B419="","",IF(W419=0,"Sin avisos numéricos. Revisamos el alcance aparte.",IF(L419=0,"Faltan datos completos de partida; no elegimos un total por suposición."&amp;CHAR(10),"")&amp;IF(N419&gt;0,"Hay filas incompletas o contradictorias; las revisamos en PEGAR."&amp;CHAR(10),"")&amp;IF(O419&gt;0,"Faltan las medidas de alguna fila; no cerramos la suma."&amp;CHAR(10),"")&amp;IF(M419=0,"No constan líneas de medición."&amp;CHAR(10),"")&amp;IF(IF(ISNUMBER(H419),ROUND(ABS(H419),8)&gt;$F$6,FALSE),"Las líneas difieren del total en más de 0,01; confirmamos cantidad o exclusión."&amp;CHAR(10),"")&amp;IF(P419&gt;0,"Parece m³: encontramos tres dimensiones bajo m²."&amp;CHAR(10),"")&amp;IF(R419&gt;0,"Código repetido dentro del capítulo; mantenemos sus ID separados."&amp;CHAR(10),"")&amp;IF(S419&gt;0,"Código repetido en otro capítulo; no unimos las partidas."&amp;CHAR(10),"")&amp;IF(T419&gt;0,"Mismo código con unidades distintas; pedimos aclaración."&amp;CHAR(10),"")&amp;IF(Q419&gt;0,"Hay más precisión que los decimales indicados; cotejamos el formato original."&amp;CHAR(10),"")&amp;IF(U419&gt;0,"Unidad sin normalizar; cotejamos su significado antes de sumar unidades."&amp;CHAR(10),"")&amp;IF(V419&gt;0,"Revisamos dimensiones, cantidades directas, ceros o deducciones en PEGAR."&amp;CHAR(10),"")))</f>
      </c>
      <c r="K419" s="0">
        <f>IF(407&gt;'RESUMEN'!$E$6,"",MATCH(407,'PEGAR'!$W$13:$W$512,0))</f>
      </c>
      <c r="L419" s="0">
        <f>IF(K419="","",INDEX('PEGAR'!$R$13:$R$512,K419))</f>
      </c>
      <c r="M419" s="0">
        <f>IF(B419="","",COUNTIFS('PEGAR'!$O$13:$O$512,B419,'PEGAR'!$P$13:$P$512,"DIMENSIONES")+COUNTIFS('PEGAR'!$O$13:$O$512,B419,'PEGAR'!$P$13:$P$512,"DIRECTA"))</f>
      </c>
      <c r="N419" s="0">
        <f>IF(B419="","",COUNTIFS('PEGAR'!$O$13:$O$512,B419,'PEGAR'!$X$13:$X$512,2))</f>
      </c>
      <c r="O419" s="0">
        <f>IF(B419="","",COUNTIFS('PEGAR'!$O$13:$O$512,B419,'PEGAR'!$P$13:$P$512,"SIN LÍNEAS"))</f>
      </c>
      <c r="P419" s="0">
        <f>IF(B419="","",SUMIFS('PEGAR'!$Y$13:$Y$512,'PEGAR'!$O$13:$O$512,B419))</f>
      </c>
      <c r="Q419" s="0">
        <f>IF(B419="","",SUMIFS('PEGAR'!$Z$13:$Z$512,'PEGAR'!$O$13:$O$512,B419))</f>
      </c>
      <c r="R419" s="0" t="n">
        <f>IF(OR(B419="",D419=""),0,SUMPRODUCT(--($B$13:$B$512&lt;&gt;""),--($D$13:$D$512=D419),--($C$13:$C$512=C419))-1)</f>
        <v>0</v>
      </c>
      <c r="S419" s="0" t="n">
        <f>IF(OR(B419="",D419=""),0,SUMPRODUCT(--($B$13:$B$512&lt;&gt;""),--($D$13:$D$512=D419),--($C$13:$C$512&lt;&gt;C419)))</f>
        <v>0</v>
      </c>
      <c r="T419" s="0" t="n">
        <f>IF(OR(B419="",D419=""),0,SUMPRODUCT(--($B$13:$B$512&lt;&gt;""),--($D$13:$D$512=D419),--($E$13:$E$512&lt;&gt;E419)))</f>
        <v>0</v>
      </c>
      <c r="U419" s="0" t="n">
        <f>IF(B419="",0,IF(SUMPRODUCT(--('LÉEME'!$C$65:$C$86=E419))=0,1,0))</f>
        <v>0</v>
      </c>
      <c r="V419" s="0">
        <f>IF(B419="","",SUMIFS('PEGAR'!$AA$13:$AA$512,'PEGAR'!$O$13:$O$512,B419))</f>
      </c>
      <c r="W419" s="0">
        <f>IF(B419="","",IF(OR(L419=0,N419&gt;0,T419&gt;0,IF(ISNUMBER(H419),ROUND(ABS(H419),8)&gt;$F$6,FALSE)),2,IF(OR(M419=0,O419&gt;0,P419&gt;0,Q419&gt;0,R419&gt;0,S419&gt;0,U419&gt;0,V419&gt;0),1,0)))</f>
      </c>
      <c r="X419" s="0">
        <f>IF(B419="","",IF(ISNUMBER(G419),1,0))</f>
      </c>
      <c r="AB419" s="0">
        <f>IF(AND(ISNUMBER(W419),W419&gt;0),"ID "&amp;B419,"")</f>
      </c>
      <c r="AC419" s="0">
        <f>IF(AND(ISNUMBER(W419),W419&gt;0),C419,"")</f>
      </c>
      <c r="AD419" s="0">
        <f>IF(AND(ISNUMBER(W419),W419&gt;0),D419,"")</f>
      </c>
      <c r="AE419" s="0">
        <f>IF(AND(ISNUMBER(W419),W419&gt;0),IF(INDEX('PEGAR'!$D$13:$D$512,IF(L419&gt;0,L419,K419))="","Sin descripción",INDEX('PEGAR'!$D$13:$D$512,IF(L419&gt;0,L419,K419))),"")</f>
      </c>
      <c r="AF419" s="0">
        <f>IF(AND(ISNUMBER(W419),W419&gt;0),J419,"")</f>
      </c>
      <c r="AG419" s="0" t="n">
        <f>IF(AND(ISNUMBER(W419),W419&gt;0),W419,0)</f>
        <v>0</v>
      </c>
      <c r="AH419" s="0">
        <f>IF(AG419&gt;0,COUNTIFS($AG$13:AG419,"&gt;0"),"")</f>
      </c>
    </row>
    <row r="420" ht="22" customHeight="1">
      <c r="B420" s="27">
        <f>IF(K420="","",INDEX('PEGAR'!$O$13:$O$512,K420))</f>
      </c>
      <c r="C420" s="30">
        <f>IF(B420="","",IF(LEN(TRIM(INDEX('PEGAR'!$B$13:$B$512,IF(L420&gt;0,L420,K420))&amp;""))=0,"Sin capítulo",TRIM(INDEX('PEGAR'!$B$13:$B$512,IF(L420&gt;0,L420,K420))&amp;"")))</f>
      </c>
      <c r="D420" s="27">
        <f>IF(B420="","",IF(LEN(TRIM(INDEX('PEGAR'!$C$13:$C$512,IF(L420&gt;0,L420,K420))&amp;""))=0,"",TRIM(INDEX('PEGAR'!$C$13:$C$512,IF(L420&gt;0,L420,K420))&amp;"")))</f>
      </c>
      <c r="E420" s="27">
        <f>IF(B420="","",INDEX('PEGAR'!$S$13:$S$512,IF(L420&gt;0,L420,K420)))</f>
      </c>
      <c r="F420" s="39">
        <f>IF(B420="","",IF(L420&gt;0,INDEX('PEGAR'!$F$13:$F$512,L420),""))</f>
      </c>
      <c r="G420" s="39">
        <f>IF(B420="","",IF(OR(M420=0,N420&gt;0,O420&gt;0),"",SUMIFS('PEGAR'!$M$13:$M$512,'PEGAR'!$O$13:$O$512,B420)))</f>
      </c>
      <c r="H420" s="39">
        <f>IF(AND(ISNUMBER(F420),ISNUMBER(G420)),G420-F420,"")</f>
      </c>
      <c r="I420" s="27">
        <f>IF(B420="","",IF(W420=2,"ROJO",IF(W420=1,"ÁMBAR","VERDE")))</f>
      </c>
      <c r="J420" s="30">
        <f>IF(B420="","",IF(W420=0,"Sin avisos numéricos. Revisamos el alcance aparte.",IF(L420=0,"Faltan datos completos de partida; no elegimos un total por suposición."&amp;CHAR(10),"")&amp;IF(N420&gt;0,"Hay filas incompletas o contradictorias; las revisamos en PEGAR."&amp;CHAR(10),"")&amp;IF(O420&gt;0,"Faltan las medidas de alguna fila; no cerramos la suma."&amp;CHAR(10),"")&amp;IF(M420=0,"No constan líneas de medición."&amp;CHAR(10),"")&amp;IF(IF(ISNUMBER(H420),ROUND(ABS(H420),8)&gt;$F$6,FALSE),"Las líneas difieren del total en más de 0,01; confirmamos cantidad o exclusión."&amp;CHAR(10),"")&amp;IF(P420&gt;0,"Parece m³: encontramos tres dimensiones bajo m²."&amp;CHAR(10),"")&amp;IF(R420&gt;0,"Código repetido dentro del capítulo; mantenemos sus ID separados."&amp;CHAR(10),"")&amp;IF(S420&gt;0,"Código repetido en otro capítulo; no unimos las partidas."&amp;CHAR(10),"")&amp;IF(T420&gt;0,"Mismo código con unidades distintas; pedimos aclaración."&amp;CHAR(10),"")&amp;IF(Q420&gt;0,"Hay más precisión que los decimales indicados; cotejamos el formato original."&amp;CHAR(10),"")&amp;IF(U420&gt;0,"Unidad sin normalizar; cotejamos su significado antes de sumar unidades."&amp;CHAR(10),"")&amp;IF(V420&gt;0,"Revisamos dimensiones, cantidades directas, ceros o deducciones en PEGAR."&amp;CHAR(10),"")))</f>
      </c>
      <c r="K420" s="0">
        <f>IF(408&gt;'RESUMEN'!$E$6,"",MATCH(408,'PEGAR'!$W$13:$W$512,0))</f>
      </c>
      <c r="L420" s="0">
        <f>IF(K420="","",INDEX('PEGAR'!$R$13:$R$512,K420))</f>
      </c>
      <c r="M420" s="0">
        <f>IF(B420="","",COUNTIFS('PEGAR'!$O$13:$O$512,B420,'PEGAR'!$P$13:$P$512,"DIMENSIONES")+COUNTIFS('PEGAR'!$O$13:$O$512,B420,'PEGAR'!$P$13:$P$512,"DIRECTA"))</f>
      </c>
      <c r="N420" s="0">
        <f>IF(B420="","",COUNTIFS('PEGAR'!$O$13:$O$512,B420,'PEGAR'!$X$13:$X$512,2))</f>
      </c>
      <c r="O420" s="0">
        <f>IF(B420="","",COUNTIFS('PEGAR'!$O$13:$O$512,B420,'PEGAR'!$P$13:$P$512,"SIN LÍNEAS"))</f>
      </c>
      <c r="P420" s="0">
        <f>IF(B420="","",SUMIFS('PEGAR'!$Y$13:$Y$512,'PEGAR'!$O$13:$O$512,B420))</f>
      </c>
      <c r="Q420" s="0">
        <f>IF(B420="","",SUMIFS('PEGAR'!$Z$13:$Z$512,'PEGAR'!$O$13:$O$512,B420))</f>
      </c>
      <c r="R420" s="0" t="n">
        <f>IF(OR(B420="",D420=""),0,SUMPRODUCT(--($B$13:$B$512&lt;&gt;""),--($D$13:$D$512=D420),--($C$13:$C$512=C420))-1)</f>
        <v>0</v>
      </c>
      <c r="S420" s="0" t="n">
        <f>IF(OR(B420="",D420=""),0,SUMPRODUCT(--($B$13:$B$512&lt;&gt;""),--($D$13:$D$512=D420),--($C$13:$C$512&lt;&gt;C420)))</f>
        <v>0</v>
      </c>
      <c r="T420" s="0" t="n">
        <f>IF(OR(B420="",D420=""),0,SUMPRODUCT(--($B$13:$B$512&lt;&gt;""),--($D$13:$D$512=D420),--($E$13:$E$512&lt;&gt;E420)))</f>
        <v>0</v>
      </c>
      <c r="U420" s="0" t="n">
        <f>IF(B420="",0,IF(SUMPRODUCT(--('LÉEME'!$C$65:$C$86=E420))=0,1,0))</f>
        <v>0</v>
      </c>
      <c r="V420" s="0">
        <f>IF(B420="","",SUMIFS('PEGAR'!$AA$13:$AA$512,'PEGAR'!$O$13:$O$512,B420))</f>
      </c>
      <c r="W420" s="0">
        <f>IF(B420="","",IF(OR(L420=0,N420&gt;0,T420&gt;0,IF(ISNUMBER(H420),ROUND(ABS(H420),8)&gt;$F$6,FALSE)),2,IF(OR(M420=0,O420&gt;0,P420&gt;0,Q420&gt;0,R420&gt;0,S420&gt;0,U420&gt;0,V420&gt;0),1,0)))</f>
      </c>
      <c r="X420" s="0">
        <f>IF(B420="","",IF(ISNUMBER(G420),1,0))</f>
      </c>
      <c r="AB420" s="0">
        <f>IF(AND(ISNUMBER(W420),W420&gt;0),"ID "&amp;B420,"")</f>
      </c>
      <c r="AC420" s="0">
        <f>IF(AND(ISNUMBER(W420),W420&gt;0),C420,"")</f>
      </c>
      <c r="AD420" s="0">
        <f>IF(AND(ISNUMBER(W420),W420&gt;0),D420,"")</f>
      </c>
      <c r="AE420" s="0">
        <f>IF(AND(ISNUMBER(W420),W420&gt;0),IF(INDEX('PEGAR'!$D$13:$D$512,IF(L420&gt;0,L420,K420))="","Sin descripción",INDEX('PEGAR'!$D$13:$D$512,IF(L420&gt;0,L420,K420))),"")</f>
      </c>
      <c r="AF420" s="0">
        <f>IF(AND(ISNUMBER(W420),W420&gt;0),J420,"")</f>
      </c>
      <c r="AG420" s="0" t="n">
        <f>IF(AND(ISNUMBER(W420),W420&gt;0),W420,0)</f>
        <v>0</v>
      </c>
      <c r="AH420" s="0">
        <f>IF(AG420&gt;0,COUNTIFS($AG$13:AG420,"&gt;0"),"")</f>
      </c>
    </row>
    <row r="421" ht="22" customHeight="1">
      <c r="B421" s="27">
        <f>IF(K421="","",INDEX('PEGAR'!$O$13:$O$512,K421))</f>
      </c>
      <c r="C421" s="30">
        <f>IF(B421="","",IF(LEN(TRIM(INDEX('PEGAR'!$B$13:$B$512,IF(L421&gt;0,L421,K421))&amp;""))=0,"Sin capítulo",TRIM(INDEX('PEGAR'!$B$13:$B$512,IF(L421&gt;0,L421,K421))&amp;"")))</f>
      </c>
      <c r="D421" s="27">
        <f>IF(B421="","",IF(LEN(TRIM(INDEX('PEGAR'!$C$13:$C$512,IF(L421&gt;0,L421,K421))&amp;""))=0,"",TRIM(INDEX('PEGAR'!$C$13:$C$512,IF(L421&gt;0,L421,K421))&amp;"")))</f>
      </c>
      <c r="E421" s="27">
        <f>IF(B421="","",INDEX('PEGAR'!$S$13:$S$512,IF(L421&gt;0,L421,K421)))</f>
      </c>
      <c r="F421" s="39">
        <f>IF(B421="","",IF(L421&gt;0,INDEX('PEGAR'!$F$13:$F$512,L421),""))</f>
      </c>
      <c r="G421" s="39">
        <f>IF(B421="","",IF(OR(M421=0,N421&gt;0,O421&gt;0),"",SUMIFS('PEGAR'!$M$13:$M$512,'PEGAR'!$O$13:$O$512,B421)))</f>
      </c>
      <c r="H421" s="39">
        <f>IF(AND(ISNUMBER(F421),ISNUMBER(G421)),G421-F421,"")</f>
      </c>
      <c r="I421" s="27">
        <f>IF(B421="","",IF(W421=2,"ROJO",IF(W421=1,"ÁMBAR","VERDE")))</f>
      </c>
      <c r="J421" s="30">
        <f>IF(B421="","",IF(W421=0,"Sin avisos numéricos. Revisamos el alcance aparte.",IF(L421=0,"Faltan datos completos de partida; no elegimos un total por suposición."&amp;CHAR(10),"")&amp;IF(N421&gt;0,"Hay filas incompletas o contradictorias; las revisamos en PEGAR."&amp;CHAR(10),"")&amp;IF(O421&gt;0,"Faltan las medidas de alguna fila; no cerramos la suma."&amp;CHAR(10),"")&amp;IF(M421=0,"No constan líneas de medición."&amp;CHAR(10),"")&amp;IF(IF(ISNUMBER(H421),ROUND(ABS(H421),8)&gt;$F$6,FALSE),"Las líneas difieren del total en más de 0,01; confirmamos cantidad o exclusión."&amp;CHAR(10),"")&amp;IF(P421&gt;0,"Parece m³: encontramos tres dimensiones bajo m²."&amp;CHAR(10),"")&amp;IF(R421&gt;0,"Código repetido dentro del capítulo; mantenemos sus ID separados."&amp;CHAR(10),"")&amp;IF(S421&gt;0,"Código repetido en otro capítulo; no unimos las partidas."&amp;CHAR(10),"")&amp;IF(T421&gt;0,"Mismo código con unidades distintas; pedimos aclaración."&amp;CHAR(10),"")&amp;IF(Q421&gt;0,"Hay más precisión que los decimales indicados; cotejamos el formato original."&amp;CHAR(10),"")&amp;IF(U421&gt;0,"Unidad sin normalizar; cotejamos su significado antes de sumar unidades."&amp;CHAR(10),"")&amp;IF(V421&gt;0,"Revisamos dimensiones, cantidades directas, ceros o deducciones en PEGAR."&amp;CHAR(10),"")))</f>
      </c>
      <c r="K421" s="0">
        <f>IF(409&gt;'RESUMEN'!$E$6,"",MATCH(409,'PEGAR'!$W$13:$W$512,0))</f>
      </c>
      <c r="L421" s="0">
        <f>IF(K421="","",INDEX('PEGAR'!$R$13:$R$512,K421))</f>
      </c>
      <c r="M421" s="0">
        <f>IF(B421="","",COUNTIFS('PEGAR'!$O$13:$O$512,B421,'PEGAR'!$P$13:$P$512,"DIMENSIONES")+COUNTIFS('PEGAR'!$O$13:$O$512,B421,'PEGAR'!$P$13:$P$512,"DIRECTA"))</f>
      </c>
      <c r="N421" s="0">
        <f>IF(B421="","",COUNTIFS('PEGAR'!$O$13:$O$512,B421,'PEGAR'!$X$13:$X$512,2))</f>
      </c>
      <c r="O421" s="0">
        <f>IF(B421="","",COUNTIFS('PEGAR'!$O$13:$O$512,B421,'PEGAR'!$P$13:$P$512,"SIN LÍNEAS"))</f>
      </c>
      <c r="P421" s="0">
        <f>IF(B421="","",SUMIFS('PEGAR'!$Y$13:$Y$512,'PEGAR'!$O$13:$O$512,B421))</f>
      </c>
      <c r="Q421" s="0">
        <f>IF(B421="","",SUMIFS('PEGAR'!$Z$13:$Z$512,'PEGAR'!$O$13:$O$512,B421))</f>
      </c>
      <c r="R421" s="0" t="n">
        <f>IF(OR(B421="",D421=""),0,SUMPRODUCT(--($B$13:$B$512&lt;&gt;""),--($D$13:$D$512=D421),--($C$13:$C$512=C421))-1)</f>
        <v>0</v>
      </c>
      <c r="S421" s="0" t="n">
        <f>IF(OR(B421="",D421=""),0,SUMPRODUCT(--($B$13:$B$512&lt;&gt;""),--($D$13:$D$512=D421),--($C$13:$C$512&lt;&gt;C421)))</f>
        <v>0</v>
      </c>
      <c r="T421" s="0" t="n">
        <f>IF(OR(B421="",D421=""),0,SUMPRODUCT(--($B$13:$B$512&lt;&gt;""),--($D$13:$D$512=D421),--($E$13:$E$512&lt;&gt;E421)))</f>
        <v>0</v>
      </c>
      <c r="U421" s="0" t="n">
        <f>IF(B421="",0,IF(SUMPRODUCT(--('LÉEME'!$C$65:$C$86=E421))=0,1,0))</f>
        <v>0</v>
      </c>
      <c r="V421" s="0">
        <f>IF(B421="","",SUMIFS('PEGAR'!$AA$13:$AA$512,'PEGAR'!$O$13:$O$512,B421))</f>
      </c>
      <c r="W421" s="0">
        <f>IF(B421="","",IF(OR(L421=0,N421&gt;0,T421&gt;0,IF(ISNUMBER(H421),ROUND(ABS(H421),8)&gt;$F$6,FALSE)),2,IF(OR(M421=0,O421&gt;0,P421&gt;0,Q421&gt;0,R421&gt;0,S421&gt;0,U421&gt;0,V421&gt;0),1,0)))</f>
      </c>
      <c r="X421" s="0">
        <f>IF(B421="","",IF(ISNUMBER(G421),1,0))</f>
      </c>
      <c r="AB421" s="0">
        <f>IF(AND(ISNUMBER(W421),W421&gt;0),"ID "&amp;B421,"")</f>
      </c>
      <c r="AC421" s="0">
        <f>IF(AND(ISNUMBER(W421),W421&gt;0),C421,"")</f>
      </c>
      <c r="AD421" s="0">
        <f>IF(AND(ISNUMBER(W421),W421&gt;0),D421,"")</f>
      </c>
      <c r="AE421" s="0">
        <f>IF(AND(ISNUMBER(W421),W421&gt;0),IF(INDEX('PEGAR'!$D$13:$D$512,IF(L421&gt;0,L421,K421))="","Sin descripción",INDEX('PEGAR'!$D$13:$D$512,IF(L421&gt;0,L421,K421))),"")</f>
      </c>
      <c r="AF421" s="0">
        <f>IF(AND(ISNUMBER(W421),W421&gt;0),J421,"")</f>
      </c>
      <c r="AG421" s="0" t="n">
        <f>IF(AND(ISNUMBER(W421),W421&gt;0),W421,0)</f>
        <v>0</v>
      </c>
      <c r="AH421" s="0">
        <f>IF(AG421&gt;0,COUNTIFS($AG$13:AG421,"&gt;0"),"")</f>
      </c>
    </row>
    <row r="422" ht="22" customHeight="1">
      <c r="B422" s="27">
        <f>IF(K422="","",INDEX('PEGAR'!$O$13:$O$512,K422))</f>
      </c>
      <c r="C422" s="30">
        <f>IF(B422="","",IF(LEN(TRIM(INDEX('PEGAR'!$B$13:$B$512,IF(L422&gt;0,L422,K422))&amp;""))=0,"Sin capítulo",TRIM(INDEX('PEGAR'!$B$13:$B$512,IF(L422&gt;0,L422,K422))&amp;"")))</f>
      </c>
      <c r="D422" s="27">
        <f>IF(B422="","",IF(LEN(TRIM(INDEX('PEGAR'!$C$13:$C$512,IF(L422&gt;0,L422,K422))&amp;""))=0,"",TRIM(INDEX('PEGAR'!$C$13:$C$512,IF(L422&gt;0,L422,K422))&amp;"")))</f>
      </c>
      <c r="E422" s="27">
        <f>IF(B422="","",INDEX('PEGAR'!$S$13:$S$512,IF(L422&gt;0,L422,K422)))</f>
      </c>
      <c r="F422" s="39">
        <f>IF(B422="","",IF(L422&gt;0,INDEX('PEGAR'!$F$13:$F$512,L422),""))</f>
      </c>
      <c r="G422" s="39">
        <f>IF(B422="","",IF(OR(M422=0,N422&gt;0,O422&gt;0),"",SUMIFS('PEGAR'!$M$13:$M$512,'PEGAR'!$O$13:$O$512,B422)))</f>
      </c>
      <c r="H422" s="39">
        <f>IF(AND(ISNUMBER(F422),ISNUMBER(G422)),G422-F422,"")</f>
      </c>
      <c r="I422" s="27">
        <f>IF(B422="","",IF(W422=2,"ROJO",IF(W422=1,"ÁMBAR","VERDE")))</f>
      </c>
      <c r="J422" s="30">
        <f>IF(B422="","",IF(W422=0,"Sin avisos numéricos. Revisamos el alcance aparte.",IF(L422=0,"Faltan datos completos de partida; no elegimos un total por suposición."&amp;CHAR(10),"")&amp;IF(N422&gt;0,"Hay filas incompletas o contradictorias; las revisamos en PEGAR."&amp;CHAR(10),"")&amp;IF(O422&gt;0,"Faltan las medidas de alguna fila; no cerramos la suma."&amp;CHAR(10),"")&amp;IF(M422=0,"No constan líneas de medición."&amp;CHAR(10),"")&amp;IF(IF(ISNUMBER(H422),ROUND(ABS(H422),8)&gt;$F$6,FALSE),"Las líneas difieren del total en más de 0,01; confirmamos cantidad o exclusión."&amp;CHAR(10),"")&amp;IF(P422&gt;0,"Parece m³: encontramos tres dimensiones bajo m²."&amp;CHAR(10),"")&amp;IF(R422&gt;0,"Código repetido dentro del capítulo; mantenemos sus ID separados."&amp;CHAR(10),"")&amp;IF(S422&gt;0,"Código repetido en otro capítulo; no unimos las partidas."&amp;CHAR(10),"")&amp;IF(T422&gt;0,"Mismo código con unidades distintas; pedimos aclaración."&amp;CHAR(10),"")&amp;IF(Q422&gt;0,"Hay más precisión que los decimales indicados; cotejamos el formato original."&amp;CHAR(10),"")&amp;IF(U422&gt;0,"Unidad sin normalizar; cotejamos su significado antes de sumar unidades."&amp;CHAR(10),"")&amp;IF(V422&gt;0,"Revisamos dimensiones, cantidades directas, ceros o deducciones en PEGAR."&amp;CHAR(10),"")))</f>
      </c>
      <c r="K422" s="0">
        <f>IF(410&gt;'RESUMEN'!$E$6,"",MATCH(410,'PEGAR'!$W$13:$W$512,0))</f>
      </c>
      <c r="L422" s="0">
        <f>IF(K422="","",INDEX('PEGAR'!$R$13:$R$512,K422))</f>
      </c>
      <c r="M422" s="0">
        <f>IF(B422="","",COUNTIFS('PEGAR'!$O$13:$O$512,B422,'PEGAR'!$P$13:$P$512,"DIMENSIONES")+COUNTIFS('PEGAR'!$O$13:$O$512,B422,'PEGAR'!$P$13:$P$512,"DIRECTA"))</f>
      </c>
      <c r="N422" s="0">
        <f>IF(B422="","",COUNTIFS('PEGAR'!$O$13:$O$512,B422,'PEGAR'!$X$13:$X$512,2))</f>
      </c>
      <c r="O422" s="0">
        <f>IF(B422="","",COUNTIFS('PEGAR'!$O$13:$O$512,B422,'PEGAR'!$P$13:$P$512,"SIN LÍNEAS"))</f>
      </c>
      <c r="P422" s="0">
        <f>IF(B422="","",SUMIFS('PEGAR'!$Y$13:$Y$512,'PEGAR'!$O$13:$O$512,B422))</f>
      </c>
      <c r="Q422" s="0">
        <f>IF(B422="","",SUMIFS('PEGAR'!$Z$13:$Z$512,'PEGAR'!$O$13:$O$512,B422))</f>
      </c>
      <c r="R422" s="0" t="n">
        <f>IF(OR(B422="",D422=""),0,SUMPRODUCT(--($B$13:$B$512&lt;&gt;""),--($D$13:$D$512=D422),--($C$13:$C$512=C422))-1)</f>
        <v>0</v>
      </c>
      <c r="S422" s="0" t="n">
        <f>IF(OR(B422="",D422=""),0,SUMPRODUCT(--($B$13:$B$512&lt;&gt;""),--($D$13:$D$512=D422),--($C$13:$C$512&lt;&gt;C422)))</f>
        <v>0</v>
      </c>
      <c r="T422" s="0" t="n">
        <f>IF(OR(B422="",D422=""),0,SUMPRODUCT(--($B$13:$B$512&lt;&gt;""),--($D$13:$D$512=D422),--($E$13:$E$512&lt;&gt;E422)))</f>
        <v>0</v>
      </c>
      <c r="U422" s="0" t="n">
        <f>IF(B422="",0,IF(SUMPRODUCT(--('LÉEME'!$C$65:$C$86=E422))=0,1,0))</f>
        <v>0</v>
      </c>
      <c r="V422" s="0">
        <f>IF(B422="","",SUMIFS('PEGAR'!$AA$13:$AA$512,'PEGAR'!$O$13:$O$512,B422))</f>
      </c>
      <c r="W422" s="0">
        <f>IF(B422="","",IF(OR(L422=0,N422&gt;0,T422&gt;0,IF(ISNUMBER(H422),ROUND(ABS(H422),8)&gt;$F$6,FALSE)),2,IF(OR(M422=0,O422&gt;0,P422&gt;0,Q422&gt;0,R422&gt;0,S422&gt;0,U422&gt;0,V422&gt;0),1,0)))</f>
      </c>
      <c r="X422" s="0">
        <f>IF(B422="","",IF(ISNUMBER(G422),1,0))</f>
      </c>
      <c r="AB422" s="0">
        <f>IF(AND(ISNUMBER(W422),W422&gt;0),"ID "&amp;B422,"")</f>
      </c>
      <c r="AC422" s="0">
        <f>IF(AND(ISNUMBER(W422),W422&gt;0),C422,"")</f>
      </c>
      <c r="AD422" s="0">
        <f>IF(AND(ISNUMBER(W422),W422&gt;0),D422,"")</f>
      </c>
      <c r="AE422" s="0">
        <f>IF(AND(ISNUMBER(W422),W422&gt;0),IF(INDEX('PEGAR'!$D$13:$D$512,IF(L422&gt;0,L422,K422))="","Sin descripción",INDEX('PEGAR'!$D$13:$D$512,IF(L422&gt;0,L422,K422))),"")</f>
      </c>
      <c r="AF422" s="0">
        <f>IF(AND(ISNUMBER(W422),W422&gt;0),J422,"")</f>
      </c>
      <c r="AG422" s="0" t="n">
        <f>IF(AND(ISNUMBER(W422),W422&gt;0),W422,0)</f>
        <v>0</v>
      </c>
      <c r="AH422" s="0">
        <f>IF(AG422&gt;0,COUNTIFS($AG$13:AG422,"&gt;0"),"")</f>
      </c>
    </row>
    <row r="423" ht="22" customHeight="1">
      <c r="B423" s="27">
        <f>IF(K423="","",INDEX('PEGAR'!$O$13:$O$512,K423))</f>
      </c>
      <c r="C423" s="30">
        <f>IF(B423="","",IF(LEN(TRIM(INDEX('PEGAR'!$B$13:$B$512,IF(L423&gt;0,L423,K423))&amp;""))=0,"Sin capítulo",TRIM(INDEX('PEGAR'!$B$13:$B$512,IF(L423&gt;0,L423,K423))&amp;"")))</f>
      </c>
      <c r="D423" s="27">
        <f>IF(B423="","",IF(LEN(TRIM(INDEX('PEGAR'!$C$13:$C$512,IF(L423&gt;0,L423,K423))&amp;""))=0,"",TRIM(INDEX('PEGAR'!$C$13:$C$512,IF(L423&gt;0,L423,K423))&amp;"")))</f>
      </c>
      <c r="E423" s="27">
        <f>IF(B423="","",INDEX('PEGAR'!$S$13:$S$512,IF(L423&gt;0,L423,K423)))</f>
      </c>
      <c r="F423" s="39">
        <f>IF(B423="","",IF(L423&gt;0,INDEX('PEGAR'!$F$13:$F$512,L423),""))</f>
      </c>
      <c r="G423" s="39">
        <f>IF(B423="","",IF(OR(M423=0,N423&gt;0,O423&gt;0),"",SUMIFS('PEGAR'!$M$13:$M$512,'PEGAR'!$O$13:$O$512,B423)))</f>
      </c>
      <c r="H423" s="39">
        <f>IF(AND(ISNUMBER(F423),ISNUMBER(G423)),G423-F423,"")</f>
      </c>
      <c r="I423" s="27">
        <f>IF(B423="","",IF(W423=2,"ROJO",IF(W423=1,"ÁMBAR","VERDE")))</f>
      </c>
      <c r="J423" s="30">
        <f>IF(B423="","",IF(W423=0,"Sin avisos numéricos. Revisamos el alcance aparte.",IF(L423=0,"Faltan datos completos de partida; no elegimos un total por suposición."&amp;CHAR(10),"")&amp;IF(N423&gt;0,"Hay filas incompletas o contradictorias; las revisamos en PEGAR."&amp;CHAR(10),"")&amp;IF(O423&gt;0,"Faltan las medidas de alguna fila; no cerramos la suma."&amp;CHAR(10),"")&amp;IF(M423=0,"No constan líneas de medición."&amp;CHAR(10),"")&amp;IF(IF(ISNUMBER(H423),ROUND(ABS(H423),8)&gt;$F$6,FALSE),"Las líneas difieren del total en más de 0,01; confirmamos cantidad o exclusión."&amp;CHAR(10),"")&amp;IF(P423&gt;0,"Parece m³: encontramos tres dimensiones bajo m²."&amp;CHAR(10),"")&amp;IF(R423&gt;0,"Código repetido dentro del capítulo; mantenemos sus ID separados."&amp;CHAR(10),"")&amp;IF(S423&gt;0,"Código repetido en otro capítulo; no unimos las partidas."&amp;CHAR(10),"")&amp;IF(T423&gt;0,"Mismo código con unidades distintas; pedimos aclaración."&amp;CHAR(10),"")&amp;IF(Q423&gt;0,"Hay más precisión que los decimales indicados; cotejamos el formato original."&amp;CHAR(10),"")&amp;IF(U423&gt;0,"Unidad sin normalizar; cotejamos su significado antes de sumar unidades."&amp;CHAR(10),"")&amp;IF(V423&gt;0,"Revisamos dimensiones, cantidades directas, ceros o deducciones en PEGAR."&amp;CHAR(10),"")))</f>
      </c>
      <c r="K423" s="0">
        <f>IF(411&gt;'RESUMEN'!$E$6,"",MATCH(411,'PEGAR'!$W$13:$W$512,0))</f>
      </c>
      <c r="L423" s="0">
        <f>IF(K423="","",INDEX('PEGAR'!$R$13:$R$512,K423))</f>
      </c>
      <c r="M423" s="0">
        <f>IF(B423="","",COUNTIFS('PEGAR'!$O$13:$O$512,B423,'PEGAR'!$P$13:$P$512,"DIMENSIONES")+COUNTIFS('PEGAR'!$O$13:$O$512,B423,'PEGAR'!$P$13:$P$512,"DIRECTA"))</f>
      </c>
      <c r="N423" s="0">
        <f>IF(B423="","",COUNTIFS('PEGAR'!$O$13:$O$512,B423,'PEGAR'!$X$13:$X$512,2))</f>
      </c>
      <c r="O423" s="0">
        <f>IF(B423="","",COUNTIFS('PEGAR'!$O$13:$O$512,B423,'PEGAR'!$P$13:$P$512,"SIN LÍNEAS"))</f>
      </c>
      <c r="P423" s="0">
        <f>IF(B423="","",SUMIFS('PEGAR'!$Y$13:$Y$512,'PEGAR'!$O$13:$O$512,B423))</f>
      </c>
      <c r="Q423" s="0">
        <f>IF(B423="","",SUMIFS('PEGAR'!$Z$13:$Z$512,'PEGAR'!$O$13:$O$512,B423))</f>
      </c>
      <c r="R423" s="0" t="n">
        <f>IF(OR(B423="",D423=""),0,SUMPRODUCT(--($B$13:$B$512&lt;&gt;""),--($D$13:$D$512=D423),--($C$13:$C$512=C423))-1)</f>
        <v>0</v>
      </c>
      <c r="S423" s="0" t="n">
        <f>IF(OR(B423="",D423=""),0,SUMPRODUCT(--($B$13:$B$512&lt;&gt;""),--($D$13:$D$512=D423),--($C$13:$C$512&lt;&gt;C423)))</f>
        <v>0</v>
      </c>
      <c r="T423" s="0" t="n">
        <f>IF(OR(B423="",D423=""),0,SUMPRODUCT(--($B$13:$B$512&lt;&gt;""),--($D$13:$D$512=D423),--($E$13:$E$512&lt;&gt;E423)))</f>
        <v>0</v>
      </c>
      <c r="U423" s="0" t="n">
        <f>IF(B423="",0,IF(SUMPRODUCT(--('LÉEME'!$C$65:$C$86=E423))=0,1,0))</f>
        <v>0</v>
      </c>
      <c r="V423" s="0">
        <f>IF(B423="","",SUMIFS('PEGAR'!$AA$13:$AA$512,'PEGAR'!$O$13:$O$512,B423))</f>
      </c>
      <c r="W423" s="0">
        <f>IF(B423="","",IF(OR(L423=0,N423&gt;0,T423&gt;0,IF(ISNUMBER(H423),ROUND(ABS(H423),8)&gt;$F$6,FALSE)),2,IF(OR(M423=0,O423&gt;0,P423&gt;0,Q423&gt;0,R423&gt;0,S423&gt;0,U423&gt;0,V423&gt;0),1,0)))</f>
      </c>
      <c r="X423" s="0">
        <f>IF(B423="","",IF(ISNUMBER(G423),1,0))</f>
      </c>
      <c r="AB423" s="0">
        <f>IF(AND(ISNUMBER(W423),W423&gt;0),"ID "&amp;B423,"")</f>
      </c>
      <c r="AC423" s="0">
        <f>IF(AND(ISNUMBER(W423),W423&gt;0),C423,"")</f>
      </c>
      <c r="AD423" s="0">
        <f>IF(AND(ISNUMBER(W423),W423&gt;0),D423,"")</f>
      </c>
      <c r="AE423" s="0">
        <f>IF(AND(ISNUMBER(W423),W423&gt;0),IF(INDEX('PEGAR'!$D$13:$D$512,IF(L423&gt;0,L423,K423))="","Sin descripción",INDEX('PEGAR'!$D$13:$D$512,IF(L423&gt;0,L423,K423))),"")</f>
      </c>
      <c r="AF423" s="0">
        <f>IF(AND(ISNUMBER(W423),W423&gt;0),J423,"")</f>
      </c>
      <c r="AG423" s="0" t="n">
        <f>IF(AND(ISNUMBER(W423),W423&gt;0),W423,0)</f>
        <v>0</v>
      </c>
      <c r="AH423" s="0">
        <f>IF(AG423&gt;0,COUNTIFS($AG$13:AG423,"&gt;0"),"")</f>
      </c>
    </row>
    <row r="424" ht="22" customHeight="1">
      <c r="B424" s="27">
        <f>IF(K424="","",INDEX('PEGAR'!$O$13:$O$512,K424))</f>
      </c>
      <c r="C424" s="30">
        <f>IF(B424="","",IF(LEN(TRIM(INDEX('PEGAR'!$B$13:$B$512,IF(L424&gt;0,L424,K424))&amp;""))=0,"Sin capítulo",TRIM(INDEX('PEGAR'!$B$13:$B$512,IF(L424&gt;0,L424,K424))&amp;"")))</f>
      </c>
      <c r="D424" s="27">
        <f>IF(B424="","",IF(LEN(TRIM(INDEX('PEGAR'!$C$13:$C$512,IF(L424&gt;0,L424,K424))&amp;""))=0,"",TRIM(INDEX('PEGAR'!$C$13:$C$512,IF(L424&gt;0,L424,K424))&amp;"")))</f>
      </c>
      <c r="E424" s="27">
        <f>IF(B424="","",INDEX('PEGAR'!$S$13:$S$512,IF(L424&gt;0,L424,K424)))</f>
      </c>
      <c r="F424" s="39">
        <f>IF(B424="","",IF(L424&gt;0,INDEX('PEGAR'!$F$13:$F$512,L424),""))</f>
      </c>
      <c r="G424" s="39">
        <f>IF(B424="","",IF(OR(M424=0,N424&gt;0,O424&gt;0),"",SUMIFS('PEGAR'!$M$13:$M$512,'PEGAR'!$O$13:$O$512,B424)))</f>
      </c>
      <c r="H424" s="39">
        <f>IF(AND(ISNUMBER(F424),ISNUMBER(G424)),G424-F424,"")</f>
      </c>
      <c r="I424" s="27">
        <f>IF(B424="","",IF(W424=2,"ROJO",IF(W424=1,"ÁMBAR","VERDE")))</f>
      </c>
      <c r="J424" s="30">
        <f>IF(B424="","",IF(W424=0,"Sin avisos numéricos. Revisamos el alcance aparte.",IF(L424=0,"Faltan datos completos de partida; no elegimos un total por suposición."&amp;CHAR(10),"")&amp;IF(N424&gt;0,"Hay filas incompletas o contradictorias; las revisamos en PEGAR."&amp;CHAR(10),"")&amp;IF(O424&gt;0,"Faltan las medidas de alguna fila; no cerramos la suma."&amp;CHAR(10),"")&amp;IF(M424=0,"No constan líneas de medición."&amp;CHAR(10),"")&amp;IF(IF(ISNUMBER(H424),ROUND(ABS(H424),8)&gt;$F$6,FALSE),"Las líneas difieren del total en más de 0,01; confirmamos cantidad o exclusión."&amp;CHAR(10),"")&amp;IF(P424&gt;0,"Parece m³: encontramos tres dimensiones bajo m²."&amp;CHAR(10),"")&amp;IF(R424&gt;0,"Código repetido dentro del capítulo; mantenemos sus ID separados."&amp;CHAR(10),"")&amp;IF(S424&gt;0,"Código repetido en otro capítulo; no unimos las partidas."&amp;CHAR(10),"")&amp;IF(T424&gt;0,"Mismo código con unidades distintas; pedimos aclaración."&amp;CHAR(10),"")&amp;IF(Q424&gt;0,"Hay más precisión que los decimales indicados; cotejamos el formato original."&amp;CHAR(10),"")&amp;IF(U424&gt;0,"Unidad sin normalizar; cotejamos su significado antes de sumar unidades."&amp;CHAR(10),"")&amp;IF(V424&gt;0,"Revisamos dimensiones, cantidades directas, ceros o deducciones en PEGAR."&amp;CHAR(10),"")))</f>
      </c>
      <c r="K424" s="0">
        <f>IF(412&gt;'RESUMEN'!$E$6,"",MATCH(412,'PEGAR'!$W$13:$W$512,0))</f>
      </c>
      <c r="L424" s="0">
        <f>IF(K424="","",INDEX('PEGAR'!$R$13:$R$512,K424))</f>
      </c>
      <c r="M424" s="0">
        <f>IF(B424="","",COUNTIFS('PEGAR'!$O$13:$O$512,B424,'PEGAR'!$P$13:$P$512,"DIMENSIONES")+COUNTIFS('PEGAR'!$O$13:$O$512,B424,'PEGAR'!$P$13:$P$512,"DIRECTA"))</f>
      </c>
      <c r="N424" s="0">
        <f>IF(B424="","",COUNTIFS('PEGAR'!$O$13:$O$512,B424,'PEGAR'!$X$13:$X$512,2))</f>
      </c>
      <c r="O424" s="0">
        <f>IF(B424="","",COUNTIFS('PEGAR'!$O$13:$O$512,B424,'PEGAR'!$P$13:$P$512,"SIN LÍNEAS"))</f>
      </c>
      <c r="P424" s="0">
        <f>IF(B424="","",SUMIFS('PEGAR'!$Y$13:$Y$512,'PEGAR'!$O$13:$O$512,B424))</f>
      </c>
      <c r="Q424" s="0">
        <f>IF(B424="","",SUMIFS('PEGAR'!$Z$13:$Z$512,'PEGAR'!$O$13:$O$512,B424))</f>
      </c>
      <c r="R424" s="0" t="n">
        <f>IF(OR(B424="",D424=""),0,SUMPRODUCT(--($B$13:$B$512&lt;&gt;""),--($D$13:$D$512=D424),--($C$13:$C$512=C424))-1)</f>
        <v>0</v>
      </c>
      <c r="S424" s="0" t="n">
        <f>IF(OR(B424="",D424=""),0,SUMPRODUCT(--($B$13:$B$512&lt;&gt;""),--($D$13:$D$512=D424),--($C$13:$C$512&lt;&gt;C424)))</f>
        <v>0</v>
      </c>
      <c r="T424" s="0" t="n">
        <f>IF(OR(B424="",D424=""),0,SUMPRODUCT(--($B$13:$B$512&lt;&gt;""),--($D$13:$D$512=D424),--($E$13:$E$512&lt;&gt;E424)))</f>
        <v>0</v>
      </c>
      <c r="U424" s="0" t="n">
        <f>IF(B424="",0,IF(SUMPRODUCT(--('LÉEME'!$C$65:$C$86=E424))=0,1,0))</f>
        <v>0</v>
      </c>
      <c r="V424" s="0">
        <f>IF(B424="","",SUMIFS('PEGAR'!$AA$13:$AA$512,'PEGAR'!$O$13:$O$512,B424))</f>
      </c>
      <c r="W424" s="0">
        <f>IF(B424="","",IF(OR(L424=0,N424&gt;0,T424&gt;0,IF(ISNUMBER(H424),ROUND(ABS(H424),8)&gt;$F$6,FALSE)),2,IF(OR(M424=0,O424&gt;0,P424&gt;0,Q424&gt;0,R424&gt;0,S424&gt;0,U424&gt;0,V424&gt;0),1,0)))</f>
      </c>
      <c r="X424" s="0">
        <f>IF(B424="","",IF(ISNUMBER(G424),1,0))</f>
      </c>
      <c r="AB424" s="0">
        <f>IF(AND(ISNUMBER(W424),W424&gt;0),"ID "&amp;B424,"")</f>
      </c>
      <c r="AC424" s="0">
        <f>IF(AND(ISNUMBER(W424),W424&gt;0),C424,"")</f>
      </c>
      <c r="AD424" s="0">
        <f>IF(AND(ISNUMBER(W424),W424&gt;0),D424,"")</f>
      </c>
      <c r="AE424" s="0">
        <f>IF(AND(ISNUMBER(W424),W424&gt;0),IF(INDEX('PEGAR'!$D$13:$D$512,IF(L424&gt;0,L424,K424))="","Sin descripción",INDEX('PEGAR'!$D$13:$D$512,IF(L424&gt;0,L424,K424))),"")</f>
      </c>
      <c r="AF424" s="0">
        <f>IF(AND(ISNUMBER(W424),W424&gt;0),J424,"")</f>
      </c>
      <c r="AG424" s="0" t="n">
        <f>IF(AND(ISNUMBER(W424),W424&gt;0),W424,0)</f>
        <v>0</v>
      </c>
      <c r="AH424" s="0">
        <f>IF(AG424&gt;0,COUNTIFS($AG$13:AG424,"&gt;0"),"")</f>
      </c>
    </row>
    <row r="425" ht="22" customHeight="1">
      <c r="B425" s="27">
        <f>IF(K425="","",INDEX('PEGAR'!$O$13:$O$512,K425))</f>
      </c>
      <c r="C425" s="30">
        <f>IF(B425="","",IF(LEN(TRIM(INDEX('PEGAR'!$B$13:$B$512,IF(L425&gt;0,L425,K425))&amp;""))=0,"Sin capítulo",TRIM(INDEX('PEGAR'!$B$13:$B$512,IF(L425&gt;0,L425,K425))&amp;"")))</f>
      </c>
      <c r="D425" s="27">
        <f>IF(B425="","",IF(LEN(TRIM(INDEX('PEGAR'!$C$13:$C$512,IF(L425&gt;0,L425,K425))&amp;""))=0,"",TRIM(INDEX('PEGAR'!$C$13:$C$512,IF(L425&gt;0,L425,K425))&amp;"")))</f>
      </c>
      <c r="E425" s="27">
        <f>IF(B425="","",INDEX('PEGAR'!$S$13:$S$512,IF(L425&gt;0,L425,K425)))</f>
      </c>
      <c r="F425" s="39">
        <f>IF(B425="","",IF(L425&gt;0,INDEX('PEGAR'!$F$13:$F$512,L425),""))</f>
      </c>
      <c r="G425" s="39">
        <f>IF(B425="","",IF(OR(M425=0,N425&gt;0,O425&gt;0),"",SUMIFS('PEGAR'!$M$13:$M$512,'PEGAR'!$O$13:$O$512,B425)))</f>
      </c>
      <c r="H425" s="39">
        <f>IF(AND(ISNUMBER(F425),ISNUMBER(G425)),G425-F425,"")</f>
      </c>
      <c r="I425" s="27">
        <f>IF(B425="","",IF(W425=2,"ROJO",IF(W425=1,"ÁMBAR","VERDE")))</f>
      </c>
      <c r="J425" s="30">
        <f>IF(B425="","",IF(W425=0,"Sin avisos numéricos. Revisamos el alcance aparte.",IF(L425=0,"Faltan datos completos de partida; no elegimos un total por suposición."&amp;CHAR(10),"")&amp;IF(N425&gt;0,"Hay filas incompletas o contradictorias; las revisamos en PEGAR."&amp;CHAR(10),"")&amp;IF(O425&gt;0,"Faltan las medidas de alguna fila; no cerramos la suma."&amp;CHAR(10),"")&amp;IF(M425=0,"No constan líneas de medición."&amp;CHAR(10),"")&amp;IF(IF(ISNUMBER(H425),ROUND(ABS(H425),8)&gt;$F$6,FALSE),"Las líneas difieren del total en más de 0,01; confirmamos cantidad o exclusión."&amp;CHAR(10),"")&amp;IF(P425&gt;0,"Parece m³: encontramos tres dimensiones bajo m²."&amp;CHAR(10),"")&amp;IF(R425&gt;0,"Código repetido dentro del capítulo; mantenemos sus ID separados."&amp;CHAR(10),"")&amp;IF(S425&gt;0,"Código repetido en otro capítulo; no unimos las partidas."&amp;CHAR(10),"")&amp;IF(T425&gt;0,"Mismo código con unidades distintas; pedimos aclaración."&amp;CHAR(10),"")&amp;IF(Q425&gt;0,"Hay más precisión que los decimales indicados; cotejamos el formato original."&amp;CHAR(10),"")&amp;IF(U425&gt;0,"Unidad sin normalizar; cotejamos su significado antes de sumar unidades."&amp;CHAR(10),"")&amp;IF(V425&gt;0,"Revisamos dimensiones, cantidades directas, ceros o deducciones en PEGAR."&amp;CHAR(10),"")))</f>
      </c>
      <c r="K425" s="0">
        <f>IF(413&gt;'RESUMEN'!$E$6,"",MATCH(413,'PEGAR'!$W$13:$W$512,0))</f>
      </c>
      <c r="L425" s="0">
        <f>IF(K425="","",INDEX('PEGAR'!$R$13:$R$512,K425))</f>
      </c>
      <c r="M425" s="0">
        <f>IF(B425="","",COUNTIFS('PEGAR'!$O$13:$O$512,B425,'PEGAR'!$P$13:$P$512,"DIMENSIONES")+COUNTIFS('PEGAR'!$O$13:$O$512,B425,'PEGAR'!$P$13:$P$512,"DIRECTA"))</f>
      </c>
      <c r="N425" s="0">
        <f>IF(B425="","",COUNTIFS('PEGAR'!$O$13:$O$512,B425,'PEGAR'!$X$13:$X$512,2))</f>
      </c>
      <c r="O425" s="0">
        <f>IF(B425="","",COUNTIFS('PEGAR'!$O$13:$O$512,B425,'PEGAR'!$P$13:$P$512,"SIN LÍNEAS"))</f>
      </c>
      <c r="P425" s="0">
        <f>IF(B425="","",SUMIFS('PEGAR'!$Y$13:$Y$512,'PEGAR'!$O$13:$O$512,B425))</f>
      </c>
      <c r="Q425" s="0">
        <f>IF(B425="","",SUMIFS('PEGAR'!$Z$13:$Z$512,'PEGAR'!$O$13:$O$512,B425))</f>
      </c>
      <c r="R425" s="0" t="n">
        <f>IF(OR(B425="",D425=""),0,SUMPRODUCT(--($B$13:$B$512&lt;&gt;""),--($D$13:$D$512=D425),--($C$13:$C$512=C425))-1)</f>
        <v>0</v>
      </c>
      <c r="S425" s="0" t="n">
        <f>IF(OR(B425="",D425=""),0,SUMPRODUCT(--($B$13:$B$512&lt;&gt;""),--($D$13:$D$512=D425),--($C$13:$C$512&lt;&gt;C425)))</f>
        <v>0</v>
      </c>
      <c r="T425" s="0" t="n">
        <f>IF(OR(B425="",D425=""),0,SUMPRODUCT(--($B$13:$B$512&lt;&gt;""),--($D$13:$D$512=D425),--($E$13:$E$512&lt;&gt;E425)))</f>
        <v>0</v>
      </c>
      <c r="U425" s="0" t="n">
        <f>IF(B425="",0,IF(SUMPRODUCT(--('LÉEME'!$C$65:$C$86=E425))=0,1,0))</f>
        <v>0</v>
      </c>
      <c r="V425" s="0">
        <f>IF(B425="","",SUMIFS('PEGAR'!$AA$13:$AA$512,'PEGAR'!$O$13:$O$512,B425))</f>
      </c>
      <c r="W425" s="0">
        <f>IF(B425="","",IF(OR(L425=0,N425&gt;0,T425&gt;0,IF(ISNUMBER(H425),ROUND(ABS(H425),8)&gt;$F$6,FALSE)),2,IF(OR(M425=0,O425&gt;0,P425&gt;0,Q425&gt;0,R425&gt;0,S425&gt;0,U425&gt;0,V425&gt;0),1,0)))</f>
      </c>
      <c r="X425" s="0">
        <f>IF(B425="","",IF(ISNUMBER(G425),1,0))</f>
      </c>
      <c r="AB425" s="0">
        <f>IF(AND(ISNUMBER(W425),W425&gt;0),"ID "&amp;B425,"")</f>
      </c>
      <c r="AC425" s="0">
        <f>IF(AND(ISNUMBER(W425),W425&gt;0),C425,"")</f>
      </c>
      <c r="AD425" s="0">
        <f>IF(AND(ISNUMBER(W425),W425&gt;0),D425,"")</f>
      </c>
      <c r="AE425" s="0">
        <f>IF(AND(ISNUMBER(W425),W425&gt;0),IF(INDEX('PEGAR'!$D$13:$D$512,IF(L425&gt;0,L425,K425))="","Sin descripción",INDEX('PEGAR'!$D$13:$D$512,IF(L425&gt;0,L425,K425))),"")</f>
      </c>
      <c r="AF425" s="0">
        <f>IF(AND(ISNUMBER(W425),W425&gt;0),J425,"")</f>
      </c>
      <c r="AG425" s="0" t="n">
        <f>IF(AND(ISNUMBER(W425),W425&gt;0),W425,0)</f>
        <v>0</v>
      </c>
      <c r="AH425" s="0">
        <f>IF(AG425&gt;0,COUNTIFS($AG$13:AG425,"&gt;0"),"")</f>
      </c>
    </row>
    <row r="426" ht="22" customHeight="1">
      <c r="B426" s="27">
        <f>IF(K426="","",INDEX('PEGAR'!$O$13:$O$512,K426))</f>
      </c>
      <c r="C426" s="30">
        <f>IF(B426="","",IF(LEN(TRIM(INDEX('PEGAR'!$B$13:$B$512,IF(L426&gt;0,L426,K426))&amp;""))=0,"Sin capítulo",TRIM(INDEX('PEGAR'!$B$13:$B$512,IF(L426&gt;0,L426,K426))&amp;"")))</f>
      </c>
      <c r="D426" s="27">
        <f>IF(B426="","",IF(LEN(TRIM(INDEX('PEGAR'!$C$13:$C$512,IF(L426&gt;0,L426,K426))&amp;""))=0,"",TRIM(INDEX('PEGAR'!$C$13:$C$512,IF(L426&gt;0,L426,K426))&amp;"")))</f>
      </c>
      <c r="E426" s="27">
        <f>IF(B426="","",INDEX('PEGAR'!$S$13:$S$512,IF(L426&gt;0,L426,K426)))</f>
      </c>
      <c r="F426" s="39">
        <f>IF(B426="","",IF(L426&gt;0,INDEX('PEGAR'!$F$13:$F$512,L426),""))</f>
      </c>
      <c r="G426" s="39">
        <f>IF(B426="","",IF(OR(M426=0,N426&gt;0,O426&gt;0),"",SUMIFS('PEGAR'!$M$13:$M$512,'PEGAR'!$O$13:$O$512,B426)))</f>
      </c>
      <c r="H426" s="39">
        <f>IF(AND(ISNUMBER(F426),ISNUMBER(G426)),G426-F426,"")</f>
      </c>
      <c r="I426" s="27">
        <f>IF(B426="","",IF(W426=2,"ROJO",IF(W426=1,"ÁMBAR","VERDE")))</f>
      </c>
      <c r="J426" s="30">
        <f>IF(B426="","",IF(W426=0,"Sin avisos numéricos. Revisamos el alcance aparte.",IF(L426=0,"Faltan datos completos de partida; no elegimos un total por suposición."&amp;CHAR(10),"")&amp;IF(N426&gt;0,"Hay filas incompletas o contradictorias; las revisamos en PEGAR."&amp;CHAR(10),"")&amp;IF(O426&gt;0,"Faltan las medidas de alguna fila; no cerramos la suma."&amp;CHAR(10),"")&amp;IF(M426=0,"No constan líneas de medición."&amp;CHAR(10),"")&amp;IF(IF(ISNUMBER(H426),ROUND(ABS(H426),8)&gt;$F$6,FALSE),"Las líneas difieren del total en más de 0,01; confirmamos cantidad o exclusión."&amp;CHAR(10),"")&amp;IF(P426&gt;0,"Parece m³: encontramos tres dimensiones bajo m²."&amp;CHAR(10),"")&amp;IF(R426&gt;0,"Código repetido dentro del capítulo; mantenemos sus ID separados."&amp;CHAR(10),"")&amp;IF(S426&gt;0,"Código repetido en otro capítulo; no unimos las partidas."&amp;CHAR(10),"")&amp;IF(T426&gt;0,"Mismo código con unidades distintas; pedimos aclaración."&amp;CHAR(10),"")&amp;IF(Q426&gt;0,"Hay más precisión que los decimales indicados; cotejamos el formato original."&amp;CHAR(10),"")&amp;IF(U426&gt;0,"Unidad sin normalizar; cotejamos su significado antes de sumar unidades."&amp;CHAR(10),"")&amp;IF(V426&gt;0,"Revisamos dimensiones, cantidades directas, ceros o deducciones en PEGAR."&amp;CHAR(10),"")))</f>
      </c>
      <c r="K426" s="0">
        <f>IF(414&gt;'RESUMEN'!$E$6,"",MATCH(414,'PEGAR'!$W$13:$W$512,0))</f>
      </c>
      <c r="L426" s="0">
        <f>IF(K426="","",INDEX('PEGAR'!$R$13:$R$512,K426))</f>
      </c>
      <c r="M426" s="0">
        <f>IF(B426="","",COUNTIFS('PEGAR'!$O$13:$O$512,B426,'PEGAR'!$P$13:$P$512,"DIMENSIONES")+COUNTIFS('PEGAR'!$O$13:$O$512,B426,'PEGAR'!$P$13:$P$512,"DIRECTA"))</f>
      </c>
      <c r="N426" s="0">
        <f>IF(B426="","",COUNTIFS('PEGAR'!$O$13:$O$512,B426,'PEGAR'!$X$13:$X$512,2))</f>
      </c>
      <c r="O426" s="0">
        <f>IF(B426="","",COUNTIFS('PEGAR'!$O$13:$O$512,B426,'PEGAR'!$P$13:$P$512,"SIN LÍNEAS"))</f>
      </c>
      <c r="P426" s="0">
        <f>IF(B426="","",SUMIFS('PEGAR'!$Y$13:$Y$512,'PEGAR'!$O$13:$O$512,B426))</f>
      </c>
      <c r="Q426" s="0">
        <f>IF(B426="","",SUMIFS('PEGAR'!$Z$13:$Z$512,'PEGAR'!$O$13:$O$512,B426))</f>
      </c>
      <c r="R426" s="0" t="n">
        <f>IF(OR(B426="",D426=""),0,SUMPRODUCT(--($B$13:$B$512&lt;&gt;""),--($D$13:$D$512=D426),--($C$13:$C$512=C426))-1)</f>
        <v>0</v>
      </c>
      <c r="S426" s="0" t="n">
        <f>IF(OR(B426="",D426=""),0,SUMPRODUCT(--($B$13:$B$512&lt;&gt;""),--($D$13:$D$512=D426),--($C$13:$C$512&lt;&gt;C426)))</f>
        <v>0</v>
      </c>
      <c r="T426" s="0" t="n">
        <f>IF(OR(B426="",D426=""),0,SUMPRODUCT(--($B$13:$B$512&lt;&gt;""),--($D$13:$D$512=D426),--($E$13:$E$512&lt;&gt;E426)))</f>
        <v>0</v>
      </c>
      <c r="U426" s="0" t="n">
        <f>IF(B426="",0,IF(SUMPRODUCT(--('LÉEME'!$C$65:$C$86=E426))=0,1,0))</f>
        <v>0</v>
      </c>
      <c r="V426" s="0">
        <f>IF(B426="","",SUMIFS('PEGAR'!$AA$13:$AA$512,'PEGAR'!$O$13:$O$512,B426))</f>
      </c>
      <c r="W426" s="0">
        <f>IF(B426="","",IF(OR(L426=0,N426&gt;0,T426&gt;0,IF(ISNUMBER(H426),ROUND(ABS(H426),8)&gt;$F$6,FALSE)),2,IF(OR(M426=0,O426&gt;0,P426&gt;0,Q426&gt;0,R426&gt;0,S426&gt;0,U426&gt;0,V426&gt;0),1,0)))</f>
      </c>
      <c r="X426" s="0">
        <f>IF(B426="","",IF(ISNUMBER(G426),1,0))</f>
      </c>
      <c r="AB426" s="0">
        <f>IF(AND(ISNUMBER(W426),W426&gt;0),"ID "&amp;B426,"")</f>
      </c>
      <c r="AC426" s="0">
        <f>IF(AND(ISNUMBER(W426),W426&gt;0),C426,"")</f>
      </c>
      <c r="AD426" s="0">
        <f>IF(AND(ISNUMBER(W426),W426&gt;0),D426,"")</f>
      </c>
      <c r="AE426" s="0">
        <f>IF(AND(ISNUMBER(W426),W426&gt;0),IF(INDEX('PEGAR'!$D$13:$D$512,IF(L426&gt;0,L426,K426))="","Sin descripción",INDEX('PEGAR'!$D$13:$D$512,IF(L426&gt;0,L426,K426))),"")</f>
      </c>
      <c r="AF426" s="0">
        <f>IF(AND(ISNUMBER(W426),W426&gt;0),J426,"")</f>
      </c>
      <c r="AG426" s="0" t="n">
        <f>IF(AND(ISNUMBER(W426),W426&gt;0),W426,0)</f>
        <v>0</v>
      </c>
      <c r="AH426" s="0">
        <f>IF(AG426&gt;0,COUNTIFS($AG$13:AG426,"&gt;0"),"")</f>
      </c>
    </row>
    <row r="427" ht="22" customHeight="1">
      <c r="B427" s="27">
        <f>IF(K427="","",INDEX('PEGAR'!$O$13:$O$512,K427))</f>
      </c>
      <c r="C427" s="30">
        <f>IF(B427="","",IF(LEN(TRIM(INDEX('PEGAR'!$B$13:$B$512,IF(L427&gt;0,L427,K427))&amp;""))=0,"Sin capítulo",TRIM(INDEX('PEGAR'!$B$13:$B$512,IF(L427&gt;0,L427,K427))&amp;"")))</f>
      </c>
      <c r="D427" s="27">
        <f>IF(B427="","",IF(LEN(TRIM(INDEX('PEGAR'!$C$13:$C$512,IF(L427&gt;0,L427,K427))&amp;""))=0,"",TRIM(INDEX('PEGAR'!$C$13:$C$512,IF(L427&gt;0,L427,K427))&amp;"")))</f>
      </c>
      <c r="E427" s="27">
        <f>IF(B427="","",INDEX('PEGAR'!$S$13:$S$512,IF(L427&gt;0,L427,K427)))</f>
      </c>
      <c r="F427" s="39">
        <f>IF(B427="","",IF(L427&gt;0,INDEX('PEGAR'!$F$13:$F$512,L427),""))</f>
      </c>
      <c r="G427" s="39">
        <f>IF(B427="","",IF(OR(M427=0,N427&gt;0,O427&gt;0),"",SUMIFS('PEGAR'!$M$13:$M$512,'PEGAR'!$O$13:$O$512,B427)))</f>
      </c>
      <c r="H427" s="39">
        <f>IF(AND(ISNUMBER(F427),ISNUMBER(G427)),G427-F427,"")</f>
      </c>
      <c r="I427" s="27">
        <f>IF(B427="","",IF(W427=2,"ROJO",IF(W427=1,"ÁMBAR","VERDE")))</f>
      </c>
      <c r="J427" s="30">
        <f>IF(B427="","",IF(W427=0,"Sin avisos numéricos. Revisamos el alcance aparte.",IF(L427=0,"Faltan datos completos de partida; no elegimos un total por suposición."&amp;CHAR(10),"")&amp;IF(N427&gt;0,"Hay filas incompletas o contradictorias; las revisamos en PEGAR."&amp;CHAR(10),"")&amp;IF(O427&gt;0,"Faltan las medidas de alguna fila; no cerramos la suma."&amp;CHAR(10),"")&amp;IF(M427=0,"No constan líneas de medición."&amp;CHAR(10),"")&amp;IF(IF(ISNUMBER(H427),ROUND(ABS(H427),8)&gt;$F$6,FALSE),"Las líneas difieren del total en más de 0,01; confirmamos cantidad o exclusión."&amp;CHAR(10),"")&amp;IF(P427&gt;0,"Parece m³: encontramos tres dimensiones bajo m²."&amp;CHAR(10),"")&amp;IF(R427&gt;0,"Código repetido dentro del capítulo; mantenemos sus ID separados."&amp;CHAR(10),"")&amp;IF(S427&gt;0,"Código repetido en otro capítulo; no unimos las partidas."&amp;CHAR(10),"")&amp;IF(T427&gt;0,"Mismo código con unidades distintas; pedimos aclaración."&amp;CHAR(10),"")&amp;IF(Q427&gt;0,"Hay más precisión que los decimales indicados; cotejamos el formato original."&amp;CHAR(10),"")&amp;IF(U427&gt;0,"Unidad sin normalizar; cotejamos su significado antes de sumar unidades."&amp;CHAR(10),"")&amp;IF(V427&gt;0,"Revisamos dimensiones, cantidades directas, ceros o deducciones en PEGAR."&amp;CHAR(10),"")))</f>
      </c>
      <c r="K427" s="0">
        <f>IF(415&gt;'RESUMEN'!$E$6,"",MATCH(415,'PEGAR'!$W$13:$W$512,0))</f>
      </c>
      <c r="L427" s="0">
        <f>IF(K427="","",INDEX('PEGAR'!$R$13:$R$512,K427))</f>
      </c>
      <c r="M427" s="0">
        <f>IF(B427="","",COUNTIFS('PEGAR'!$O$13:$O$512,B427,'PEGAR'!$P$13:$P$512,"DIMENSIONES")+COUNTIFS('PEGAR'!$O$13:$O$512,B427,'PEGAR'!$P$13:$P$512,"DIRECTA"))</f>
      </c>
      <c r="N427" s="0">
        <f>IF(B427="","",COUNTIFS('PEGAR'!$O$13:$O$512,B427,'PEGAR'!$X$13:$X$512,2))</f>
      </c>
      <c r="O427" s="0">
        <f>IF(B427="","",COUNTIFS('PEGAR'!$O$13:$O$512,B427,'PEGAR'!$P$13:$P$512,"SIN LÍNEAS"))</f>
      </c>
      <c r="P427" s="0">
        <f>IF(B427="","",SUMIFS('PEGAR'!$Y$13:$Y$512,'PEGAR'!$O$13:$O$512,B427))</f>
      </c>
      <c r="Q427" s="0">
        <f>IF(B427="","",SUMIFS('PEGAR'!$Z$13:$Z$512,'PEGAR'!$O$13:$O$512,B427))</f>
      </c>
      <c r="R427" s="0" t="n">
        <f>IF(OR(B427="",D427=""),0,SUMPRODUCT(--($B$13:$B$512&lt;&gt;""),--($D$13:$D$512=D427),--($C$13:$C$512=C427))-1)</f>
        <v>0</v>
      </c>
      <c r="S427" s="0" t="n">
        <f>IF(OR(B427="",D427=""),0,SUMPRODUCT(--($B$13:$B$512&lt;&gt;""),--($D$13:$D$512=D427),--($C$13:$C$512&lt;&gt;C427)))</f>
        <v>0</v>
      </c>
      <c r="T427" s="0" t="n">
        <f>IF(OR(B427="",D427=""),0,SUMPRODUCT(--($B$13:$B$512&lt;&gt;""),--($D$13:$D$512=D427),--($E$13:$E$512&lt;&gt;E427)))</f>
        <v>0</v>
      </c>
      <c r="U427" s="0" t="n">
        <f>IF(B427="",0,IF(SUMPRODUCT(--('LÉEME'!$C$65:$C$86=E427))=0,1,0))</f>
        <v>0</v>
      </c>
      <c r="V427" s="0">
        <f>IF(B427="","",SUMIFS('PEGAR'!$AA$13:$AA$512,'PEGAR'!$O$13:$O$512,B427))</f>
      </c>
      <c r="W427" s="0">
        <f>IF(B427="","",IF(OR(L427=0,N427&gt;0,T427&gt;0,IF(ISNUMBER(H427),ROUND(ABS(H427),8)&gt;$F$6,FALSE)),2,IF(OR(M427=0,O427&gt;0,P427&gt;0,Q427&gt;0,R427&gt;0,S427&gt;0,U427&gt;0,V427&gt;0),1,0)))</f>
      </c>
      <c r="X427" s="0">
        <f>IF(B427="","",IF(ISNUMBER(G427),1,0))</f>
      </c>
      <c r="AB427" s="0">
        <f>IF(AND(ISNUMBER(W427),W427&gt;0),"ID "&amp;B427,"")</f>
      </c>
      <c r="AC427" s="0">
        <f>IF(AND(ISNUMBER(W427),W427&gt;0),C427,"")</f>
      </c>
      <c r="AD427" s="0">
        <f>IF(AND(ISNUMBER(W427),W427&gt;0),D427,"")</f>
      </c>
      <c r="AE427" s="0">
        <f>IF(AND(ISNUMBER(W427),W427&gt;0),IF(INDEX('PEGAR'!$D$13:$D$512,IF(L427&gt;0,L427,K427))="","Sin descripción",INDEX('PEGAR'!$D$13:$D$512,IF(L427&gt;0,L427,K427))),"")</f>
      </c>
      <c r="AF427" s="0">
        <f>IF(AND(ISNUMBER(W427),W427&gt;0),J427,"")</f>
      </c>
      <c r="AG427" s="0" t="n">
        <f>IF(AND(ISNUMBER(W427),W427&gt;0),W427,0)</f>
        <v>0</v>
      </c>
      <c r="AH427" s="0">
        <f>IF(AG427&gt;0,COUNTIFS($AG$13:AG427,"&gt;0"),"")</f>
      </c>
    </row>
    <row r="428" ht="22" customHeight="1">
      <c r="B428" s="27">
        <f>IF(K428="","",INDEX('PEGAR'!$O$13:$O$512,K428))</f>
      </c>
      <c r="C428" s="30">
        <f>IF(B428="","",IF(LEN(TRIM(INDEX('PEGAR'!$B$13:$B$512,IF(L428&gt;0,L428,K428))&amp;""))=0,"Sin capítulo",TRIM(INDEX('PEGAR'!$B$13:$B$512,IF(L428&gt;0,L428,K428))&amp;"")))</f>
      </c>
      <c r="D428" s="27">
        <f>IF(B428="","",IF(LEN(TRIM(INDEX('PEGAR'!$C$13:$C$512,IF(L428&gt;0,L428,K428))&amp;""))=0,"",TRIM(INDEX('PEGAR'!$C$13:$C$512,IF(L428&gt;0,L428,K428))&amp;"")))</f>
      </c>
      <c r="E428" s="27">
        <f>IF(B428="","",INDEX('PEGAR'!$S$13:$S$512,IF(L428&gt;0,L428,K428)))</f>
      </c>
      <c r="F428" s="39">
        <f>IF(B428="","",IF(L428&gt;0,INDEX('PEGAR'!$F$13:$F$512,L428),""))</f>
      </c>
      <c r="G428" s="39">
        <f>IF(B428="","",IF(OR(M428=0,N428&gt;0,O428&gt;0),"",SUMIFS('PEGAR'!$M$13:$M$512,'PEGAR'!$O$13:$O$512,B428)))</f>
      </c>
      <c r="H428" s="39">
        <f>IF(AND(ISNUMBER(F428),ISNUMBER(G428)),G428-F428,"")</f>
      </c>
      <c r="I428" s="27">
        <f>IF(B428="","",IF(W428=2,"ROJO",IF(W428=1,"ÁMBAR","VERDE")))</f>
      </c>
      <c r="J428" s="30">
        <f>IF(B428="","",IF(W428=0,"Sin avisos numéricos. Revisamos el alcance aparte.",IF(L428=0,"Faltan datos completos de partida; no elegimos un total por suposición."&amp;CHAR(10),"")&amp;IF(N428&gt;0,"Hay filas incompletas o contradictorias; las revisamos en PEGAR."&amp;CHAR(10),"")&amp;IF(O428&gt;0,"Faltan las medidas de alguna fila; no cerramos la suma."&amp;CHAR(10),"")&amp;IF(M428=0,"No constan líneas de medición."&amp;CHAR(10),"")&amp;IF(IF(ISNUMBER(H428),ROUND(ABS(H428),8)&gt;$F$6,FALSE),"Las líneas difieren del total en más de 0,01; confirmamos cantidad o exclusión."&amp;CHAR(10),"")&amp;IF(P428&gt;0,"Parece m³: encontramos tres dimensiones bajo m²."&amp;CHAR(10),"")&amp;IF(R428&gt;0,"Código repetido dentro del capítulo; mantenemos sus ID separados."&amp;CHAR(10),"")&amp;IF(S428&gt;0,"Código repetido en otro capítulo; no unimos las partidas."&amp;CHAR(10),"")&amp;IF(T428&gt;0,"Mismo código con unidades distintas; pedimos aclaración."&amp;CHAR(10),"")&amp;IF(Q428&gt;0,"Hay más precisión que los decimales indicados; cotejamos el formato original."&amp;CHAR(10),"")&amp;IF(U428&gt;0,"Unidad sin normalizar; cotejamos su significado antes de sumar unidades."&amp;CHAR(10),"")&amp;IF(V428&gt;0,"Revisamos dimensiones, cantidades directas, ceros o deducciones en PEGAR."&amp;CHAR(10),"")))</f>
      </c>
      <c r="K428" s="0">
        <f>IF(416&gt;'RESUMEN'!$E$6,"",MATCH(416,'PEGAR'!$W$13:$W$512,0))</f>
      </c>
      <c r="L428" s="0">
        <f>IF(K428="","",INDEX('PEGAR'!$R$13:$R$512,K428))</f>
      </c>
      <c r="M428" s="0">
        <f>IF(B428="","",COUNTIFS('PEGAR'!$O$13:$O$512,B428,'PEGAR'!$P$13:$P$512,"DIMENSIONES")+COUNTIFS('PEGAR'!$O$13:$O$512,B428,'PEGAR'!$P$13:$P$512,"DIRECTA"))</f>
      </c>
      <c r="N428" s="0">
        <f>IF(B428="","",COUNTIFS('PEGAR'!$O$13:$O$512,B428,'PEGAR'!$X$13:$X$512,2))</f>
      </c>
      <c r="O428" s="0">
        <f>IF(B428="","",COUNTIFS('PEGAR'!$O$13:$O$512,B428,'PEGAR'!$P$13:$P$512,"SIN LÍNEAS"))</f>
      </c>
      <c r="P428" s="0">
        <f>IF(B428="","",SUMIFS('PEGAR'!$Y$13:$Y$512,'PEGAR'!$O$13:$O$512,B428))</f>
      </c>
      <c r="Q428" s="0">
        <f>IF(B428="","",SUMIFS('PEGAR'!$Z$13:$Z$512,'PEGAR'!$O$13:$O$512,B428))</f>
      </c>
      <c r="R428" s="0" t="n">
        <f>IF(OR(B428="",D428=""),0,SUMPRODUCT(--($B$13:$B$512&lt;&gt;""),--($D$13:$D$512=D428),--($C$13:$C$512=C428))-1)</f>
        <v>0</v>
      </c>
      <c r="S428" s="0" t="n">
        <f>IF(OR(B428="",D428=""),0,SUMPRODUCT(--($B$13:$B$512&lt;&gt;""),--($D$13:$D$512=D428),--($C$13:$C$512&lt;&gt;C428)))</f>
        <v>0</v>
      </c>
      <c r="T428" s="0" t="n">
        <f>IF(OR(B428="",D428=""),0,SUMPRODUCT(--($B$13:$B$512&lt;&gt;""),--($D$13:$D$512=D428),--($E$13:$E$512&lt;&gt;E428)))</f>
        <v>0</v>
      </c>
      <c r="U428" s="0" t="n">
        <f>IF(B428="",0,IF(SUMPRODUCT(--('LÉEME'!$C$65:$C$86=E428))=0,1,0))</f>
        <v>0</v>
      </c>
      <c r="V428" s="0">
        <f>IF(B428="","",SUMIFS('PEGAR'!$AA$13:$AA$512,'PEGAR'!$O$13:$O$512,B428))</f>
      </c>
      <c r="W428" s="0">
        <f>IF(B428="","",IF(OR(L428=0,N428&gt;0,T428&gt;0,IF(ISNUMBER(H428),ROUND(ABS(H428),8)&gt;$F$6,FALSE)),2,IF(OR(M428=0,O428&gt;0,P428&gt;0,Q428&gt;0,R428&gt;0,S428&gt;0,U428&gt;0,V428&gt;0),1,0)))</f>
      </c>
      <c r="X428" s="0">
        <f>IF(B428="","",IF(ISNUMBER(G428),1,0))</f>
      </c>
      <c r="AB428" s="0">
        <f>IF(AND(ISNUMBER(W428),W428&gt;0),"ID "&amp;B428,"")</f>
      </c>
      <c r="AC428" s="0">
        <f>IF(AND(ISNUMBER(W428),W428&gt;0),C428,"")</f>
      </c>
      <c r="AD428" s="0">
        <f>IF(AND(ISNUMBER(W428),W428&gt;0),D428,"")</f>
      </c>
      <c r="AE428" s="0">
        <f>IF(AND(ISNUMBER(W428),W428&gt;0),IF(INDEX('PEGAR'!$D$13:$D$512,IF(L428&gt;0,L428,K428))="","Sin descripción",INDEX('PEGAR'!$D$13:$D$512,IF(L428&gt;0,L428,K428))),"")</f>
      </c>
      <c r="AF428" s="0">
        <f>IF(AND(ISNUMBER(W428),W428&gt;0),J428,"")</f>
      </c>
      <c r="AG428" s="0" t="n">
        <f>IF(AND(ISNUMBER(W428),W428&gt;0),W428,0)</f>
        <v>0</v>
      </c>
      <c r="AH428" s="0">
        <f>IF(AG428&gt;0,COUNTIFS($AG$13:AG428,"&gt;0"),"")</f>
      </c>
    </row>
    <row r="429" ht="22" customHeight="1">
      <c r="B429" s="27">
        <f>IF(K429="","",INDEX('PEGAR'!$O$13:$O$512,K429))</f>
      </c>
      <c r="C429" s="30">
        <f>IF(B429="","",IF(LEN(TRIM(INDEX('PEGAR'!$B$13:$B$512,IF(L429&gt;0,L429,K429))&amp;""))=0,"Sin capítulo",TRIM(INDEX('PEGAR'!$B$13:$B$512,IF(L429&gt;0,L429,K429))&amp;"")))</f>
      </c>
      <c r="D429" s="27">
        <f>IF(B429="","",IF(LEN(TRIM(INDEX('PEGAR'!$C$13:$C$512,IF(L429&gt;0,L429,K429))&amp;""))=0,"",TRIM(INDEX('PEGAR'!$C$13:$C$512,IF(L429&gt;0,L429,K429))&amp;"")))</f>
      </c>
      <c r="E429" s="27">
        <f>IF(B429="","",INDEX('PEGAR'!$S$13:$S$512,IF(L429&gt;0,L429,K429)))</f>
      </c>
      <c r="F429" s="39">
        <f>IF(B429="","",IF(L429&gt;0,INDEX('PEGAR'!$F$13:$F$512,L429),""))</f>
      </c>
      <c r="G429" s="39">
        <f>IF(B429="","",IF(OR(M429=0,N429&gt;0,O429&gt;0),"",SUMIFS('PEGAR'!$M$13:$M$512,'PEGAR'!$O$13:$O$512,B429)))</f>
      </c>
      <c r="H429" s="39">
        <f>IF(AND(ISNUMBER(F429),ISNUMBER(G429)),G429-F429,"")</f>
      </c>
      <c r="I429" s="27">
        <f>IF(B429="","",IF(W429=2,"ROJO",IF(W429=1,"ÁMBAR","VERDE")))</f>
      </c>
      <c r="J429" s="30">
        <f>IF(B429="","",IF(W429=0,"Sin avisos numéricos. Revisamos el alcance aparte.",IF(L429=0,"Faltan datos completos de partida; no elegimos un total por suposición."&amp;CHAR(10),"")&amp;IF(N429&gt;0,"Hay filas incompletas o contradictorias; las revisamos en PEGAR."&amp;CHAR(10),"")&amp;IF(O429&gt;0,"Faltan las medidas de alguna fila; no cerramos la suma."&amp;CHAR(10),"")&amp;IF(M429=0,"No constan líneas de medición."&amp;CHAR(10),"")&amp;IF(IF(ISNUMBER(H429),ROUND(ABS(H429),8)&gt;$F$6,FALSE),"Las líneas difieren del total en más de 0,01; confirmamos cantidad o exclusión."&amp;CHAR(10),"")&amp;IF(P429&gt;0,"Parece m³: encontramos tres dimensiones bajo m²."&amp;CHAR(10),"")&amp;IF(R429&gt;0,"Código repetido dentro del capítulo; mantenemos sus ID separados."&amp;CHAR(10),"")&amp;IF(S429&gt;0,"Código repetido en otro capítulo; no unimos las partidas."&amp;CHAR(10),"")&amp;IF(T429&gt;0,"Mismo código con unidades distintas; pedimos aclaración."&amp;CHAR(10),"")&amp;IF(Q429&gt;0,"Hay más precisión que los decimales indicados; cotejamos el formato original."&amp;CHAR(10),"")&amp;IF(U429&gt;0,"Unidad sin normalizar; cotejamos su significado antes de sumar unidades."&amp;CHAR(10),"")&amp;IF(V429&gt;0,"Revisamos dimensiones, cantidades directas, ceros o deducciones en PEGAR."&amp;CHAR(10),"")))</f>
      </c>
      <c r="K429" s="0">
        <f>IF(417&gt;'RESUMEN'!$E$6,"",MATCH(417,'PEGAR'!$W$13:$W$512,0))</f>
      </c>
      <c r="L429" s="0">
        <f>IF(K429="","",INDEX('PEGAR'!$R$13:$R$512,K429))</f>
      </c>
      <c r="M429" s="0">
        <f>IF(B429="","",COUNTIFS('PEGAR'!$O$13:$O$512,B429,'PEGAR'!$P$13:$P$512,"DIMENSIONES")+COUNTIFS('PEGAR'!$O$13:$O$512,B429,'PEGAR'!$P$13:$P$512,"DIRECTA"))</f>
      </c>
      <c r="N429" s="0">
        <f>IF(B429="","",COUNTIFS('PEGAR'!$O$13:$O$512,B429,'PEGAR'!$X$13:$X$512,2))</f>
      </c>
      <c r="O429" s="0">
        <f>IF(B429="","",COUNTIFS('PEGAR'!$O$13:$O$512,B429,'PEGAR'!$P$13:$P$512,"SIN LÍNEAS"))</f>
      </c>
      <c r="P429" s="0">
        <f>IF(B429="","",SUMIFS('PEGAR'!$Y$13:$Y$512,'PEGAR'!$O$13:$O$512,B429))</f>
      </c>
      <c r="Q429" s="0">
        <f>IF(B429="","",SUMIFS('PEGAR'!$Z$13:$Z$512,'PEGAR'!$O$13:$O$512,B429))</f>
      </c>
      <c r="R429" s="0" t="n">
        <f>IF(OR(B429="",D429=""),0,SUMPRODUCT(--($B$13:$B$512&lt;&gt;""),--($D$13:$D$512=D429),--($C$13:$C$512=C429))-1)</f>
        <v>0</v>
      </c>
      <c r="S429" s="0" t="n">
        <f>IF(OR(B429="",D429=""),0,SUMPRODUCT(--($B$13:$B$512&lt;&gt;""),--($D$13:$D$512=D429),--($C$13:$C$512&lt;&gt;C429)))</f>
        <v>0</v>
      </c>
      <c r="T429" s="0" t="n">
        <f>IF(OR(B429="",D429=""),0,SUMPRODUCT(--($B$13:$B$512&lt;&gt;""),--($D$13:$D$512=D429),--($E$13:$E$512&lt;&gt;E429)))</f>
        <v>0</v>
      </c>
      <c r="U429" s="0" t="n">
        <f>IF(B429="",0,IF(SUMPRODUCT(--('LÉEME'!$C$65:$C$86=E429))=0,1,0))</f>
        <v>0</v>
      </c>
      <c r="V429" s="0">
        <f>IF(B429="","",SUMIFS('PEGAR'!$AA$13:$AA$512,'PEGAR'!$O$13:$O$512,B429))</f>
      </c>
      <c r="W429" s="0">
        <f>IF(B429="","",IF(OR(L429=0,N429&gt;0,T429&gt;0,IF(ISNUMBER(H429),ROUND(ABS(H429),8)&gt;$F$6,FALSE)),2,IF(OR(M429=0,O429&gt;0,P429&gt;0,Q429&gt;0,R429&gt;0,S429&gt;0,U429&gt;0,V429&gt;0),1,0)))</f>
      </c>
      <c r="X429" s="0">
        <f>IF(B429="","",IF(ISNUMBER(G429),1,0))</f>
      </c>
      <c r="AB429" s="0">
        <f>IF(AND(ISNUMBER(W429),W429&gt;0),"ID "&amp;B429,"")</f>
      </c>
      <c r="AC429" s="0">
        <f>IF(AND(ISNUMBER(W429),W429&gt;0),C429,"")</f>
      </c>
      <c r="AD429" s="0">
        <f>IF(AND(ISNUMBER(W429),W429&gt;0),D429,"")</f>
      </c>
      <c r="AE429" s="0">
        <f>IF(AND(ISNUMBER(W429),W429&gt;0),IF(INDEX('PEGAR'!$D$13:$D$512,IF(L429&gt;0,L429,K429))="","Sin descripción",INDEX('PEGAR'!$D$13:$D$512,IF(L429&gt;0,L429,K429))),"")</f>
      </c>
      <c r="AF429" s="0">
        <f>IF(AND(ISNUMBER(W429),W429&gt;0),J429,"")</f>
      </c>
      <c r="AG429" s="0" t="n">
        <f>IF(AND(ISNUMBER(W429),W429&gt;0),W429,0)</f>
        <v>0</v>
      </c>
      <c r="AH429" s="0">
        <f>IF(AG429&gt;0,COUNTIFS($AG$13:AG429,"&gt;0"),"")</f>
      </c>
    </row>
    <row r="430" ht="22" customHeight="1">
      <c r="B430" s="27">
        <f>IF(K430="","",INDEX('PEGAR'!$O$13:$O$512,K430))</f>
      </c>
      <c r="C430" s="30">
        <f>IF(B430="","",IF(LEN(TRIM(INDEX('PEGAR'!$B$13:$B$512,IF(L430&gt;0,L430,K430))&amp;""))=0,"Sin capítulo",TRIM(INDEX('PEGAR'!$B$13:$B$512,IF(L430&gt;0,L430,K430))&amp;"")))</f>
      </c>
      <c r="D430" s="27">
        <f>IF(B430="","",IF(LEN(TRIM(INDEX('PEGAR'!$C$13:$C$512,IF(L430&gt;0,L430,K430))&amp;""))=0,"",TRIM(INDEX('PEGAR'!$C$13:$C$512,IF(L430&gt;0,L430,K430))&amp;"")))</f>
      </c>
      <c r="E430" s="27">
        <f>IF(B430="","",INDEX('PEGAR'!$S$13:$S$512,IF(L430&gt;0,L430,K430)))</f>
      </c>
      <c r="F430" s="39">
        <f>IF(B430="","",IF(L430&gt;0,INDEX('PEGAR'!$F$13:$F$512,L430),""))</f>
      </c>
      <c r="G430" s="39">
        <f>IF(B430="","",IF(OR(M430=0,N430&gt;0,O430&gt;0),"",SUMIFS('PEGAR'!$M$13:$M$512,'PEGAR'!$O$13:$O$512,B430)))</f>
      </c>
      <c r="H430" s="39">
        <f>IF(AND(ISNUMBER(F430),ISNUMBER(G430)),G430-F430,"")</f>
      </c>
      <c r="I430" s="27">
        <f>IF(B430="","",IF(W430=2,"ROJO",IF(W430=1,"ÁMBAR","VERDE")))</f>
      </c>
      <c r="J430" s="30">
        <f>IF(B430="","",IF(W430=0,"Sin avisos numéricos. Revisamos el alcance aparte.",IF(L430=0,"Faltan datos completos de partida; no elegimos un total por suposición."&amp;CHAR(10),"")&amp;IF(N430&gt;0,"Hay filas incompletas o contradictorias; las revisamos en PEGAR."&amp;CHAR(10),"")&amp;IF(O430&gt;0,"Faltan las medidas de alguna fila; no cerramos la suma."&amp;CHAR(10),"")&amp;IF(M430=0,"No constan líneas de medición."&amp;CHAR(10),"")&amp;IF(IF(ISNUMBER(H430),ROUND(ABS(H430),8)&gt;$F$6,FALSE),"Las líneas difieren del total en más de 0,01; confirmamos cantidad o exclusión."&amp;CHAR(10),"")&amp;IF(P430&gt;0,"Parece m³: encontramos tres dimensiones bajo m²."&amp;CHAR(10),"")&amp;IF(R430&gt;0,"Código repetido dentro del capítulo; mantenemos sus ID separados."&amp;CHAR(10),"")&amp;IF(S430&gt;0,"Código repetido en otro capítulo; no unimos las partidas."&amp;CHAR(10),"")&amp;IF(T430&gt;0,"Mismo código con unidades distintas; pedimos aclaración."&amp;CHAR(10),"")&amp;IF(Q430&gt;0,"Hay más precisión que los decimales indicados; cotejamos el formato original."&amp;CHAR(10),"")&amp;IF(U430&gt;0,"Unidad sin normalizar; cotejamos su significado antes de sumar unidades."&amp;CHAR(10),"")&amp;IF(V430&gt;0,"Revisamos dimensiones, cantidades directas, ceros o deducciones en PEGAR."&amp;CHAR(10),"")))</f>
      </c>
      <c r="K430" s="0">
        <f>IF(418&gt;'RESUMEN'!$E$6,"",MATCH(418,'PEGAR'!$W$13:$W$512,0))</f>
      </c>
      <c r="L430" s="0">
        <f>IF(K430="","",INDEX('PEGAR'!$R$13:$R$512,K430))</f>
      </c>
      <c r="M430" s="0">
        <f>IF(B430="","",COUNTIFS('PEGAR'!$O$13:$O$512,B430,'PEGAR'!$P$13:$P$512,"DIMENSIONES")+COUNTIFS('PEGAR'!$O$13:$O$512,B430,'PEGAR'!$P$13:$P$512,"DIRECTA"))</f>
      </c>
      <c r="N430" s="0">
        <f>IF(B430="","",COUNTIFS('PEGAR'!$O$13:$O$512,B430,'PEGAR'!$X$13:$X$512,2))</f>
      </c>
      <c r="O430" s="0">
        <f>IF(B430="","",COUNTIFS('PEGAR'!$O$13:$O$512,B430,'PEGAR'!$P$13:$P$512,"SIN LÍNEAS"))</f>
      </c>
      <c r="P430" s="0">
        <f>IF(B430="","",SUMIFS('PEGAR'!$Y$13:$Y$512,'PEGAR'!$O$13:$O$512,B430))</f>
      </c>
      <c r="Q430" s="0">
        <f>IF(B430="","",SUMIFS('PEGAR'!$Z$13:$Z$512,'PEGAR'!$O$13:$O$512,B430))</f>
      </c>
      <c r="R430" s="0" t="n">
        <f>IF(OR(B430="",D430=""),0,SUMPRODUCT(--($B$13:$B$512&lt;&gt;""),--($D$13:$D$512=D430),--($C$13:$C$512=C430))-1)</f>
        <v>0</v>
      </c>
      <c r="S430" s="0" t="n">
        <f>IF(OR(B430="",D430=""),0,SUMPRODUCT(--($B$13:$B$512&lt;&gt;""),--($D$13:$D$512=D430),--($C$13:$C$512&lt;&gt;C430)))</f>
        <v>0</v>
      </c>
      <c r="T430" s="0" t="n">
        <f>IF(OR(B430="",D430=""),0,SUMPRODUCT(--($B$13:$B$512&lt;&gt;""),--($D$13:$D$512=D430),--($E$13:$E$512&lt;&gt;E430)))</f>
        <v>0</v>
      </c>
      <c r="U430" s="0" t="n">
        <f>IF(B430="",0,IF(SUMPRODUCT(--('LÉEME'!$C$65:$C$86=E430))=0,1,0))</f>
        <v>0</v>
      </c>
      <c r="V430" s="0">
        <f>IF(B430="","",SUMIFS('PEGAR'!$AA$13:$AA$512,'PEGAR'!$O$13:$O$512,B430))</f>
      </c>
      <c r="W430" s="0">
        <f>IF(B430="","",IF(OR(L430=0,N430&gt;0,T430&gt;0,IF(ISNUMBER(H430),ROUND(ABS(H430),8)&gt;$F$6,FALSE)),2,IF(OR(M430=0,O430&gt;0,P430&gt;0,Q430&gt;0,R430&gt;0,S430&gt;0,U430&gt;0,V430&gt;0),1,0)))</f>
      </c>
      <c r="X430" s="0">
        <f>IF(B430="","",IF(ISNUMBER(G430),1,0))</f>
      </c>
      <c r="AB430" s="0">
        <f>IF(AND(ISNUMBER(W430),W430&gt;0),"ID "&amp;B430,"")</f>
      </c>
      <c r="AC430" s="0">
        <f>IF(AND(ISNUMBER(W430),W430&gt;0),C430,"")</f>
      </c>
      <c r="AD430" s="0">
        <f>IF(AND(ISNUMBER(W430),W430&gt;0),D430,"")</f>
      </c>
      <c r="AE430" s="0">
        <f>IF(AND(ISNUMBER(W430),W430&gt;0),IF(INDEX('PEGAR'!$D$13:$D$512,IF(L430&gt;0,L430,K430))="","Sin descripción",INDEX('PEGAR'!$D$13:$D$512,IF(L430&gt;0,L430,K430))),"")</f>
      </c>
      <c r="AF430" s="0">
        <f>IF(AND(ISNUMBER(W430),W430&gt;0),J430,"")</f>
      </c>
      <c r="AG430" s="0" t="n">
        <f>IF(AND(ISNUMBER(W430),W430&gt;0),W430,0)</f>
        <v>0</v>
      </c>
      <c r="AH430" s="0">
        <f>IF(AG430&gt;0,COUNTIFS($AG$13:AG430,"&gt;0"),"")</f>
      </c>
    </row>
    <row r="431" ht="22" customHeight="1">
      <c r="B431" s="27">
        <f>IF(K431="","",INDEX('PEGAR'!$O$13:$O$512,K431))</f>
      </c>
      <c r="C431" s="30">
        <f>IF(B431="","",IF(LEN(TRIM(INDEX('PEGAR'!$B$13:$B$512,IF(L431&gt;0,L431,K431))&amp;""))=0,"Sin capítulo",TRIM(INDEX('PEGAR'!$B$13:$B$512,IF(L431&gt;0,L431,K431))&amp;"")))</f>
      </c>
      <c r="D431" s="27">
        <f>IF(B431="","",IF(LEN(TRIM(INDEX('PEGAR'!$C$13:$C$512,IF(L431&gt;0,L431,K431))&amp;""))=0,"",TRIM(INDEX('PEGAR'!$C$13:$C$512,IF(L431&gt;0,L431,K431))&amp;"")))</f>
      </c>
      <c r="E431" s="27">
        <f>IF(B431="","",INDEX('PEGAR'!$S$13:$S$512,IF(L431&gt;0,L431,K431)))</f>
      </c>
      <c r="F431" s="39">
        <f>IF(B431="","",IF(L431&gt;0,INDEX('PEGAR'!$F$13:$F$512,L431),""))</f>
      </c>
      <c r="G431" s="39">
        <f>IF(B431="","",IF(OR(M431=0,N431&gt;0,O431&gt;0),"",SUMIFS('PEGAR'!$M$13:$M$512,'PEGAR'!$O$13:$O$512,B431)))</f>
      </c>
      <c r="H431" s="39">
        <f>IF(AND(ISNUMBER(F431),ISNUMBER(G431)),G431-F431,"")</f>
      </c>
      <c r="I431" s="27">
        <f>IF(B431="","",IF(W431=2,"ROJO",IF(W431=1,"ÁMBAR","VERDE")))</f>
      </c>
      <c r="J431" s="30">
        <f>IF(B431="","",IF(W431=0,"Sin avisos numéricos. Revisamos el alcance aparte.",IF(L431=0,"Faltan datos completos de partida; no elegimos un total por suposición."&amp;CHAR(10),"")&amp;IF(N431&gt;0,"Hay filas incompletas o contradictorias; las revisamos en PEGAR."&amp;CHAR(10),"")&amp;IF(O431&gt;0,"Faltan las medidas de alguna fila; no cerramos la suma."&amp;CHAR(10),"")&amp;IF(M431=0,"No constan líneas de medición."&amp;CHAR(10),"")&amp;IF(IF(ISNUMBER(H431),ROUND(ABS(H431),8)&gt;$F$6,FALSE),"Las líneas difieren del total en más de 0,01; confirmamos cantidad o exclusión."&amp;CHAR(10),"")&amp;IF(P431&gt;0,"Parece m³: encontramos tres dimensiones bajo m²."&amp;CHAR(10),"")&amp;IF(R431&gt;0,"Código repetido dentro del capítulo; mantenemos sus ID separados."&amp;CHAR(10),"")&amp;IF(S431&gt;0,"Código repetido en otro capítulo; no unimos las partidas."&amp;CHAR(10),"")&amp;IF(T431&gt;0,"Mismo código con unidades distintas; pedimos aclaración."&amp;CHAR(10),"")&amp;IF(Q431&gt;0,"Hay más precisión que los decimales indicados; cotejamos el formato original."&amp;CHAR(10),"")&amp;IF(U431&gt;0,"Unidad sin normalizar; cotejamos su significado antes de sumar unidades."&amp;CHAR(10),"")&amp;IF(V431&gt;0,"Revisamos dimensiones, cantidades directas, ceros o deducciones en PEGAR."&amp;CHAR(10),"")))</f>
      </c>
      <c r="K431" s="0">
        <f>IF(419&gt;'RESUMEN'!$E$6,"",MATCH(419,'PEGAR'!$W$13:$W$512,0))</f>
      </c>
      <c r="L431" s="0">
        <f>IF(K431="","",INDEX('PEGAR'!$R$13:$R$512,K431))</f>
      </c>
      <c r="M431" s="0">
        <f>IF(B431="","",COUNTIFS('PEGAR'!$O$13:$O$512,B431,'PEGAR'!$P$13:$P$512,"DIMENSIONES")+COUNTIFS('PEGAR'!$O$13:$O$512,B431,'PEGAR'!$P$13:$P$512,"DIRECTA"))</f>
      </c>
      <c r="N431" s="0">
        <f>IF(B431="","",COUNTIFS('PEGAR'!$O$13:$O$512,B431,'PEGAR'!$X$13:$X$512,2))</f>
      </c>
      <c r="O431" s="0">
        <f>IF(B431="","",COUNTIFS('PEGAR'!$O$13:$O$512,B431,'PEGAR'!$P$13:$P$512,"SIN LÍNEAS"))</f>
      </c>
      <c r="P431" s="0">
        <f>IF(B431="","",SUMIFS('PEGAR'!$Y$13:$Y$512,'PEGAR'!$O$13:$O$512,B431))</f>
      </c>
      <c r="Q431" s="0">
        <f>IF(B431="","",SUMIFS('PEGAR'!$Z$13:$Z$512,'PEGAR'!$O$13:$O$512,B431))</f>
      </c>
      <c r="R431" s="0" t="n">
        <f>IF(OR(B431="",D431=""),0,SUMPRODUCT(--($B$13:$B$512&lt;&gt;""),--($D$13:$D$512=D431),--($C$13:$C$512=C431))-1)</f>
        <v>0</v>
      </c>
      <c r="S431" s="0" t="n">
        <f>IF(OR(B431="",D431=""),0,SUMPRODUCT(--($B$13:$B$512&lt;&gt;""),--($D$13:$D$512=D431),--($C$13:$C$512&lt;&gt;C431)))</f>
        <v>0</v>
      </c>
      <c r="T431" s="0" t="n">
        <f>IF(OR(B431="",D431=""),0,SUMPRODUCT(--($B$13:$B$512&lt;&gt;""),--($D$13:$D$512=D431),--($E$13:$E$512&lt;&gt;E431)))</f>
        <v>0</v>
      </c>
      <c r="U431" s="0" t="n">
        <f>IF(B431="",0,IF(SUMPRODUCT(--('LÉEME'!$C$65:$C$86=E431))=0,1,0))</f>
        <v>0</v>
      </c>
      <c r="V431" s="0">
        <f>IF(B431="","",SUMIFS('PEGAR'!$AA$13:$AA$512,'PEGAR'!$O$13:$O$512,B431))</f>
      </c>
      <c r="W431" s="0">
        <f>IF(B431="","",IF(OR(L431=0,N431&gt;0,T431&gt;0,IF(ISNUMBER(H431),ROUND(ABS(H431),8)&gt;$F$6,FALSE)),2,IF(OR(M431=0,O431&gt;0,P431&gt;0,Q431&gt;0,R431&gt;0,S431&gt;0,U431&gt;0,V431&gt;0),1,0)))</f>
      </c>
      <c r="X431" s="0">
        <f>IF(B431="","",IF(ISNUMBER(G431),1,0))</f>
      </c>
      <c r="AB431" s="0">
        <f>IF(AND(ISNUMBER(W431),W431&gt;0),"ID "&amp;B431,"")</f>
      </c>
      <c r="AC431" s="0">
        <f>IF(AND(ISNUMBER(W431),W431&gt;0),C431,"")</f>
      </c>
      <c r="AD431" s="0">
        <f>IF(AND(ISNUMBER(W431),W431&gt;0),D431,"")</f>
      </c>
      <c r="AE431" s="0">
        <f>IF(AND(ISNUMBER(W431),W431&gt;0),IF(INDEX('PEGAR'!$D$13:$D$512,IF(L431&gt;0,L431,K431))="","Sin descripción",INDEX('PEGAR'!$D$13:$D$512,IF(L431&gt;0,L431,K431))),"")</f>
      </c>
      <c r="AF431" s="0">
        <f>IF(AND(ISNUMBER(W431),W431&gt;0),J431,"")</f>
      </c>
      <c r="AG431" s="0" t="n">
        <f>IF(AND(ISNUMBER(W431),W431&gt;0),W431,0)</f>
        <v>0</v>
      </c>
      <c r="AH431" s="0">
        <f>IF(AG431&gt;0,COUNTIFS($AG$13:AG431,"&gt;0"),"")</f>
      </c>
    </row>
    <row r="432" ht="22" customHeight="1">
      <c r="B432" s="27">
        <f>IF(K432="","",INDEX('PEGAR'!$O$13:$O$512,K432))</f>
      </c>
      <c r="C432" s="30">
        <f>IF(B432="","",IF(LEN(TRIM(INDEX('PEGAR'!$B$13:$B$512,IF(L432&gt;0,L432,K432))&amp;""))=0,"Sin capítulo",TRIM(INDEX('PEGAR'!$B$13:$B$512,IF(L432&gt;0,L432,K432))&amp;"")))</f>
      </c>
      <c r="D432" s="27">
        <f>IF(B432="","",IF(LEN(TRIM(INDEX('PEGAR'!$C$13:$C$512,IF(L432&gt;0,L432,K432))&amp;""))=0,"",TRIM(INDEX('PEGAR'!$C$13:$C$512,IF(L432&gt;0,L432,K432))&amp;"")))</f>
      </c>
      <c r="E432" s="27">
        <f>IF(B432="","",INDEX('PEGAR'!$S$13:$S$512,IF(L432&gt;0,L432,K432)))</f>
      </c>
      <c r="F432" s="39">
        <f>IF(B432="","",IF(L432&gt;0,INDEX('PEGAR'!$F$13:$F$512,L432),""))</f>
      </c>
      <c r="G432" s="39">
        <f>IF(B432="","",IF(OR(M432=0,N432&gt;0,O432&gt;0),"",SUMIFS('PEGAR'!$M$13:$M$512,'PEGAR'!$O$13:$O$512,B432)))</f>
      </c>
      <c r="H432" s="39">
        <f>IF(AND(ISNUMBER(F432),ISNUMBER(G432)),G432-F432,"")</f>
      </c>
      <c r="I432" s="27">
        <f>IF(B432="","",IF(W432=2,"ROJO",IF(W432=1,"ÁMBAR","VERDE")))</f>
      </c>
      <c r="J432" s="30">
        <f>IF(B432="","",IF(W432=0,"Sin avisos numéricos. Revisamos el alcance aparte.",IF(L432=0,"Faltan datos completos de partida; no elegimos un total por suposición."&amp;CHAR(10),"")&amp;IF(N432&gt;0,"Hay filas incompletas o contradictorias; las revisamos en PEGAR."&amp;CHAR(10),"")&amp;IF(O432&gt;0,"Faltan las medidas de alguna fila; no cerramos la suma."&amp;CHAR(10),"")&amp;IF(M432=0,"No constan líneas de medición."&amp;CHAR(10),"")&amp;IF(IF(ISNUMBER(H432),ROUND(ABS(H432),8)&gt;$F$6,FALSE),"Las líneas difieren del total en más de 0,01; confirmamos cantidad o exclusión."&amp;CHAR(10),"")&amp;IF(P432&gt;0,"Parece m³: encontramos tres dimensiones bajo m²."&amp;CHAR(10),"")&amp;IF(R432&gt;0,"Código repetido dentro del capítulo; mantenemos sus ID separados."&amp;CHAR(10),"")&amp;IF(S432&gt;0,"Código repetido en otro capítulo; no unimos las partidas."&amp;CHAR(10),"")&amp;IF(T432&gt;0,"Mismo código con unidades distintas; pedimos aclaración."&amp;CHAR(10),"")&amp;IF(Q432&gt;0,"Hay más precisión que los decimales indicados; cotejamos el formato original."&amp;CHAR(10),"")&amp;IF(U432&gt;0,"Unidad sin normalizar; cotejamos su significado antes de sumar unidades."&amp;CHAR(10),"")&amp;IF(V432&gt;0,"Revisamos dimensiones, cantidades directas, ceros o deducciones en PEGAR."&amp;CHAR(10),"")))</f>
      </c>
      <c r="K432" s="0">
        <f>IF(420&gt;'RESUMEN'!$E$6,"",MATCH(420,'PEGAR'!$W$13:$W$512,0))</f>
      </c>
      <c r="L432" s="0">
        <f>IF(K432="","",INDEX('PEGAR'!$R$13:$R$512,K432))</f>
      </c>
      <c r="M432" s="0">
        <f>IF(B432="","",COUNTIFS('PEGAR'!$O$13:$O$512,B432,'PEGAR'!$P$13:$P$512,"DIMENSIONES")+COUNTIFS('PEGAR'!$O$13:$O$512,B432,'PEGAR'!$P$13:$P$512,"DIRECTA"))</f>
      </c>
      <c r="N432" s="0">
        <f>IF(B432="","",COUNTIFS('PEGAR'!$O$13:$O$512,B432,'PEGAR'!$X$13:$X$512,2))</f>
      </c>
      <c r="O432" s="0">
        <f>IF(B432="","",COUNTIFS('PEGAR'!$O$13:$O$512,B432,'PEGAR'!$P$13:$P$512,"SIN LÍNEAS"))</f>
      </c>
      <c r="P432" s="0">
        <f>IF(B432="","",SUMIFS('PEGAR'!$Y$13:$Y$512,'PEGAR'!$O$13:$O$512,B432))</f>
      </c>
      <c r="Q432" s="0">
        <f>IF(B432="","",SUMIFS('PEGAR'!$Z$13:$Z$512,'PEGAR'!$O$13:$O$512,B432))</f>
      </c>
      <c r="R432" s="0" t="n">
        <f>IF(OR(B432="",D432=""),0,SUMPRODUCT(--($B$13:$B$512&lt;&gt;""),--($D$13:$D$512=D432),--($C$13:$C$512=C432))-1)</f>
        <v>0</v>
      </c>
      <c r="S432" s="0" t="n">
        <f>IF(OR(B432="",D432=""),0,SUMPRODUCT(--($B$13:$B$512&lt;&gt;""),--($D$13:$D$512=D432),--($C$13:$C$512&lt;&gt;C432)))</f>
        <v>0</v>
      </c>
      <c r="T432" s="0" t="n">
        <f>IF(OR(B432="",D432=""),0,SUMPRODUCT(--($B$13:$B$512&lt;&gt;""),--($D$13:$D$512=D432),--($E$13:$E$512&lt;&gt;E432)))</f>
        <v>0</v>
      </c>
      <c r="U432" s="0" t="n">
        <f>IF(B432="",0,IF(SUMPRODUCT(--('LÉEME'!$C$65:$C$86=E432))=0,1,0))</f>
        <v>0</v>
      </c>
      <c r="V432" s="0">
        <f>IF(B432="","",SUMIFS('PEGAR'!$AA$13:$AA$512,'PEGAR'!$O$13:$O$512,B432))</f>
      </c>
      <c r="W432" s="0">
        <f>IF(B432="","",IF(OR(L432=0,N432&gt;0,T432&gt;0,IF(ISNUMBER(H432),ROUND(ABS(H432),8)&gt;$F$6,FALSE)),2,IF(OR(M432=0,O432&gt;0,P432&gt;0,Q432&gt;0,R432&gt;0,S432&gt;0,U432&gt;0,V432&gt;0),1,0)))</f>
      </c>
      <c r="X432" s="0">
        <f>IF(B432="","",IF(ISNUMBER(G432),1,0))</f>
      </c>
      <c r="AB432" s="0">
        <f>IF(AND(ISNUMBER(W432),W432&gt;0),"ID "&amp;B432,"")</f>
      </c>
      <c r="AC432" s="0">
        <f>IF(AND(ISNUMBER(W432),W432&gt;0),C432,"")</f>
      </c>
      <c r="AD432" s="0">
        <f>IF(AND(ISNUMBER(W432),W432&gt;0),D432,"")</f>
      </c>
      <c r="AE432" s="0">
        <f>IF(AND(ISNUMBER(W432),W432&gt;0),IF(INDEX('PEGAR'!$D$13:$D$512,IF(L432&gt;0,L432,K432))="","Sin descripción",INDEX('PEGAR'!$D$13:$D$512,IF(L432&gt;0,L432,K432))),"")</f>
      </c>
      <c r="AF432" s="0">
        <f>IF(AND(ISNUMBER(W432),W432&gt;0),J432,"")</f>
      </c>
      <c r="AG432" s="0" t="n">
        <f>IF(AND(ISNUMBER(W432),W432&gt;0),W432,0)</f>
        <v>0</v>
      </c>
      <c r="AH432" s="0">
        <f>IF(AG432&gt;0,COUNTIFS($AG$13:AG432,"&gt;0"),"")</f>
      </c>
    </row>
    <row r="433" ht="22" customHeight="1">
      <c r="B433" s="27">
        <f>IF(K433="","",INDEX('PEGAR'!$O$13:$O$512,K433))</f>
      </c>
      <c r="C433" s="30">
        <f>IF(B433="","",IF(LEN(TRIM(INDEX('PEGAR'!$B$13:$B$512,IF(L433&gt;0,L433,K433))&amp;""))=0,"Sin capítulo",TRIM(INDEX('PEGAR'!$B$13:$B$512,IF(L433&gt;0,L433,K433))&amp;"")))</f>
      </c>
      <c r="D433" s="27">
        <f>IF(B433="","",IF(LEN(TRIM(INDEX('PEGAR'!$C$13:$C$512,IF(L433&gt;0,L433,K433))&amp;""))=0,"",TRIM(INDEX('PEGAR'!$C$13:$C$512,IF(L433&gt;0,L433,K433))&amp;"")))</f>
      </c>
      <c r="E433" s="27">
        <f>IF(B433="","",INDEX('PEGAR'!$S$13:$S$512,IF(L433&gt;0,L433,K433)))</f>
      </c>
      <c r="F433" s="39">
        <f>IF(B433="","",IF(L433&gt;0,INDEX('PEGAR'!$F$13:$F$512,L433),""))</f>
      </c>
      <c r="G433" s="39">
        <f>IF(B433="","",IF(OR(M433=0,N433&gt;0,O433&gt;0),"",SUMIFS('PEGAR'!$M$13:$M$512,'PEGAR'!$O$13:$O$512,B433)))</f>
      </c>
      <c r="H433" s="39">
        <f>IF(AND(ISNUMBER(F433),ISNUMBER(G433)),G433-F433,"")</f>
      </c>
      <c r="I433" s="27">
        <f>IF(B433="","",IF(W433=2,"ROJO",IF(W433=1,"ÁMBAR","VERDE")))</f>
      </c>
      <c r="J433" s="30">
        <f>IF(B433="","",IF(W433=0,"Sin avisos numéricos. Revisamos el alcance aparte.",IF(L433=0,"Faltan datos completos de partida; no elegimos un total por suposición."&amp;CHAR(10),"")&amp;IF(N433&gt;0,"Hay filas incompletas o contradictorias; las revisamos en PEGAR."&amp;CHAR(10),"")&amp;IF(O433&gt;0,"Faltan las medidas de alguna fila; no cerramos la suma."&amp;CHAR(10),"")&amp;IF(M433=0,"No constan líneas de medición."&amp;CHAR(10),"")&amp;IF(IF(ISNUMBER(H433),ROUND(ABS(H433),8)&gt;$F$6,FALSE),"Las líneas difieren del total en más de 0,01; confirmamos cantidad o exclusión."&amp;CHAR(10),"")&amp;IF(P433&gt;0,"Parece m³: encontramos tres dimensiones bajo m²."&amp;CHAR(10),"")&amp;IF(R433&gt;0,"Código repetido dentro del capítulo; mantenemos sus ID separados."&amp;CHAR(10),"")&amp;IF(S433&gt;0,"Código repetido en otro capítulo; no unimos las partidas."&amp;CHAR(10),"")&amp;IF(T433&gt;0,"Mismo código con unidades distintas; pedimos aclaración."&amp;CHAR(10),"")&amp;IF(Q433&gt;0,"Hay más precisión que los decimales indicados; cotejamos el formato original."&amp;CHAR(10),"")&amp;IF(U433&gt;0,"Unidad sin normalizar; cotejamos su significado antes de sumar unidades."&amp;CHAR(10),"")&amp;IF(V433&gt;0,"Revisamos dimensiones, cantidades directas, ceros o deducciones en PEGAR."&amp;CHAR(10),"")))</f>
      </c>
      <c r="K433" s="0">
        <f>IF(421&gt;'RESUMEN'!$E$6,"",MATCH(421,'PEGAR'!$W$13:$W$512,0))</f>
      </c>
      <c r="L433" s="0">
        <f>IF(K433="","",INDEX('PEGAR'!$R$13:$R$512,K433))</f>
      </c>
      <c r="M433" s="0">
        <f>IF(B433="","",COUNTIFS('PEGAR'!$O$13:$O$512,B433,'PEGAR'!$P$13:$P$512,"DIMENSIONES")+COUNTIFS('PEGAR'!$O$13:$O$512,B433,'PEGAR'!$P$13:$P$512,"DIRECTA"))</f>
      </c>
      <c r="N433" s="0">
        <f>IF(B433="","",COUNTIFS('PEGAR'!$O$13:$O$512,B433,'PEGAR'!$X$13:$X$512,2))</f>
      </c>
      <c r="O433" s="0">
        <f>IF(B433="","",COUNTIFS('PEGAR'!$O$13:$O$512,B433,'PEGAR'!$P$13:$P$512,"SIN LÍNEAS"))</f>
      </c>
      <c r="P433" s="0">
        <f>IF(B433="","",SUMIFS('PEGAR'!$Y$13:$Y$512,'PEGAR'!$O$13:$O$512,B433))</f>
      </c>
      <c r="Q433" s="0">
        <f>IF(B433="","",SUMIFS('PEGAR'!$Z$13:$Z$512,'PEGAR'!$O$13:$O$512,B433))</f>
      </c>
      <c r="R433" s="0" t="n">
        <f>IF(OR(B433="",D433=""),0,SUMPRODUCT(--($B$13:$B$512&lt;&gt;""),--($D$13:$D$512=D433),--($C$13:$C$512=C433))-1)</f>
        <v>0</v>
      </c>
      <c r="S433" s="0" t="n">
        <f>IF(OR(B433="",D433=""),0,SUMPRODUCT(--($B$13:$B$512&lt;&gt;""),--($D$13:$D$512=D433),--($C$13:$C$512&lt;&gt;C433)))</f>
        <v>0</v>
      </c>
      <c r="T433" s="0" t="n">
        <f>IF(OR(B433="",D433=""),0,SUMPRODUCT(--($B$13:$B$512&lt;&gt;""),--($D$13:$D$512=D433),--($E$13:$E$512&lt;&gt;E433)))</f>
        <v>0</v>
      </c>
      <c r="U433" s="0" t="n">
        <f>IF(B433="",0,IF(SUMPRODUCT(--('LÉEME'!$C$65:$C$86=E433))=0,1,0))</f>
        <v>0</v>
      </c>
      <c r="V433" s="0">
        <f>IF(B433="","",SUMIFS('PEGAR'!$AA$13:$AA$512,'PEGAR'!$O$13:$O$512,B433))</f>
      </c>
      <c r="W433" s="0">
        <f>IF(B433="","",IF(OR(L433=0,N433&gt;0,T433&gt;0,IF(ISNUMBER(H433),ROUND(ABS(H433),8)&gt;$F$6,FALSE)),2,IF(OR(M433=0,O433&gt;0,P433&gt;0,Q433&gt;0,R433&gt;0,S433&gt;0,U433&gt;0,V433&gt;0),1,0)))</f>
      </c>
      <c r="X433" s="0">
        <f>IF(B433="","",IF(ISNUMBER(G433),1,0))</f>
      </c>
      <c r="AB433" s="0">
        <f>IF(AND(ISNUMBER(W433),W433&gt;0),"ID "&amp;B433,"")</f>
      </c>
      <c r="AC433" s="0">
        <f>IF(AND(ISNUMBER(W433),W433&gt;0),C433,"")</f>
      </c>
      <c r="AD433" s="0">
        <f>IF(AND(ISNUMBER(W433),W433&gt;0),D433,"")</f>
      </c>
      <c r="AE433" s="0">
        <f>IF(AND(ISNUMBER(W433),W433&gt;0),IF(INDEX('PEGAR'!$D$13:$D$512,IF(L433&gt;0,L433,K433))="","Sin descripción",INDEX('PEGAR'!$D$13:$D$512,IF(L433&gt;0,L433,K433))),"")</f>
      </c>
      <c r="AF433" s="0">
        <f>IF(AND(ISNUMBER(W433),W433&gt;0),J433,"")</f>
      </c>
      <c r="AG433" s="0" t="n">
        <f>IF(AND(ISNUMBER(W433),W433&gt;0),W433,0)</f>
        <v>0</v>
      </c>
      <c r="AH433" s="0">
        <f>IF(AG433&gt;0,COUNTIFS($AG$13:AG433,"&gt;0"),"")</f>
      </c>
    </row>
    <row r="434" ht="22" customHeight="1">
      <c r="B434" s="27">
        <f>IF(K434="","",INDEX('PEGAR'!$O$13:$O$512,K434))</f>
      </c>
      <c r="C434" s="30">
        <f>IF(B434="","",IF(LEN(TRIM(INDEX('PEGAR'!$B$13:$B$512,IF(L434&gt;0,L434,K434))&amp;""))=0,"Sin capítulo",TRIM(INDEX('PEGAR'!$B$13:$B$512,IF(L434&gt;0,L434,K434))&amp;"")))</f>
      </c>
      <c r="D434" s="27">
        <f>IF(B434="","",IF(LEN(TRIM(INDEX('PEGAR'!$C$13:$C$512,IF(L434&gt;0,L434,K434))&amp;""))=0,"",TRIM(INDEX('PEGAR'!$C$13:$C$512,IF(L434&gt;0,L434,K434))&amp;"")))</f>
      </c>
      <c r="E434" s="27">
        <f>IF(B434="","",INDEX('PEGAR'!$S$13:$S$512,IF(L434&gt;0,L434,K434)))</f>
      </c>
      <c r="F434" s="39">
        <f>IF(B434="","",IF(L434&gt;0,INDEX('PEGAR'!$F$13:$F$512,L434),""))</f>
      </c>
      <c r="G434" s="39">
        <f>IF(B434="","",IF(OR(M434=0,N434&gt;0,O434&gt;0),"",SUMIFS('PEGAR'!$M$13:$M$512,'PEGAR'!$O$13:$O$512,B434)))</f>
      </c>
      <c r="H434" s="39">
        <f>IF(AND(ISNUMBER(F434),ISNUMBER(G434)),G434-F434,"")</f>
      </c>
      <c r="I434" s="27">
        <f>IF(B434="","",IF(W434=2,"ROJO",IF(W434=1,"ÁMBAR","VERDE")))</f>
      </c>
      <c r="J434" s="30">
        <f>IF(B434="","",IF(W434=0,"Sin avisos numéricos. Revisamos el alcance aparte.",IF(L434=0,"Faltan datos completos de partida; no elegimos un total por suposición."&amp;CHAR(10),"")&amp;IF(N434&gt;0,"Hay filas incompletas o contradictorias; las revisamos en PEGAR."&amp;CHAR(10),"")&amp;IF(O434&gt;0,"Faltan las medidas de alguna fila; no cerramos la suma."&amp;CHAR(10),"")&amp;IF(M434=0,"No constan líneas de medición."&amp;CHAR(10),"")&amp;IF(IF(ISNUMBER(H434),ROUND(ABS(H434),8)&gt;$F$6,FALSE),"Las líneas difieren del total en más de 0,01; confirmamos cantidad o exclusión."&amp;CHAR(10),"")&amp;IF(P434&gt;0,"Parece m³: encontramos tres dimensiones bajo m²."&amp;CHAR(10),"")&amp;IF(R434&gt;0,"Código repetido dentro del capítulo; mantenemos sus ID separados."&amp;CHAR(10),"")&amp;IF(S434&gt;0,"Código repetido en otro capítulo; no unimos las partidas."&amp;CHAR(10),"")&amp;IF(T434&gt;0,"Mismo código con unidades distintas; pedimos aclaración."&amp;CHAR(10),"")&amp;IF(Q434&gt;0,"Hay más precisión que los decimales indicados; cotejamos el formato original."&amp;CHAR(10),"")&amp;IF(U434&gt;0,"Unidad sin normalizar; cotejamos su significado antes de sumar unidades."&amp;CHAR(10),"")&amp;IF(V434&gt;0,"Revisamos dimensiones, cantidades directas, ceros o deducciones en PEGAR."&amp;CHAR(10),"")))</f>
      </c>
      <c r="K434" s="0">
        <f>IF(422&gt;'RESUMEN'!$E$6,"",MATCH(422,'PEGAR'!$W$13:$W$512,0))</f>
      </c>
      <c r="L434" s="0">
        <f>IF(K434="","",INDEX('PEGAR'!$R$13:$R$512,K434))</f>
      </c>
      <c r="M434" s="0">
        <f>IF(B434="","",COUNTIFS('PEGAR'!$O$13:$O$512,B434,'PEGAR'!$P$13:$P$512,"DIMENSIONES")+COUNTIFS('PEGAR'!$O$13:$O$512,B434,'PEGAR'!$P$13:$P$512,"DIRECTA"))</f>
      </c>
      <c r="N434" s="0">
        <f>IF(B434="","",COUNTIFS('PEGAR'!$O$13:$O$512,B434,'PEGAR'!$X$13:$X$512,2))</f>
      </c>
      <c r="O434" s="0">
        <f>IF(B434="","",COUNTIFS('PEGAR'!$O$13:$O$512,B434,'PEGAR'!$P$13:$P$512,"SIN LÍNEAS"))</f>
      </c>
      <c r="P434" s="0">
        <f>IF(B434="","",SUMIFS('PEGAR'!$Y$13:$Y$512,'PEGAR'!$O$13:$O$512,B434))</f>
      </c>
      <c r="Q434" s="0">
        <f>IF(B434="","",SUMIFS('PEGAR'!$Z$13:$Z$512,'PEGAR'!$O$13:$O$512,B434))</f>
      </c>
      <c r="R434" s="0" t="n">
        <f>IF(OR(B434="",D434=""),0,SUMPRODUCT(--($B$13:$B$512&lt;&gt;""),--($D$13:$D$512=D434),--($C$13:$C$512=C434))-1)</f>
        <v>0</v>
      </c>
      <c r="S434" s="0" t="n">
        <f>IF(OR(B434="",D434=""),0,SUMPRODUCT(--($B$13:$B$512&lt;&gt;""),--($D$13:$D$512=D434),--($C$13:$C$512&lt;&gt;C434)))</f>
        <v>0</v>
      </c>
      <c r="T434" s="0" t="n">
        <f>IF(OR(B434="",D434=""),0,SUMPRODUCT(--($B$13:$B$512&lt;&gt;""),--($D$13:$D$512=D434),--($E$13:$E$512&lt;&gt;E434)))</f>
        <v>0</v>
      </c>
      <c r="U434" s="0" t="n">
        <f>IF(B434="",0,IF(SUMPRODUCT(--('LÉEME'!$C$65:$C$86=E434))=0,1,0))</f>
        <v>0</v>
      </c>
      <c r="V434" s="0">
        <f>IF(B434="","",SUMIFS('PEGAR'!$AA$13:$AA$512,'PEGAR'!$O$13:$O$512,B434))</f>
      </c>
      <c r="W434" s="0">
        <f>IF(B434="","",IF(OR(L434=0,N434&gt;0,T434&gt;0,IF(ISNUMBER(H434),ROUND(ABS(H434),8)&gt;$F$6,FALSE)),2,IF(OR(M434=0,O434&gt;0,P434&gt;0,Q434&gt;0,R434&gt;0,S434&gt;0,U434&gt;0,V434&gt;0),1,0)))</f>
      </c>
      <c r="X434" s="0">
        <f>IF(B434="","",IF(ISNUMBER(G434),1,0))</f>
      </c>
      <c r="AB434" s="0">
        <f>IF(AND(ISNUMBER(W434),W434&gt;0),"ID "&amp;B434,"")</f>
      </c>
      <c r="AC434" s="0">
        <f>IF(AND(ISNUMBER(W434),W434&gt;0),C434,"")</f>
      </c>
      <c r="AD434" s="0">
        <f>IF(AND(ISNUMBER(W434),W434&gt;0),D434,"")</f>
      </c>
      <c r="AE434" s="0">
        <f>IF(AND(ISNUMBER(W434),W434&gt;0),IF(INDEX('PEGAR'!$D$13:$D$512,IF(L434&gt;0,L434,K434))="","Sin descripción",INDEX('PEGAR'!$D$13:$D$512,IF(L434&gt;0,L434,K434))),"")</f>
      </c>
      <c r="AF434" s="0">
        <f>IF(AND(ISNUMBER(W434),W434&gt;0),J434,"")</f>
      </c>
      <c r="AG434" s="0" t="n">
        <f>IF(AND(ISNUMBER(W434),W434&gt;0),W434,0)</f>
        <v>0</v>
      </c>
      <c r="AH434" s="0">
        <f>IF(AG434&gt;0,COUNTIFS($AG$13:AG434,"&gt;0"),"")</f>
      </c>
    </row>
    <row r="435" ht="22" customHeight="1">
      <c r="B435" s="27">
        <f>IF(K435="","",INDEX('PEGAR'!$O$13:$O$512,K435))</f>
      </c>
      <c r="C435" s="30">
        <f>IF(B435="","",IF(LEN(TRIM(INDEX('PEGAR'!$B$13:$B$512,IF(L435&gt;0,L435,K435))&amp;""))=0,"Sin capítulo",TRIM(INDEX('PEGAR'!$B$13:$B$512,IF(L435&gt;0,L435,K435))&amp;"")))</f>
      </c>
      <c r="D435" s="27">
        <f>IF(B435="","",IF(LEN(TRIM(INDEX('PEGAR'!$C$13:$C$512,IF(L435&gt;0,L435,K435))&amp;""))=0,"",TRIM(INDEX('PEGAR'!$C$13:$C$512,IF(L435&gt;0,L435,K435))&amp;"")))</f>
      </c>
      <c r="E435" s="27">
        <f>IF(B435="","",INDEX('PEGAR'!$S$13:$S$512,IF(L435&gt;0,L435,K435)))</f>
      </c>
      <c r="F435" s="39">
        <f>IF(B435="","",IF(L435&gt;0,INDEX('PEGAR'!$F$13:$F$512,L435),""))</f>
      </c>
      <c r="G435" s="39">
        <f>IF(B435="","",IF(OR(M435=0,N435&gt;0,O435&gt;0),"",SUMIFS('PEGAR'!$M$13:$M$512,'PEGAR'!$O$13:$O$512,B435)))</f>
      </c>
      <c r="H435" s="39">
        <f>IF(AND(ISNUMBER(F435),ISNUMBER(G435)),G435-F435,"")</f>
      </c>
      <c r="I435" s="27">
        <f>IF(B435="","",IF(W435=2,"ROJO",IF(W435=1,"ÁMBAR","VERDE")))</f>
      </c>
      <c r="J435" s="30">
        <f>IF(B435="","",IF(W435=0,"Sin avisos numéricos. Revisamos el alcance aparte.",IF(L435=0,"Faltan datos completos de partida; no elegimos un total por suposición."&amp;CHAR(10),"")&amp;IF(N435&gt;0,"Hay filas incompletas o contradictorias; las revisamos en PEGAR."&amp;CHAR(10),"")&amp;IF(O435&gt;0,"Faltan las medidas de alguna fila; no cerramos la suma."&amp;CHAR(10),"")&amp;IF(M435=0,"No constan líneas de medición."&amp;CHAR(10),"")&amp;IF(IF(ISNUMBER(H435),ROUND(ABS(H435),8)&gt;$F$6,FALSE),"Las líneas difieren del total en más de 0,01; confirmamos cantidad o exclusión."&amp;CHAR(10),"")&amp;IF(P435&gt;0,"Parece m³: encontramos tres dimensiones bajo m²."&amp;CHAR(10),"")&amp;IF(R435&gt;0,"Código repetido dentro del capítulo; mantenemos sus ID separados."&amp;CHAR(10),"")&amp;IF(S435&gt;0,"Código repetido en otro capítulo; no unimos las partidas."&amp;CHAR(10),"")&amp;IF(T435&gt;0,"Mismo código con unidades distintas; pedimos aclaración."&amp;CHAR(10),"")&amp;IF(Q435&gt;0,"Hay más precisión que los decimales indicados; cotejamos el formato original."&amp;CHAR(10),"")&amp;IF(U435&gt;0,"Unidad sin normalizar; cotejamos su significado antes de sumar unidades."&amp;CHAR(10),"")&amp;IF(V435&gt;0,"Revisamos dimensiones, cantidades directas, ceros o deducciones en PEGAR."&amp;CHAR(10),"")))</f>
      </c>
      <c r="K435" s="0">
        <f>IF(423&gt;'RESUMEN'!$E$6,"",MATCH(423,'PEGAR'!$W$13:$W$512,0))</f>
      </c>
      <c r="L435" s="0">
        <f>IF(K435="","",INDEX('PEGAR'!$R$13:$R$512,K435))</f>
      </c>
      <c r="M435" s="0">
        <f>IF(B435="","",COUNTIFS('PEGAR'!$O$13:$O$512,B435,'PEGAR'!$P$13:$P$512,"DIMENSIONES")+COUNTIFS('PEGAR'!$O$13:$O$512,B435,'PEGAR'!$P$13:$P$512,"DIRECTA"))</f>
      </c>
      <c r="N435" s="0">
        <f>IF(B435="","",COUNTIFS('PEGAR'!$O$13:$O$512,B435,'PEGAR'!$X$13:$X$512,2))</f>
      </c>
      <c r="O435" s="0">
        <f>IF(B435="","",COUNTIFS('PEGAR'!$O$13:$O$512,B435,'PEGAR'!$P$13:$P$512,"SIN LÍNEAS"))</f>
      </c>
      <c r="P435" s="0">
        <f>IF(B435="","",SUMIFS('PEGAR'!$Y$13:$Y$512,'PEGAR'!$O$13:$O$512,B435))</f>
      </c>
      <c r="Q435" s="0">
        <f>IF(B435="","",SUMIFS('PEGAR'!$Z$13:$Z$512,'PEGAR'!$O$13:$O$512,B435))</f>
      </c>
      <c r="R435" s="0" t="n">
        <f>IF(OR(B435="",D435=""),0,SUMPRODUCT(--($B$13:$B$512&lt;&gt;""),--($D$13:$D$512=D435),--($C$13:$C$512=C435))-1)</f>
        <v>0</v>
      </c>
      <c r="S435" s="0" t="n">
        <f>IF(OR(B435="",D435=""),0,SUMPRODUCT(--($B$13:$B$512&lt;&gt;""),--($D$13:$D$512=D435),--($C$13:$C$512&lt;&gt;C435)))</f>
        <v>0</v>
      </c>
      <c r="T435" s="0" t="n">
        <f>IF(OR(B435="",D435=""),0,SUMPRODUCT(--($B$13:$B$512&lt;&gt;""),--($D$13:$D$512=D435),--($E$13:$E$512&lt;&gt;E435)))</f>
        <v>0</v>
      </c>
      <c r="U435" s="0" t="n">
        <f>IF(B435="",0,IF(SUMPRODUCT(--('LÉEME'!$C$65:$C$86=E435))=0,1,0))</f>
        <v>0</v>
      </c>
      <c r="V435" s="0">
        <f>IF(B435="","",SUMIFS('PEGAR'!$AA$13:$AA$512,'PEGAR'!$O$13:$O$512,B435))</f>
      </c>
      <c r="W435" s="0">
        <f>IF(B435="","",IF(OR(L435=0,N435&gt;0,T435&gt;0,IF(ISNUMBER(H435),ROUND(ABS(H435),8)&gt;$F$6,FALSE)),2,IF(OR(M435=0,O435&gt;0,P435&gt;0,Q435&gt;0,R435&gt;0,S435&gt;0,U435&gt;0,V435&gt;0),1,0)))</f>
      </c>
      <c r="X435" s="0">
        <f>IF(B435="","",IF(ISNUMBER(G435),1,0))</f>
      </c>
      <c r="AB435" s="0">
        <f>IF(AND(ISNUMBER(W435),W435&gt;0),"ID "&amp;B435,"")</f>
      </c>
      <c r="AC435" s="0">
        <f>IF(AND(ISNUMBER(W435),W435&gt;0),C435,"")</f>
      </c>
      <c r="AD435" s="0">
        <f>IF(AND(ISNUMBER(W435),W435&gt;0),D435,"")</f>
      </c>
      <c r="AE435" s="0">
        <f>IF(AND(ISNUMBER(W435),W435&gt;0),IF(INDEX('PEGAR'!$D$13:$D$512,IF(L435&gt;0,L435,K435))="","Sin descripción",INDEX('PEGAR'!$D$13:$D$512,IF(L435&gt;0,L435,K435))),"")</f>
      </c>
      <c r="AF435" s="0">
        <f>IF(AND(ISNUMBER(W435),W435&gt;0),J435,"")</f>
      </c>
      <c r="AG435" s="0" t="n">
        <f>IF(AND(ISNUMBER(W435),W435&gt;0),W435,0)</f>
        <v>0</v>
      </c>
      <c r="AH435" s="0">
        <f>IF(AG435&gt;0,COUNTIFS($AG$13:AG435,"&gt;0"),"")</f>
      </c>
    </row>
    <row r="436" ht="22" customHeight="1">
      <c r="B436" s="27">
        <f>IF(K436="","",INDEX('PEGAR'!$O$13:$O$512,K436))</f>
      </c>
      <c r="C436" s="30">
        <f>IF(B436="","",IF(LEN(TRIM(INDEX('PEGAR'!$B$13:$B$512,IF(L436&gt;0,L436,K436))&amp;""))=0,"Sin capítulo",TRIM(INDEX('PEGAR'!$B$13:$B$512,IF(L436&gt;0,L436,K436))&amp;"")))</f>
      </c>
      <c r="D436" s="27">
        <f>IF(B436="","",IF(LEN(TRIM(INDEX('PEGAR'!$C$13:$C$512,IF(L436&gt;0,L436,K436))&amp;""))=0,"",TRIM(INDEX('PEGAR'!$C$13:$C$512,IF(L436&gt;0,L436,K436))&amp;"")))</f>
      </c>
      <c r="E436" s="27">
        <f>IF(B436="","",INDEX('PEGAR'!$S$13:$S$512,IF(L436&gt;0,L436,K436)))</f>
      </c>
      <c r="F436" s="39">
        <f>IF(B436="","",IF(L436&gt;0,INDEX('PEGAR'!$F$13:$F$512,L436),""))</f>
      </c>
      <c r="G436" s="39">
        <f>IF(B436="","",IF(OR(M436=0,N436&gt;0,O436&gt;0),"",SUMIFS('PEGAR'!$M$13:$M$512,'PEGAR'!$O$13:$O$512,B436)))</f>
      </c>
      <c r="H436" s="39">
        <f>IF(AND(ISNUMBER(F436),ISNUMBER(G436)),G436-F436,"")</f>
      </c>
      <c r="I436" s="27">
        <f>IF(B436="","",IF(W436=2,"ROJO",IF(W436=1,"ÁMBAR","VERDE")))</f>
      </c>
      <c r="J436" s="30">
        <f>IF(B436="","",IF(W436=0,"Sin avisos numéricos. Revisamos el alcance aparte.",IF(L436=0,"Faltan datos completos de partida; no elegimos un total por suposición."&amp;CHAR(10),"")&amp;IF(N436&gt;0,"Hay filas incompletas o contradictorias; las revisamos en PEGAR."&amp;CHAR(10),"")&amp;IF(O436&gt;0,"Faltan las medidas de alguna fila; no cerramos la suma."&amp;CHAR(10),"")&amp;IF(M436=0,"No constan líneas de medición."&amp;CHAR(10),"")&amp;IF(IF(ISNUMBER(H436),ROUND(ABS(H436),8)&gt;$F$6,FALSE),"Las líneas difieren del total en más de 0,01; confirmamos cantidad o exclusión."&amp;CHAR(10),"")&amp;IF(P436&gt;0,"Parece m³: encontramos tres dimensiones bajo m²."&amp;CHAR(10),"")&amp;IF(R436&gt;0,"Código repetido dentro del capítulo; mantenemos sus ID separados."&amp;CHAR(10),"")&amp;IF(S436&gt;0,"Código repetido en otro capítulo; no unimos las partidas."&amp;CHAR(10),"")&amp;IF(T436&gt;0,"Mismo código con unidades distintas; pedimos aclaración."&amp;CHAR(10),"")&amp;IF(Q436&gt;0,"Hay más precisión que los decimales indicados; cotejamos el formato original."&amp;CHAR(10),"")&amp;IF(U436&gt;0,"Unidad sin normalizar; cotejamos su significado antes de sumar unidades."&amp;CHAR(10),"")&amp;IF(V436&gt;0,"Revisamos dimensiones, cantidades directas, ceros o deducciones en PEGAR."&amp;CHAR(10),"")))</f>
      </c>
      <c r="K436" s="0">
        <f>IF(424&gt;'RESUMEN'!$E$6,"",MATCH(424,'PEGAR'!$W$13:$W$512,0))</f>
      </c>
      <c r="L436" s="0">
        <f>IF(K436="","",INDEX('PEGAR'!$R$13:$R$512,K436))</f>
      </c>
      <c r="M436" s="0">
        <f>IF(B436="","",COUNTIFS('PEGAR'!$O$13:$O$512,B436,'PEGAR'!$P$13:$P$512,"DIMENSIONES")+COUNTIFS('PEGAR'!$O$13:$O$512,B436,'PEGAR'!$P$13:$P$512,"DIRECTA"))</f>
      </c>
      <c r="N436" s="0">
        <f>IF(B436="","",COUNTIFS('PEGAR'!$O$13:$O$512,B436,'PEGAR'!$X$13:$X$512,2))</f>
      </c>
      <c r="O436" s="0">
        <f>IF(B436="","",COUNTIFS('PEGAR'!$O$13:$O$512,B436,'PEGAR'!$P$13:$P$512,"SIN LÍNEAS"))</f>
      </c>
      <c r="P436" s="0">
        <f>IF(B436="","",SUMIFS('PEGAR'!$Y$13:$Y$512,'PEGAR'!$O$13:$O$512,B436))</f>
      </c>
      <c r="Q436" s="0">
        <f>IF(B436="","",SUMIFS('PEGAR'!$Z$13:$Z$512,'PEGAR'!$O$13:$O$512,B436))</f>
      </c>
      <c r="R436" s="0" t="n">
        <f>IF(OR(B436="",D436=""),0,SUMPRODUCT(--($B$13:$B$512&lt;&gt;""),--($D$13:$D$512=D436),--($C$13:$C$512=C436))-1)</f>
        <v>0</v>
      </c>
      <c r="S436" s="0" t="n">
        <f>IF(OR(B436="",D436=""),0,SUMPRODUCT(--($B$13:$B$512&lt;&gt;""),--($D$13:$D$512=D436),--($C$13:$C$512&lt;&gt;C436)))</f>
        <v>0</v>
      </c>
      <c r="T436" s="0" t="n">
        <f>IF(OR(B436="",D436=""),0,SUMPRODUCT(--($B$13:$B$512&lt;&gt;""),--($D$13:$D$512=D436),--($E$13:$E$512&lt;&gt;E436)))</f>
        <v>0</v>
      </c>
      <c r="U436" s="0" t="n">
        <f>IF(B436="",0,IF(SUMPRODUCT(--('LÉEME'!$C$65:$C$86=E436))=0,1,0))</f>
        <v>0</v>
      </c>
      <c r="V436" s="0">
        <f>IF(B436="","",SUMIFS('PEGAR'!$AA$13:$AA$512,'PEGAR'!$O$13:$O$512,B436))</f>
      </c>
      <c r="W436" s="0">
        <f>IF(B436="","",IF(OR(L436=0,N436&gt;0,T436&gt;0,IF(ISNUMBER(H436),ROUND(ABS(H436),8)&gt;$F$6,FALSE)),2,IF(OR(M436=0,O436&gt;0,P436&gt;0,Q436&gt;0,R436&gt;0,S436&gt;0,U436&gt;0,V436&gt;0),1,0)))</f>
      </c>
      <c r="X436" s="0">
        <f>IF(B436="","",IF(ISNUMBER(G436),1,0))</f>
      </c>
      <c r="AB436" s="0">
        <f>IF(AND(ISNUMBER(W436),W436&gt;0),"ID "&amp;B436,"")</f>
      </c>
      <c r="AC436" s="0">
        <f>IF(AND(ISNUMBER(W436),W436&gt;0),C436,"")</f>
      </c>
      <c r="AD436" s="0">
        <f>IF(AND(ISNUMBER(W436),W436&gt;0),D436,"")</f>
      </c>
      <c r="AE436" s="0">
        <f>IF(AND(ISNUMBER(W436),W436&gt;0),IF(INDEX('PEGAR'!$D$13:$D$512,IF(L436&gt;0,L436,K436))="","Sin descripción",INDEX('PEGAR'!$D$13:$D$512,IF(L436&gt;0,L436,K436))),"")</f>
      </c>
      <c r="AF436" s="0">
        <f>IF(AND(ISNUMBER(W436),W436&gt;0),J436,"")</f>
      </c>
      <c r="AG436" s="0" t="n">
        <f>IF(AND(ISNUMBER(W436),W436&gt;0),W436,0)</f>
        <v>0</v>
      </c>
      <c r="AH436" s="0">
        <f>IF(AG436&gt;0,COUNTIFS($AG$13:AG436,"&gt;0"),"")</f>
      </c>
    </row>
    <row r="437" ht="22" customHeight="1">
      <c r="B437" s="27">
        <f>IF(K437="","",INDEX('PEGAR'!$O$13:$O$512,K437))</f>
      </c>
      <c r="C437" s="30">
        <f>IF(B437="","",IF(LEN(TRIM(INDEX('PEGAR'!$B$13:$B$512,IF(L437&gt;0,L437,K437))&amp;""))=0,"Sin capítulo",TRIM(INDEX('PEGAR'!$B$13:$B$512,IF(L437&gt;0,L437,K437))&amp;"")))</f>
      </c>
      <c r="D437" s="27">
        <f>IF(B437="","",IF(LEN(TRIM(INDEX('PEGAR'!$C$13:$C$512,IF(L437&gt;0,L437,K437))&amp;""))=0,"",TRIM(INDEX('PEGAR'!$C$13:$C$512,IF(L437&gt;0,L437,K437))&amp;"")))</f>
      </c>
      <c r="E437" s="27">
        <f>IF(B437="","",INDEX('PEGAR'!$S$13:$S$512,IF(L437&gt;0,L437,K437)))</f>
      </c>
      <c r="F437" s="39">
        <f>IF(B437="","",IF(L437&gt;0,INDEX('PEGAR'!$F$13:$F$512,L437),""))</f>
      </c>
      <c r="G437" s="39">
        <f>IF(B437="","",IF(OR(M437=0,N437&gt;0,O437&gt;0),"",SUMIFS('PEGAR'!$M$13:$M$512,'PEGAR'!$O$13:$O$512,B437)))</f>
      </c>
      <c r="H437" s="39">
        <f>IF(AND(ISNUMBER(F437),ISNUMBER(G437)),G437-F437,"")</f>
      </c>
      <c r="I437" s="27">
        <f>IF(B437="","",IF(W437=2,"ROJO",IF(W437=1,"ÁMBAR","VERDE")))</f>
      </c>
      <c r="J437" s="30">
        <f>IF(B437="","",IF(W437=0,"Sin avisos numéricos. Revisamos el alcance aparte.",IF(L437=0,"Faltan datos completos de partida; no elegimos un total por suposición."&amp;CHAR(10),"")&amp;IF(N437&gt;0,"Hay filas incompletas o contradictorias; las revisamos en PEGAR."&amp;CHAR(10),"")&amp;IF(O437&gt;0,"Faltan las medidas de alguna fila; no cerramos la suma."&amp;CHAR(10),"")&amp;IF(M437=0,"No constan líneas de medición."&amp;CHAR(10),"")&amp;IF(IF(ISNUMBER(H437),ROUND(ABS(H437),8)&gt;$F$6,FALSE),"Las líneas difieren del total en más de 0,01; confirmamos cantidad o exclusión."&amp;CHAR(10),"")&amp;IF(P437&gt;0,"Parece m³: encontramos tres dimensiones bajo m²."&amp;CHAR(10),"")&amp;IF(R437&gt;0,"Código repetido dentro del capítulo; mantenemos sus ID separados."&amp;CHAR(10),"")&amp;IF(S437&gt;0,"Código repetido en otro capítulo; no unimos las partidas."&amp;CHAR(10),"")&amp;IF(T437&gt;0,"Mismo código con unidades distintas; pedimos aclaración."&amp;CHAR(10),"")&amp;IF(Q437&gt;0,"Hay más precisión que los decimales indicados; cotejamos el formato original."&amp;CHAR(10),"")&amp;IF(U437&gt;0,"Unidad sin normalizar; cotejamos su significado antes de sumar unidades."&amp;CHAR(10),"")&amp;IF(V437&gt;0,"Revisamos dimensiones, cantidades directas, ceros o deducciones en PEGAR."&amp;CHAR(10),"")))</f>
      </c>
      <c r="K437" s="0">
        <f>IF(425&gt;'RESUMEN'!$E$6,"",MATCH(425,'PEGAR'!$W$13:$W$512,0))</f>
      </c>
      <c r="L437" s="0">
        <f>IF(K437="","",INDEX('PEGAR'!$R$13:$R$512,K437))</f>
      </c>
      <c r="M437" s="0">
        <f>IF(B437="","",COUNTIFS('PEGAR'!$O$13:$O$512,B437,'PEGAR'!$P$13:$P$512,"DIMENSIONES")+COUNTIFS('PEGAR'!$O$13:$O$512,B437,'PEGAR'!$P$13:$P$512,"DIRECTA"))</f>
      </c>
      <c r="N437" s="0">
        <f>IF(B437="","",COUNTIFS('PEGAR'!$O$13:$O$512,B437,'PEGAR'!$X$13:$X$512,2))</f>
      </c>
      <c r="O437" s="0">
        <f>IF(B437="","",COUNTIFS('PEGAR'!$O$13:$O$512,B437,'PEGAR'!$P$13:$P$512,"SIN LÍNEAS"))</f>
      </c>
      <c r="P437" s="0">
        <f>IF(B437="","",SUMIFS('PEGAR'!$Y$13:$Y$512,'PEGAR'!$O$13:$O$512,B437))</f>
      </c>
      <c r="Q437" s="0">
        <f>IF(B437="","",SUMIFS('PEGAR'!$Z$13:$Z$512,'PEGAR'!$O$13:$O$512,B437))</f>
      </c>
      <c r="R437" s="0" t="n">
        <f>IF(OR(B437="",D437=""),0,SUMPRODUCT(--($B$13:$B$512&lt;&gt;""),--($D$13:$D$512=D437),--($C$13:$C$512=C437))-1)</f>
        <v>0</v>
      </c>
      <c r="S437" s="0" t="n">
        <f>IF(OR(B437="",D437=""),0,SUMPRODUCT(--($B$13:$B$512&lt;&gt;""),--($D$13:$D$512=D437),--($C$13:$C$512&lt;&gt;C437)))</f>
        <v>0</v>
      </c>
      <c r="T437" s="0" t="n">
        <f>IF(OR(B437="",D437=""),0,SUMPRODUCT(--($B$13:$B$512&lt;&gt;""),--($D$13:$D$512=D437),--($E$13:$E$512&lt;&gt;E437)))</f>
        <v>0</v>
      </c>
      <c r="U437" s="0" t="n">
        <f>IF(B437="",0,IF(SUMPRODUCT(--('LÉEME'!$C$65:$C$86=E437))=0,1,0))</f>
        <v>0</v>
      </c>
      <c r="V437" s="0">
        <f>IF(B437="","",SUMIFS('PEGAR'!$AA$13:$AA$512,'PEGAR'!$O$13:$O$512,B437))</f>
      </c>
      <c r="W437" s="0">
        <f>IF(B437="","",IF(OR(L437=0,N437&gt;0,T437&gt;0,IF(ISNUMBER(H437),ROUND(ABS(H437),8)&gt;$F$6,FALSE)),2,IF(OR(M437=0,O437&gt;0,P437&gt;0,Q437&gt;0,R437&gt;0,S437&gt;0,U437&gt;0,V437&gt;0),1,0)))</f>
      </c>
      <c r="X437" s="0">
        <f>IF(B437="","",IF(ISNUMBER(G437),1,0))</f>
      </c>
      <c r="AB437" s="0">
        <f>IF(AND(ISNUMBER(W437),W437&gt;0),"ID "&amp;B437,"")</f>
      </c>
      <c r="AC437" s="0">
        <f>IF(AND(ISNUMBER(W437),W437&gt;0),C437,"")</f>
      </c>
      <c r="AD437" s="0">
        <f>IF(AND(ISNUMBER(W437),W437&gt;0),D437,"")</f>
      </c>
      <c r="AE437" s="0">
        <f>IF(AND(ISNUMBER(W437),W437&gt;0),IF(INDEX('PEGAR'!$D$13:$D$512,IF(L437&gt;0,L437,K437))="","Sin descripción",INDEX('PEGAR'!$D$13:$D$512,IF(L437&gt;0,L437,K437))),"")</f>
      </c>
      <c r="AF437" s="0">
        <f>IF(AND(ISNUMBER(W437),W437&gt;0),J437,"")</f>
      </c>
      <c r="AG437" s="0" t="n">
        <f>IF(AND(ISNUMBER(W437),W437&gt;0),W437,0)</f>
        <v>0</v>
      </c>
      <c r="AH437" s="0">
        <f>IF(AG437&gt;0,COUNTIFS($AG$13:AG437,"&gt;0"),"")</f>
      </c>
    </row>
    <row r="438" ht="22" customHeight="1">
      <c r="B438" s="27">
        <f>IF(K438="","",INDEX('PEGAR'!$O$13:$O$512,K438))</f>
      </c>
      <c r="C438" s="30">
        <f>IF(B438="","",IF(LEN(TRIM(INDEX('PEGAR'!$B$13:$B$512,IF(L438&gt;0,L438,K438))&amp;""))=0,"Sin capítulo",TRIM(INDEX('PEGAR'!$B$13:$B$512,IF(L438&gt;0,L438,K438))&amp;"")))</f>
      </c>
      <c r="D438" s="27">
        <f>IF(B438="","",IF(LEN(TRIM(INDEX('PEGAR'!$C$13:$C$512,IF(L438&gt;0,L438,K438))&amp;""))=0,"",TRIM(INDEX('PEGAR'!$C$13:$C$512,IF(L438&gt;0,L438,K438))&amp;"")))</f>
      </c>
      <c r="E438" s="27">
        <f>IF(B438="","",INDEX('PEGAR'!$S$13:$S$512,IF(L438&gt;0,L438,K438)))</f>
      </c>
      <c r="F438" s="39">
        <f>IF(B438="","",IF(L438&gt;0,INDEX('PEGAR'!$F$13:$F$512,L438),""))</f>
      </c>
      <c r="G438" s="39">
        <f>IF(B438="","",IF(OR(M438=0,N438&gt;0,O438&gt;0),"",SUMIFS('PEGAR'!$M$13:$M$512,'PEGAR'!$O$13:$O$512,B438)))</f>
      </c>
      <c r="H438" s="39">
        <f>IF(AND(ISNUMBER(F438),ISNUMBER(G438)),G438-F438,"")</f>
      </c>
      <c r="I438" s="27">
        <f>IF(B438="","",IF(W438=2,"ROJO",IF(W438=1,"ÁMBAR","VERDE")))</f>
      </c>
      <c r="J438" s="30">
        <f>IF(B438="","",IF(W438=0,"Sin avisos numéricos. Revisamos el alcance aparte.",IF(L438=0,"Faltan datos completos de partida; no elegimos un total por suposición."&amp;CHAR(10),"")&amp;IF(N438&gt;0,"Hay filas incompletas o contradictorias; las revisamos en PEGAR."&amp;CHAR(10),"")&amp;IF(O438&gt;0,"Faltan las medidas de alguna fila; no cerramos la suma."&amp;CHAR(10),"")&amp;IF(M438=0,"No constan líneas de medición."&amp;CHAR(10),"")&amp;IF(IF(ISNUMBER(H438),ROUND(ABS(H438),8)&gt;$F$6,FALSE),"Las líneas difieren del total en más de 0,01; confirmamos cantidad o exclusión."&amp;CHAR(10),"")&amp;IF(P438&gt;0,"Parece m³: encontramos tres dimensiones bajo m²."&amp;CHAR(10),"")&amp;IF(R438&gt;0,"Código repetido dentro del capítulo; mantenemos sus ID separados."&amp;CHAR(10),"")&amp;IF(S438&gt;0,"Código repetido en otro capítulo; no unimos las partidas."&amp;CHAR(10),"")&amp;IF(T438&gt;0,"Mismo código con unidades distintas; pedimos aclaración."&amp;CHAR(10),"")&amp;IF(Q438&gt;0,"Hay más precisión que los decimales indicados; cotejamos el formato original."&amp;CHAR(10),"")&amp;IF(U438&gt;0,"Unidad sin normalizar; cotejamos su significado antes de sumar unidades."&amp;CHAR(10),"")&amp;IF(V438&gt;0,"Revisamos dimensiones, cantidades directas, ceros o deducciones en PEGAR."&amp;CHAR(10),"")))</f>
      </c>
      <c r="K438" s="0">
        <f>IF(426&gt;'RESUMEN'!$E$6,"",MATCH(426,'PEGAR'!$W$13:$W$512,0))</f>
      </c>
      <c r="L438" s="0">
        <f>IF(K438="","",INDEX('PEGAR'!$R$13:$R$512,K438))</f>
      </c>
      <c r="M438" s="0">
        <f>IF(B438="","",COUNTIFS('PEGAR'!$O$13:$O$512,B438,'PEGAR'!$P$13:$P$512,"DIMENSIONES")+COUNTIFS('PEGAR'!$O$13:$O$512,B438,'PEGAR'!$P$13:$P$512,"DIRECTA"))</f>
      </c>
      <c r="N438" s="0">
        <f>IF(B438="","",COUNTIFS('PEGAR'!$O$13:$O$512,B438,'PEGAR'!$X$13:$X$512,2))</f>
      </c>
      <c r="O438" s="0">
        <f>IF(B438="","",COUNTIFS('PEGAR'!$O$13:$O$512,B438,'PEGAR'!$P$13:$P$512,"SIN LÍNEAS"))</f>
      </c>
      <c r="P438" s="0">
        <f>IF(B438="","",SUMIFS('PEGAR'!$Y$13:$Y$512,'PEGAR'!$O$13:$O$512,B438))</f>
      </c>
      <c r="Q438" s="0">
        <f>IF(B438="","",SUMIFS('PEGAR'!$Z$13:$Z$512,'PEGAR'!$O$13:$O$512,B438))</f>
      </c>
      <c r="R438" s="0" t="n">
        <f>IF(OR(B438="",D438=""),0,SUMPRODUCT(--($B$13:$B$512&lt;&gt;""),--($D$13:$D$512=D438),--($C$13:$C$512=C438))-1)</f>
        <v>0</v>
      </c>
      <c r="S438" s="0" t="n">
        <f>IF(OR(B438="",D438=""),0,SUMPRODUCT(--($B$13:$B$512&lt;&gt;""),--($D$13:$D$512=D438),--($C$13:$C$512&lt;&gt;C438)))</f>
        <v>0</v>
      </c>
      <c r="T438" s="0" t="n">
        <f>IF(OR(B438="",D438=""),0,SUMPRODUCT(--($B$13:$B$512&lt;&gt;""),--($D$13:$D$512=D438),--($E$13:$E$512&lt;&gt;E438)))</f>
        <v>0</v>
      </c>
      <c r="U438" s="0" t="n">
        <f>IF(B438="",0,IF(SUMPRODUCT(--('LÉEME'!$C$65:$C$86=E438))=0,1,0))</f>
        <v>0</v>
      </c>
      <c r="V438" s="0">
        <f>IF(B438="","",SUMIFS('PEGAR'!$AA$13:$AA$512,'PEGAR'!$O$13:$O$512,B438))</f>
      </c>
      <c r="W438" s="0">
        <f>IF(B438="","",IF(OR(L438=0,N438&gt;0,T438&gt;0,IF(ISNUMBER(H438),ROUND(ABS(H438),8)&gt;$F$6,FALSE)),2,IF(OR(M438=0,O438&gt;0,P438&gt;0,Q438&gt;0,R438&gt;0,S438&gt;0,U438&gt;0,V438&gt;0),1,0)))</f>
      </c>
      <c r="X438" s="0">
        <f>IF(B438="","",IF(ISNUMBER(G438),1,0))</f>
      </c>
      <c r="AB438" s="0">
        <f>IF(AND(ISNUMBER(W438),W438&gt;0),"ID "&amp;B438,"")</f>
      </c>
      <c r="AC438" s="0">
        <f>IF(AND(ISNUMBER(W438),W438&gt;0),C438,"")</f>
      </c>
      <c r="AD438" s="0">
        <f>IF(AND(ISNUMBER(W438),W438&gt;0),D438,"")</f>
      </c>
      <c r="AE438" s="0">
        <f>IF(AND(ISNUMBER(W438),W438&gt;0),IF(INDEX('PEGAR'!$D$13:$D$512,IF(L438&gt;0,L438,K438))="","Sin descripción",INDEX('PEGAR'!$D$13:$D$512,IF(L438&gt;0,L438,K438))),"")</f>
      </c>
      <c r="AF438" s="0">
        <f>IF(AND(ISNUMBER(W438),W438&gt;0),J438,"")</f>
      </c>
      <c r="AG438" s="0" t="n">
        <f>IF(AND(ISNUMBER(W438),W438&gt;0),W438,0)</f>
        <v>0</v>
      </c>
      <c r="AH438" s="0">
        <f>IF(AG438&gt;0,COUNTIFS($AG$13:AG438,"&gt;0"),"")</f>
      </c>
    </row>
    <row r="439" ht="22" customHeight="1">
      <c r="B439" s="27">
        <f>IF(K439="","",INDEX('PEGAR'!$O$13:$O$512,K439))</f>
      </c>
      <c r="C439" s="30">
        <f>IF(B439="","",IF(LEN(TRIM(INDEX('PEGAR'!$B$13:$B$512,IF(L439&gt;0,L439,K439))&amp;""))=0,"Sin capítulo",TRIM(INDEX('PEGAR'!$B$13:$B$512,IF(L439&gt;0,L439,K439))&amp;"")))</f>
      </c>
      <c r="D439" s="27">
        <f>IF(B439="","",IF(LEN(TRIM(INDEX('PEGAR'!$C$13:$C$512,IF(L439&gt;0,L439,K439))&amp;""))=0,"",TRIM(INDEX('PEGAR'!$C$13:$C$512,IF(L439&gt;0,L439,K439))&amp;"")))</f>
      </c>
      <c r="E439" s="27">
        <f>IF(B439="","",INDEX('PEGAR'!$S$13:$S$512,IF(L439&gt;0,L439,K439)))</f>
      </c>
      <c r="F439" s="39">
        <f>IF(B439="","",IF(L439&gt;0,INDEX('PEGAR'!$F$13:$F$512,L439),""))</f>
      </c>
      <c r="G439" s="39">
        <f>IF(B439="","",IF(OR(M439=0,N439&gt;0,O439&gt;0),"",SUMIFS('PEGAR'!$M$13:$M$512,'PEGAR'!$O$13:$O$512,B439)))</f>
      </c>
      <c r="H439" s="39">
        <f>IF(AND(ISNUMBER(F439),ISNUMBER(G439)),G439-F439,"")</f>
      </c>
      <c r="I439" s="27">
        <f>IF(B439="","",IF(W439=2,"ROJO",IF(W439=1,"ÁMBAR","VERDE")))</f>
      </c>
      <c r="J439" s="30">
        <f>IF(B439="","",IF(W439=0,"Sin avisos numéricos. Revisamos el alcance aparte.",IF(L439=0,"Faltan datos completos de partida; no elegimos un total por suposición."&amp;CHAR(10),"")&amp;IF(N439&gt;0,"Hay filas incompletas o contradictorias; las revisamos en PEGAR."&amp;CHAR(10),"")&amp;IF(O439&gt;0,"Faltan las medidas de alguna fila; no cerramos la suma."&amp;CHAR(10),"")&amp;IF(M439=0,"No constan líneas de medición."&amp;CHAR(10),"")&amp;IF(IF(ISNUMBER(H439),ROUND(ABS(H439),8)&gt;$F$6,FALSE),"Las líneas difieren del total en más de 0,01; confirmamos cantidad o exclusión."&amp;CHAR(10),"")&amp;IF(P439&gt;0,"Parece m³: encontramos tres dimensiones bajo m²."&amp;CHAR(10),"")&amp;IF(R439&gt;0,"Código repetido dentro del capítulo; mantenemos sus ID separados."&amp;CHAR(10),"")&amp;IF(S439&gt;0,"Código repetido en otro capítulo; no unimos las partidas."&amp;CHAR(10),"")&amp;IF(T439&gt;0,"Mismo código con unidades distintas; pedimos aclaración."&amp;CHAR(10),"")&amp;IF(Q439&gt;0,"Hay más precisión que los decimales indicados; cotejamos el formato original."&amp;CHAR(10),"")&amp;IF(U439&gt;0,"Unidad sin normalizar; cotejamos su significado antes de sumar unidades."&amp;CHAR(10),"")&amp;IF(V439&gt;0,"Revisamos dimensiones, cantidades directas, ceros o deducciones en PEGAR."&amp;CHAR(10),"")))</f>
      </c>
      <c r="K439" s="0">
        <f>IF(427&gt;'RESUMEN'!$E$6,"",MATCH(427,'PEGAR'!$W$13:$W$512,0))</f>
      </c>
      <c r="L439" s="0">
        <f>IF(K439="","",INDEX('PEGAR'!$R$13:$R$512,K439))</f>
      </c>
      <c r="M439" s="0">
        <f>IF(B439="","",COUNTIFS('PEGAR'!$O$13:$O$512,B439,'PEGAR'!$P$13:$P$512,"DIMENSIONES")+COUNTIFS('PEGAR'!$O$13:$O$512,B439,'PEGAR'!$P$13:$P$512,"DIRECTA"))</f>
      </c>
      <c r="N439" s="0">
        <f>IF(B439="","",COUNTIFS('PEGAR'!$O$13:$O$512,B439,'PEGAR'!$X$13:$X$512,2))</f>
      </c>
      <c r="O439" s="0">
        <f>IF(B439="","",COUNTIFS('PEGAR'!$O$13:$O$512,B439,'PEGAR'!$P$13:$P$512,"SIN LÍNEAS"))</f>
      </c>
      <c r="P439" s="0">
        <f>IF(B439="","",SUMIFS('PEGAR'!$Y$13:$Y$512,'PEGAR'!$O$13:$O$512,B439))</f>
      </c>
      <c r="Q439" s="0">
        <f>IF(B439="","",SUMIFS('PEGAR'!$Z$13:$Z$512,'PEGAR'!$O$13:$O$512,B439))</f>
      </c>
      <c r="R439" s="0" t="n">
        <f>IF(OR(B439="",D439=""),0,SUMPRODUCT(--($B$13:$B$512&lt;&gt;""),--($D$13:$D$512=D439),--($C$13:$C$512=C439))-1)</f>
        <v>0</v>
      </c>
      <c r="S439" s="0" t="n">
        <f>IF(OR(B439="",D439=""),0,SUMPRODUCT(--($B$13:$B$512&lt;&gt;""),--($D$13:$D$512=D439),--($C$13:$C$512&lt;&gt;C439)))</f>
        <v>0</v>
      </c>
      <c r="T439" s="0" t="n">
        <f>IF(OR(B439="",D439=""),0,SUMPRODUCT(--($B$13:$B$512&lt;&gt;""),--($D$13:$D$512=D439),--($E$13:$E$512&lt;&gt;E439)))</f>
        <v>0</v>
      </c>
      <c r="U439" s="0" t="n">
        <f>IF(B439="",0,IF(SUMPRODUCT(--('LÉEME'!$C$65:$C$86=E439))=0,1,0))</f>
        <v>0</v>
      </c>
      <c r="V439" s="0">
        <f>IF(B439="","",SUMIFS('PEGAR'!$AA$13:$AA$512,'PEGAR'!$O$13:$O$512,B439))</f>
      </c>
      <c r="W439" s="0">
        <f>IF(B439="","",IF(OR(L439=0,N439&gt;0,T439&gt;0,IF(ISNUMBER(H439),ROUND(ABS(H439),8)&gt;$F$6,FALSE)),2,IF(OR(M439=0,O439&gt;0,P439&gt;0,Q439&gt;0,R439&gt;0,S439&gt;0,U439&gt;0,V439&gt;0),1,0)))</f>
      </c>
      <c r="X439" s="0">
        <f>IF(B439="","",IF(ISNUMBER(G439),1,0))</f>
      </c>
      <c r="AB439" s="0">
        <f>IF(AND(ISNUMBER(W439),W439&gt;0),"ID "&amp;B439,"")</f>
      </c>
      <c r="AC439" s="0">
        <f>IF(AND(ISNUMBER(W439),W439&gt;0),C439,"")</f>
      </c>
      <c r="AD439" s="0">
        <f>IF(AND(ISNUMBER(W439),W439&gt;0),D439,"")</f>
      </c>
      <c r="AE439" s="0">
        <f>IF(AND(ISNUMBER(W439),W439&gt;0),IF(INDEX('PEGAR'!$D$13:$D$512,IF(L439&gt;0,L439,K439))="","Sin descripción",INDEX('PEGAR'!$D$13:$D$512,IF(L439&gt;0,L439,K439))),"")</f>
      </c>
      <c r="AF439" s="0">
        <f>IF(AND(ISNUMBER(W439),W439&gt;0),J439,"")</f>
      </c>
      <c r="AG439" s="0" t="n">
        <f>IF(AND(ISNUMBER(W439),W439&gt;0),W439,0)</f>
        <v>0</v>
      </c>
      <c r="AH439" s="0">
        <f>IF(AG439&gt;0,COUNTIFS($AG$13:AG439,"&gt;0"),"")</f>
      </c>
    </row>
    <row r="440" ht="22" customHeight="1">
      <c r="B440" s="27">
        <f>IF(K440="","",INDEX('PEGAR'!$O$13:$O$512,K440))</f>
      </c>
      <c r="C440" s="30">
        <f>IF(B440="","",IF(LEN(TRIM(INDEX('PEGAR'!$B$13:$B$512,IF(L440&gt;0,L440,K440))&amp;""))=0,"Sin capítulo",TRIM(INDEX('PEGAR'!$B$13:$B$512,IF(L440&gt;0,L440,K440))&amp;"")))</f>
      </c>
      <c r="D440" s="27">
        <f>IF(B440="","",IF(LEN(TRIM(INDEX('PEGAR'!$C$13:$C$512,IF(L440&gt;0,L440,K440))&amp;""))=0,"",TRIM(INDEX('PEGAR'!$C$13:$C$512,IF(L440&gt;0,L440,K440))&amp;"")))</f>
      </c>
      <c r="E440" s="27">
        <f>IF(B440="","",INDEX('PEGAR'!$S$13:$S$512,IF(L440&gt;0,L440,K440)))</f>
      </c>
      <c r="F440" s="39">
        <f>IF(B440="","",IF(L440&gt;0,INDEX('PEGAR'!$F$13:$F$512,L440),""))</f>
      </c>
      <c r="G440" s="39">
        <f>IF(B440="","",IF(OR(M440=0,N440&gt;0,O440&gt;0),"",SUMIFS('PEGAR'!$M$13:$M$512,'PEGAR'!$O$13:$O$512,B440)))</f>
      </c>
      <c r="H440" s="39">
        <f>IF(AND(ISNUMBER(F440),ISNUMBER(G440)),G440-F440,"")</f>
      </c>
      <c r="I440" s="27">
        <f>IF(B440="","",IF(W440=2,"ROJO",IF(W440=1,"ÁMBAR","VERDE")))</f>
      </c>
      <c r="J440" s="30">
        <f>IF(B440="","",IF(W440=0,"Sin avisos numéricos. Revisamos el alcance aparte.",IF(L440=0,"Faltan datos completos de partida; no elegimos un total por suposición."&amp;CHAR(10),"")&amp;IF(N440&gt;0,"Hay filas incompletas o contradictorias; las revisamos en PEGAR."&amp;CHAR(10),"")&amp;IF(O440&gt;0,"Faltan las medidas de alguna fila; no cerramos la suma."&amp;CHAR(10),"")&amp;IF(M440=0,"No constan líneas de medición."&amp;CHAR(10),"")&amp;IF(IF(ISNUMBER(H440),ROUND(ABS(H440),8)&gt;$F$6,FALSE),"Las líneas difieren del total en más de 0,01; confirmamos cantidad o exclusión."&amp;CHAR(10),"")&amp;IF(P440&gt;0,"Parece m³: encontramos tres dimensiones bajo m²."&amp;CHAR(10),"")&amp;IF(R440&gt;0,"Código repetido dentro del capítulo; mantenemos sus ID separados."&amp;CHAR(10),"")&amp;IF(S440&gt;0,"Código repetido en otro capítulo; no unimos las partidas."&amp;CHAR(10),"")&amp;IF(T440&gt;0,"Mismo código con unidades distintas; pedimos aclaración."&amp;CHAR(10),"")&amp;IF(Q440&gt;0,"Hay más precisión que los decimales indicados; cotejamos el formato original."&amp;CHAR(10),"")&amp;IF(U440&gt;0,"Unidad sin normalizar; cotejamos su significado antes de sumar unidades."&amp;CHAR(10),"")&amp;IF(V440&gt;0,"Revisamos dimensiones, cantidades directas, ceros o deducciones en PEGAR."&amp;CHAR(10),"")))</f>
      </c>
      <c r="K440" s="0">
        <f>IF(428&gt;'RESUMEN'!$E$6,"",MATCH(428,'PEGAR'!$W$13:$W$512,0))</f>
      </c>
      <c r="L440" s="0">
        <f>IF(K440="","",INDEX('PEGAR'!$R$13:$R$512,K440))</f>
      </c>
      <c r="M440" s="0">
        <f>IF(B440="","",COUNTIFS('PEGAR'!$O$13:$O$512,B440,'PEGAR'!$P$13:$P$512,"DIMENSIONES")+COUNTIFS('PEGAR'!$O$13:$O$512,B440,'PEGAR'!$P$13:$P$512,"DIRECTA"))</f>
      </c>
      <c r="N440" s="0">
        <f>IF(B440="","",COUNTIFS('PEGAR'!$O$13:$O$512,B440,'PEGAR'!$X$13:$X$512,2))</f>
      </c>
      <c r="O440" s="0">
        <f>IF(B440="","",COUNTIFS('PEGAR'!$O$13:$O$512,B440,'PEGAR'!$P$13:$P$512,"SIN LÍNEAS"))</f>
      </c>
      <c r="P440" s="0">
        <f>IF(B440="","",SUMIFS('PEGAR'!$Y$13:$Y$512,'PEGAR'!$O$13:$O$512,B440))</f>
      </c>
      <c r="Q440" s="0">
        <f>IF(B440="","",SUMIFS('PEGAR'!$Z$13:$Z$512,'PEGAR'!$O$13:$O$512,B440))</f>
      </c>
      <c r="R440" s="0" t="n">
        <f>IF(OR(B440="",D440=""),0,SUMPRODUCT(--($B$13:$B$512&lt;&gt;""),--($D$13:$D$512=D440),--($C$13:$C$512=C440))-1)</f>
        <v>0</v>
      </c>
      <c r="S440" s="0" t="n">
        <f>IF(OR(B440="",D440=""),0,SUMPRODUCT(--($B$13:$B$512&lt;&gt;""),--($D$13:$D$512=D440),--($C$13:$C$512&lt;&gt;C440)))</f>
        <v>0</v>
      </c>
      <c r="T440" s="0" t="n">
        <f>IF(OR(B440="",D440=""),0,SUMPRODUCT(--($B$13:$B$512&lt;&gt;""),--($D$13:$D$512=D440),--($E$13:$E$512&lt;&gt;E440)))</f>
        <v>0</v>
      </c>
      <c r="U440" s="0" t="n">
        <f>IF(B440="",0,IF(SUMPRODUCT(--('LÉEME'!$C$65:$C$86=E440))=0,1,0))</f>
        <v>0</v>
      </c>
      <c r="V440" s="0">
        <f>IF(B440="","",SUMIFS('PEGAR'!$AA$13:$AA$512,'PEGAR'!$O$13:$O$512,B440))</f>
      </c>
      <c r="W440" s="0">
        <f>IF(B440="","",IF(OR(L440=0,N440&gt;0,T440&gt;0,IF(ISNUMBER(H440),ROUND(ABS(H440),8)&gt;$F$6,FALSE)),2,IF(OR(M440=0,O440&gt;0,P440&gt;0,Q440&gt;0,R440&gt;0,S440&gt;0,U440&gt;0,V440&gt;0),1,0)))</f>
      </c>
      <c r="X440" s="0">
        <f>IF(B440="","",IF(ISNUMBER(G440),1,0))</f>
      </c>
      <c r="AB440" s="0">
        <f>IF(AND(ISNUMBER(W440),W440&gt;0),"ID "&amp;B440,"")</f>
      </c>
      <c r="AC440" s="0">
        <f>IF(AND(ISNUMBER(W440),W440&gt;0),C440,"")</f>
      </c>
      <c r="AD440" s="0">
        <f>IF(AND(ISNUMBER(W440),W440&gt;0),D440,"")</f>
      </c>
      <c r="AE440" s="0">
        <f>IF(AND(ISNUMBER(W440),W440&gt;0),IF(INDEX('PEGAR'!$D$13:$D$512,IF(L440&gt;0,L440,K440))="","Sin descripción",INDEX('PEGAR'!$D$13:$D$512,IF(L440&gt;0,L440,K440))),"")</f>
      </c>
      <c r="AF440" s="0">
        <f>IF(AND(ISNUMBER(W440),W440&gt;0),J440,"")</f>
      </c>
      <c r="AG440" s="0" t="n">
        <f>IF(AND(ISNUMBER(W440),W440&gt;0),W440,0)</f>
        <v>0</v>
      </c>
      <c r="AH440" s="0">
        <f>IF(AG440&gt;0,COUNTIFS($AG$13:AG440,"&gt;0"),"")</f>
      </c>
    </row>
    <row r="441" ht="22" customHeight="1">
      <c r="B441" s="27">
        <f>IF(K441="","",INDEX('PEGAR'!$O$13:$O$512,K441))</f>
      </c>
      <c r="C441" s="30">
        <f>IF(B441="","",IF(LEN(TRIM(INDEX('PEGAR'!$B$13:$B$512,IF(L441&gt;0,L441,K441))&amp;""))=0,"Sin capítulo",TRIM(INDEX('PEGAR'!$B$13:$B$512,IF(L441&gt;0,L441,K441))&amp;"")))</f>
      </c>
      <c r="D441" s="27">
        <f>IF(B441="","",IF(LEN(TRIM(INDEX('PEGAR'!$C$13:$C$512,IF(L441&gt;0,L441,K441))&amp;""))=0,"",TRIM(INDEX('PEGAR'!$C$13:$C$512,IF(L441&gt;0,L441,K441))&amp;"")))</f>
      </c>
      <c r="E441" s="27">
        <f>IF(B441="","",INDEX('PEGAR'!$S$13:$S$512,IF(L441&gt;0,L441,K441)))</f>
      </c>
      <c r="F441" s="39">
        <f>IF(B441="","",IF(L441&gt;0,INDEX('PEGAR'!$F$13:$F$512,L441),""))</f>
      </c>
      <c r="G441" s="39">
        <f>IF(B441="","",IF(OR(M441=0,N441&gt;0,O441&gt;0),"",SUMIFS('PEGAR'!$M$13:$M$512,'PEGAR'!$O$13:$O$512,B441)))</f>
      </c>
      <c r="H441" s="39">
        <f>IF(AND(ISNUMBER(F441),ISNUMBER(G441)),G441-F441,"")</f>
      </c>
      <c r="I441" s="27">
        <f>IF(B441="","",IF(W441=2,"ROJO",IF(W441=1,"ÁMBAR","VERDE")))</f>
      </c>
      <c r="J441" s="30">
        <f>IF(B441="","",IF(W441=0,"Sin avisos numéricos. Revisamos el alcance aparte.",IF(L441=0,"Faltan datos completos de partida; no elegimos un total por suposición."&amp;CHAR(10),"")&amp;IF(N441&gt;0,"Hay filas incompletas o contradictorias; las revisamos en PEGAR."&amp;CHAR(10),"")&amp;IF(O441&gt;0,"Faltan las medidas de alguna fila; no cerramos la suma."&amp;CHAR(10),"")&amp;IF(M441=0,"No constan líneas de medición."&amp;CHAR(10),"")&amp;IF(IF(ISNUMBER(H441),ROUND(ABS(H441),8)&gt;$F$6,FALSE),"Las líneas difieren del total en más de 0,01; confirmamos cantidad o exclusión."&amp;CHAR(10),"")&amp;IF(P441&gt;0,"Parece m³: encontramos tres dimensiones bajo m²."&amp;CHAR(10),"")&amp;IF(R441&gt;0,"Código repetido dentro del capítulo; mantenemos sus ID separados."&amp;CHAR(10),"")&amp;IF(S441&gt;0,"Código repetido en otro capítulo; no unimos las partidas."&amp;CHAR(10),"")&amp;IF(T441&gt;0,"Mismo código con unidades distintas; pedimos aclaración."&amp;CHAR(10),"")&amp;IF(Q441&gt;0,"Hay más precisión que los decimales indicados; cotejamos el formato original."&amp;CHAR(10),"")&amp;IF(U441&gt;0,"Unidad sin normalizar; cotejamos su significado antes de sumar unidades."&amp;CHAR(10),"")&amp;IF(V441&gt;0,"Revisamos dimensiones, cantidades directas, ceros o deducciones en PEGAR."&amp;CHAR(10),"")))</f>
      </c>
      <c r="K441" s="0">
        <f>IF(429&gt;'RESUMEN'!$E$6,"",MATCH(429,'PEGAR'!$W$13:$W$512,0))</f>
      </c>
      <c r="L441" s="0">
        <f>IF(K441="","",INDEX('PEGAR'!$R$13:$R$512,K441))</f>
      </c>
      <c r="M441" s="0">
        <f>IF(B441="","",COUNTIFS('PEGAR'!$O$13:$O$512,B441,'PEGAR'!$P$13:$P$512,"DIMENSIONES")+COUNTIFS('PEGAR'!$O$13:$O$512,B441,'PEGAR'!$P$13:$P$512,"DIRECTA"))</f>
      </c>
      <c r="N441" s="0">
        <f>IF(B441="","",COUNTIFS('PEGAR'!$O$13:$O$512,B441,'PEGAR'!$X$13:$X$512,2))</f>
      </c>
      <c r="O441" s="0">
        <f>IF(B441="","",COUNTIFS('PEGAR'!$O$13:$O$512,B441,'PEGAR'!$P$13:$P$512,"SIN LÍNEAS"))</f>
      </c>
      <c r="P441" s="0">
        <f>IF(B441="","",SUMIFS('PEGAR'!$Y$13:$Y$512,'PEGAR'!$O$13:$O$512,B441))</f>
      </c>
      <c r="Q441" s="0">
        <f>IF(B441="","",SUMIFS('PEGAR'!$Z$13:$Z$512,'PEGAR'!$O$13:$O$512,B441))</f>
      </c>
      <c r="R441" s="0" t="n">
        <f>IF(OR(B441="",D441=""),0,SUMPRODUCT(--($B$13:$B$512&lt;&gt;""),--($D$13:$D$512=D441),--($C$13:$C$512=C441))-1)</f>
        <v>0</v>
      </c>
      <c r="S441" s="0" t="n">
        <f>IF(OR(B441="",D441=""),0,SUMPRODUCT(--($B$13:$B$512&lt;&gt;""),--($D$13:$D$512=D441),--($C$13:$C$512&lt;&gt;C441)))</f>
        <v>0</v>
      </c>
      <c r="T441" s="0" t="n">
        <f>IF(OR(B441="",D441=""),0,SUMPRODUCT(--($B$13:$B$512&lt;&gt;""),--($D$13:$D$512=D441),--($E$13:$E$512&lt;&gt;E441)))</f>
        <v>0</v>
      </c>
      <c r="U441" s="0" t="n">
        <f>IF(B441="",0,IF(SUMPRODUCT(--('LÉEME'!$C$65:$C$86=E441))=0,1,0))</f>
        <v>0</v>
      </c>
      <c r="V441" s="0">
        <f>IF(B441="","",SUMIFS('PEGAR'!$AA$13:$AA$512,'PEGAR'!$O$13:$O$512,B441))</f>
      </c>
      <c r="W441" s="0">
        <f>IF(B441="","",IF(OR(L441=0,N441&gt;0,T441&gt;0,IF(ISNUMBER(H441),ROUND(ABS(H441),8)&gt;$F$6,FALSE)),2,IF(OR(M441=0,O441&gt;0,P441&gt;0,Q441&gt;0,R441&gt;0,S441&gt;0,U441&gt;0,V441&gt;0),1,0)))</f>
      </c>
      <c r="X441" s="0">
        <f>IF(B441="","",IF(ISNUMBER(G441),1,0))</f>
      </c>
      <c r="AB441" s="0">
        <f>IF(AND(ISNUMBER(W441),W441&gt;0),"ID "&amp;B441,"")</f>
      </c>
      <c r="AC441" s="0">
        <f>IF(AND(ISNUMBER(W441),W441&gt;0),C441,"")</f>
      </c>
      <c r="AD441" s="0">
        <f>IF(AND(ISNUMBER(W441),W441&gt;0),D441,"")</f>
      </c>
      <c r="AE441" s="0">
        <f>IF(AND(ISNUMBER(W441),W441&gt;0),IF(INDEX('PEGAR'!$D$13:$D$512,IF(L441&gt;0,L441,K441))="","Sin descripción",INDEX('PEGAR'!$D$13:$D$512,IF(L441&gt;0,L441,K441))),"")</f>
      </c>
      <c r="AF441" s="0">
        <f>IF(AND(ISNUMBER(W441),W441&gt;0),J441,"")</f>
      </c>
      <c r="AG441" s="0" t="n">
        <f>IF(AND(ISNUMBER(W441),W441&gt;0),W441,0)</f>
        <v>0</v>
      </c>
      <c r="AH441" s="0">
        <f>IF(AG441&gt;0,COUNTIFS($AG$13:AG441,"&gt;0"),"")</f>
      </c>
    </row>
    <row r="442" ht="22" customHeight="1">
      <c r="B442" s="27">
        <f>IF(K442="","",INDEX('PEGAR'!$O$13:$O$512,K442))</f>
      </c>
      <c r="C442" s="30">
        <f>IF(B442="","",IF(LEN(TRIM(INDEX('PEGAR'!$B$13:$B$512,IF(L442&gt;0,L442,K442))&amp;""))=0,"Sin capítulo",TRIM(INDEX('PEGAR'!$B$13:$B$512,IF(L442&gt;0,L442,K442))&amp;"")))</f>
      </c>
      <c r="D442" s="27">
        <f>IF(B442="","",IF(LEN(TRIM(INDEX('PEGAR'!$C$13:$C$512,IF(L442&gt;0,L442,K442))&amp;""))=0,"",TRIM(INDEX('PEGAR'!$C$13:$C$512,IF(L442&gt;0,L442,K442))&amp;"")))</f>
      </c>
      <c r="E442" s="27">
        <f>IF(B442="","",INDEX('PEGAR'!$S$13:$S$512,IF(L442&gt;0,L442,K442)))</f>
      </c>
      <c r="F442" s="39">
        <f>IF(B442="","",IF(L442&gt;0,INDEX('PEGAR'!$F$13:$F$512,L442),""))</f>
      </c>
      <c r="G442" s="39">
        <f>IF(B442="","",IF(OR(M442=0,N442&gt;0,O442&gt;0),"",SUMIFS('PEGAR'!$M$13:$M$512,'PEGAR'!$O$13:$O$512,B442)))</f>
      </c>
      <c r="H442" s="39">
        <f>IF(AND(ISNUMBER(F442),ISNUMBER(G442)),G442-F442,"")</f>
      </c>
      <c r="I442" s="27">
        <f>IF(B442="","",IF(W442=2,"ROJO",IF(W442=1,"ÁMBAR","VERDE")))</f>
      </c>
      <c r="J442" s="30">
        <f>IF(B442="","",IF(W442=0,"Sin avisos numéricos. Revisamos el alcance aparte.",IF(L442=0,"Faltan datos completos de partida; no elegimos un total por suposición."&amp;CHAR(10),"")&amp;IF(N442&gt;0,"Hay filas incompletas o contradictorias; las revisamos en PEGAR."&amp;CHAR(10),"")&amp;IF(O442&gt;0,"Faltan las medidas de alguna fila; no cerramos la suma."&amp;CHAR(10),"")&amp;IF(M442=0,"No constan líneas de medición."&amp;CHAR(10),"")&amp;IF(IF(ISNUMBER(H442),ROUND(ABS(H442),8)&gt;$F$6,FALSE),"Las líneas difieren del total en más de 0,01; confirmamos cantidad o exclusión."&amp;CHAR(10),"")&amp;IF(P442&gt;0,"Parece m³: encontramos tres dimensiones bajo m²."&amp;CHAR(10),"")&amp;IF(R442&gt;0,"Código repetido dentro del capítulo; mantenemos sus ID separados."&amp;CHAR(10),"")&amp;IF(S442&gt;0,"Código repetido en otro capítulo; no unimos las partidas."&amp;CHAR(10),"")&amp;IF(T442&gt;0,"Mismo código con unidades distintas; pedimos aclaración."&amp;CHAR(10),"")&amp;IF(Q442&gt;0,"Hay más precisión que los decimales indicados; cotejamos el formato original."&amp;CHAR(10),"")&amp;IF(U442&gt;0,"Unidad sin normalizar; cotejamos su significado antes de sumar unidades."&amp;CHAR(10),"")&amp;IF(V442&gt;0,"Revisamos dimensiones, cantidades directas, ceros o deducciones en PEGAR."&amp;CHAR(10),"")))</f>
      </c>
      <c r="K442" s="0">
        <f>IF(430&gt;'RESUMEN'!$E$6,"",MATCH(430,'PEGAR'!$W$13:$W$512,0))</f>
      </c>
      <c r="L442" s="0">
        <f>IF(K442="","",INDEX('PEGAR'!$R$13:$R$512,K442))</f>
      </c>
      <c r="M442" s="0">
        <f>IF(B442="","",COUNTIFS('PEGAR'!$O$13:$O$512,B442,'PEGAR'!$P$13:$P$512,"DIMENSIONES")+COUNTIFS('PEGAR'!$O$13:$O$512,B442,'PEGAR'!$P$13:$P$512,"DIRECTA"))</f>
      </c>
      <c r="N442" s="0">
        <f>IF(B442="","",COUNTIFS('PEGAR'!$O$13:$O$512,B442,'PEGAR'!$X$13:$X$512,2))</f>
      </c>
      <c r="O442" s="0">
        <f>IF(B442="","",COUNTIFS('PEGAR'!$O$13:$O$512,B442,'PEGAR'!$P$13:$P$512,"SIN LÍNEAS"))</f>
      </c>
      <c r="P442" s="0">
        <f>IF(B442="","",SUMIFS('PEGAR'!$Y$13:$Y$512,'PEGAR'!$O$13:$O$512,B442))</f>
      </c>
      <c r="Q442" s="0">
        <f>IF(B442="","",SUMIFS('PEGAR'!$Z$13:$Z$512,'PEGAR'!$O$13:$O$512,B442))</f>
      </c>
      <c r="R442" s="0" t="n">
        <f>IF(OR(B442="",D442=""),0,SUMPRODUCT(--($B$13:$B$512&lt;&gt;""),--($D$13:$D$512=D442),--($C$13:$C$512=C442))-1)</f>
        <v>0</v>
      </c>
      <c r="S442" s="0" t="n">
        <f>IF(OR(B442="",D442=""),0,SUMPRODUCT(--($B$13:$B$512&lt;&gt;""),--($D$13:$D$512=D442),--($C$13:$C$512&lt;&gt;C442)))</f>
        <v>0</v>
      </c>
      <c r="T442" s="0" t="n">
        <f>IF(OR(B442="",D442=""),0,SUMPRODUCT(--($B$13:$B$512&lt;&gt;""),--($D$13:$D$512=D442),--($E$13:$E$512&lt;&gt;E442)))</f>
        <v>0</v>
      </c>
      <c r="U442" s="0" t="n">
        <f>IF(B442="",0,IF(SUMPRODUCT(--('LÉEME'!$C$65:$C$86=E442))=0,1,0))</f>
        <v>0</v>
      </c>
      <c r="V442" s="0">
        <f>IF(B442="","",SUMIFS('PEGAR'!$AA$13:$AA$512,'PEGAR'!$O$13:$O$512,B442))</f>
      </c>
      <c r="W442" s="0">
        <f>IF(B442="","",IF(OR(L442=0,N442&gt;0,T442&gt;0,IF(ISNUMBER(H442),ROUND(ABS(H442),8)&gt;$F$6,FALSE)),2,IF(OR(M442=0,O442&gt;0,P442&gt;0,Q442&gt;0,R442&gt;0,S442&gt;0,U442&gt;0,V442&gt;0),1,0)))</f>
      </c>
      <c r="X442" s="0">
        <f>IF(B442="","",IF(ISNUMBER(G442),1,0))</f>
      </c>
      <c r="AB442" s="0">
        <f>IF(AND(ISNUMBER(W442),W442&gt;0),"ID "&amp;B442,"")</f>
      </c>
      <c r="AC442" s="0">
        <f>IF(AND(ISNUMBER(W442),W442&gt;0),C442,"")</f>
      </c>
      <c r="AD442" s="0">
        <f>IF(AND(ISNUMBER(W442),W442&gt;0),D442,"")</f>
      </c>
      <c r="AE442" s="0">
        <f>IF(AND(ISNUMBER(W442),W442&gt;0),IF(INDEX('PEGAR'!$D$13:$D$512,IF(L442&gt;0,L442,K442))="","Sin descripción",INDEX('PEGAR'!$D$13:$D$512,IF(L442&gt;0,L442,K442))),"")</f>
      </c>
      <c r="AF442" s="0">
        <f>IF(AND(ISNUMBER(W442),W442&gt;0),J442,"")</f>
      </c>
      <c r="AG442" s="0" t="n">
        <f>IF(AND(ISNUMBER(W442),W442&gt;0),W442,0)</f>
        <v>0</v>
      </c>
      <c r="AH442" s="0">
        <f>IF(AG442&gt;0,COUNTIFS($AG$13:AG442,"&gt;0"),"")</f>
      </c>
    </row>
    <row r="443" ht="22" customHeight="1">
      <c r="B443" s="27">
        <f>IF(K443="","",INDEX('PEGAR'!$O$13:$O$512,K443))</f>
      </c>
      <c r="C443" s="30">
        <f>IF(B443="","",IF(LEN(TRIM(INDEX('PEGAR'!$B$13:$B$512,IF(L443&gt;0,L443,K443))&amp;""))=0,"Sin capítulo",TRIM(INDEX('PEGAR'!$B$13:$B$512,IF(L443&gt;0,L443,K443))&amp;"")))</f>
      </c>
      <c r="D443" s="27">
        <f>IF(B443="","",IF(LEN(TRIM(INDEX('PEGAR'!$C$13:$C$512,IF(L443&gt;0,L443,K443))&amp;""))=0,"",TRIM(INDEX('PEGAR'!$C$13:$C$512,IF(L443&gt;0,L443,K443))&amp;"")))</f>
      </c>
      <c r="E443" s="27">
        <f>IF(B443="","",INDEX('PEGAR'!$S$13:$S$512,IF(L443&gt;0,L443,K443)))</f>
      </c>
      <c r="F443" s="39">
        <f>IF(B443="","",IF(L443&gt;0,INDEX('PEGAR'!$F$13:$F$512,L443),""))</f>
      </c>
      <c r="G443" s="39">
        <f>IF(B443="","",IF(OR(M443=0,N443&gt;0,O443&gt;0),"",SUMIFS('PEGAR'!$M$13:$M$512,'PEGAR'!$O$13:$O$512,B443)))</f>
      </c>
      <c r="H443" s="39">
        <f>IF(AND(ISNUMBER(F443),ISNUMBER(G443)),G443-F443,"")</f>
      </c>
      <c r="I443" s="27">
        <f>IF(B443="","",IF(W443=2,"ROJO",IF(W443=1,"ÁMBAR","VERDE")))</f>
      </c>
      <c r="J443" s="30">
        <f>IF(B443="","",IF(W443=0,"Sin avisos numéricos. Revisamos el alcance aparte.",IF(L443=0,"Faltan datos completos de partida; no elegimos un total por suposición."&amp;CHAR(10),"")&amp;IF(N443&gt;0,"Hay filas incompletas o contradictorias; las revisamos en PEGAR."&amp;CHAR(10),"")&amp;IF(O443&gt;0,"Faltan las medidas de alguna fila; no cerramos la suma."&amp;CHAR(10),"")&amp;IF(M443=0,"No constan líneas de medición."&amp;CHAR(10),"")&amp;IF(IF(ISNUMBER(H443),ROUND(ABS(H443),8)&gt;$F$6,FALSE),"Las líneas difieren del total en más de 0,01; confirmamos cantidad o exclusión."&amp;CHAR(10),"")&amp;IF(P443&gt;0,"Parece m³: encontramos tres dimensiones bajo m²."&amp;CHAR(10),"")&amp;IF(R443&gt;0,"Código repetido dentro del capítulo; mantenemos sus ID separados."&amp;CHAR(10),"")&amp;IF(S443&gt;0,"Código repetido en otro capítulo; no unimos las partidas."&amp;CHAR(10),"")&amp;IF(T443&gt;0,"Mismo código con unidades distintas; pedimos aclaración."&amp;CHAR(10),"")&amp;IF(Q443&gt;0,"Hay más precisión que los decimales indicados; cotejamos el formato original."&amp;CHAR(10),"")&amp;IF(U443&gt;0,"Unidad sin normalizar; cotejamos su significado antes de sumar unidades."&amp;CHAR(10),"")&amp;IF(V443&gt;0,"Revisamos dimensiones, cantidades directas, ceros o deducciones en PEGAR."&amp;CHAR(10),"")))</f>
      </c>
      <c r="K443" s="0">
        <f>IF(431&gt;'RESUMEN'!$E$6,"",MATCH(431,'PEGAR'!$W$13:$W$512,0))</f>
      </c>
      <c r="L443" s="0">
        <f>IF(K443="","",INDEX('PEGAR'!$R$13:$R$512,K443))</f>
      </c>
      <c r="M443" s="0">
        <f>IF(B443="","",COUNTIFS('PEGAR'!$O$13:$O$512,B443,'PEGAR'!$P$13:$P$512,"DIMENSIONES")+COUNTIFS('PEGAR'!$O$13:$O$512,B443,'PEGAR'!$P$13:$P$512,"DIRECTA"))</f>
      </c>
      <c r="N443" s="0">
        <f>IF(B443="","",COUNTIFS('PEGAR'!$O$13:$O$512,B443,'PEGAR'!$X$13:$X$512,2))</f>
      </c>
      <c r="O443" s="0">
        <f>IF(B443="","",COUNTIFS('PEGAR'!$O$13:$O$512,B443,'PEGAR'!$P$13:$P$512,"SIN LÍNEAS"))</f>
      </c>
      <c r="P443" s="0">
        <f>IF(B443="","",SUMIFS('PEGAR'!$Y$13:$Y$512,'PEGAR'!$O$13:$O$512,B443))</f>
      </c>
      <c r="Q443" s="0">
        <f>IF(B443="","",SUMIFS('PEGAR'!$Z$13:$Z$512,'PEGAR'!$O$13:$O$512,B443))</f>
      </c>
      <c r="R443" s="0" t="n">
        <f>IF(OR(B443="",D443=""),0,SUMPRODUCT(--($B$13:$B$512&lt;&gt;""),--($D$13:$D$512=D443),--($C$13:$C$512=C443))-1)</f>
        <v>0</v>
      </c>
      <c r="S443" s="0" t="n">
        <f>IF(OR(B443="",D443=""),0,SUMPRODUCT(--($B$13:$B$512&lt;&gt;""),--($D$13:$D$512=D443),--($C$13:$C$512&lt;&gt;C443)))</f>
        <v>0</v>
      </c>
      <c r="T443" s="0" t="n">
        <f>IF(OR(B443="",D443=""),0,SUMPRODUCT(--($B$13:$B$512&lt;&gt;""),--($D$13:$D$512=D443),--($E$13:$E$512&lt;&gt;E443)))</f>
        <v>0</v>
      </c>
      <c r="U443" s="0" t="n">
        <f>IF(B443="",0,IF(SUMPRODUCT(--('LÉEME'!$C$65:$C$86=E443))=0,1,0))</f>
        <v>0</v>
      </c>
      <c r="V443" s="0">
        <f>IF(B443="","",SUMIFS('PEGAR'!$AA$13:$AA$512,'PEGAR'!$O$13:$O$512,B443))</f>
      </c>
      <c r="W443" s="0">
        <f>IF(B443="","",IF(OR(L443=0,N443&gt;0,T443&gt;0,IF(ISNUMBER(H443),ROUND(ABS(H443),8)&gt;$F$6,FALSE)),2,IF(OR(M443=0,O443&gt;0,P443&gt;0,Q443&gt;0,R443&gt;0,S443&gt;0,U443&gt;0,V443&gt;0),1,0)))</f>
      </c>
      <c r="X443" s="0">
        <f>IF(B443="","",IF(ISNUMBER(G443),1,0))</f>
      </c>
      <c r="AB443" s="0">
        <f>IF(AND(ISNUMBER(W443),W443&gt;0),"ID "&amp;B443,"")</f>
      </c>
      <c r="AC443" s="0">
        <f>IF(AND(ISNUMBER(W443),W443&gt;0),C443,"")</f>
      </c>
      <c r="AD443" s="0">
        <f>IF(AND(ISNUMBER(W443),W443&gt;0),D443,"")</f>
      </c>
      <c r="AE443" s="0">
        <f>IF(AND(ISNUMBER(W443),W443&gt;0),IF(INDEX('PEGAR'!$D$13:$D$512,IF(L443&gt;0,L443,K443))="","Sin descripción",INDEX('PEGAR'!$D$13:$D$512,IF(L443&gt;0,L443,K443))),"")</f>
      </c>
      <c r="AF443" s="0">
        <f>IF(AND(ISNUMBER(W443),W443&gt;0),J443,"")</f>
      </c>
      <c r="AG443" s="0" t="n">
        <f>IF(AND(ISNUMBER(W443),W443&gt;0),W443,0)</f>
        <v>0</v>
      </c>
      <c r="AH443" s="0">
        <f>IF(AG443&gt;0,COUNTIFS($AG$13:AG443,"&gt;0"),"")</f>
      </c>
    </row>
    <row r="444" ht="22" customHeight="1">
      <c r="B444" s="27">
        <f>IF(K444="","",INDEX('PEGAR'!$O$13:$O$512,K444))</f>
      </c>
      <c r="C444" s="30">
        <f>IF(B444="","",IF(LEN(TRIM(INDEX('PEGAR'!$B$13:$B$512,IF(L444&gt;0,L444,K444))&amp;""))=0,"Sin capítulo",TRIM(INDEX('PEGAR'!$B$13:$B$512,IF(L444&gt;0,L444,K444))&amp;"")))</f>
      </c>
      <c r="D444" s="27">
        <f>IF(B444="","",IF(LEN(TRIM(INDEX('PEGAR'!$C$13:$C$512,IF(L444&gt;0,L444,K444))&amp;""))=0,"",TRIM(INDEX('PEGAR'!$C$13:$C$512,IF(L444&gt;0,L444,K444))&amp;"")))</f>
      </c>
      <c r="E444" s="27">
        <f>IF(B444="","",INDEX('PEGAR'!$S$13:$S$512,IF(L444&gt;0,L444,K444)))</f>
      </c>
      <c r="F444" s="39">
        <f>IF(B444="","",IF(L444&gt;0,INDEX('PEGAR'!$F$13:$F$512,L444),""))</f>
      </c>
      <c r="G444" s="39">
        <f>IF(B444="","",IF(OR(M444=0,N444&gt;0,O444&gt;0),"",SUMIFS('PEGAR'!$M$13:$M$512,'PEGAR'!$O$13:$O$512,B444)))</f>
      </c>
      <c r="H444" s="39">
        <f>IF(AND(ISNUMBER(F444),ISNUMBER(G444)),G444-F444,"")</f>
      </c>
      <c r="I444" s="27">
        <f>IF(B444="","",IF(W444=2,"ROJO",IF(W444=1,"ÁMBAR","VERDE")))</f>
      </c>
      <c r="J444" s="30">
        <f>IF(B444="","",IF(W444=0,"Sin avisos numéricos. Revisamos el alcance aparte.",IF(L444=0,"Faltan datos completos de partida; no elegimos un total por suposición."&amp;CHAR(10),"")&amp;IF(N444&gt;0,"Hay filas incompletas o contradictorias; las revisamos en PEGAR."&amp;CHAR(10),"")&amp;IF(O444&gt;0,"Faltan las medidas de alguna fila; no cerramos la suma."&amp;CHAR(10),"")&amp;IF(M444=0,"No constan líneas de medición."&amp;CHAR(10),"")&amp;IF(IF(ISNUMBER(H444),ROUND(ABS(H444),8)&gt;$F$6,FALSE),"Las líneas difieren del total en más de 0,01; confirmamos cantidad o exclusión."&amp;CHAR(10),"")&amp;IF(P444&gt;0,"Parece m³: encontramos tres dimensiones bajo m²."&amp;CHAR(10),"")&amp;IF(R444&gt;0,"Código repetido dentro del capítulo; mantenemos sus ID separados."&amp;CHAR(10),"")&amp;IF(S444&gt;0,"Código repetido en otro capítulo; no unimos las partidas."&amp;CHAR(10),"")&amp;IF(T444&gt;0,"Mismo código con unidades distintas; pedimos aclaración."&amp;CHAR(10),"")&amp;IF(Q444&gt;0,"Hay más precisión que los decimales indicados; cotejamos el formato original."&amp;CHAR(10),"")&amp;IF(U444&gt;0,"Unidad sin normalizar; cotejamos su significado antes de sumar unidades."&amp;CHAR(10),"")&amp;IF(V444&gt;0,"Revisamos dimensiones, cantidades directas, ceros o deducciones en PEGAR."&amp;CHAR(10),"")))</f>
      </c>
      <c r="K444" s="0">
        <f>IF(432&gt;'RESUMEN'!$E$6,"",MATCH(432,'PEGAR'!$W$13:$W$512,0))</f>
      </c>
      <c r="L444" s="0">
        <f>IF(K444="","",INDEX('PEGAR'!$R$13:$R$512,K444))</f>
      </c>
      <c r="M444" s="0">
        <f>IF(B444="","",COUNTIFS('PEGAR'!$O$13:$O$512,B444,'PEGAR'!$P$13:$P$512,"DIMENSIONES")+COUNTIFS('PEGAR'!$O$13:$O$512,B444,'PEGAR'!$P$13:$P$512,"DIRECTA"))</f>
      </c>
      <c r="N444" s="0">
        <f>IF(B444="","",COUNTIFS('PEGAR'!$O$13:$O$512,B444,'PEGAR'!$X$13:$X$512,2))</f>
      </c>
      <c r="O444" s="0">
        <f>IF(B444="","",COUNTIFS('PEGAR'!$O$13:$O$512,B444,'PEGAR'!$P$13:$P$512,"SIN LÍNEAS"))</f>
      </c>
      <c r="P444" s="0">
        <f>IF(B444="","",SUMIFS('PEGAR'!$Y$13:$Y$512,'PEGAR'!$O$13:$O$512,B444))</f>
      </c>
      <c r="Q444" s="0">
        <f>IF(B444="","",SUMIFS('PEGAR'!$Z$13:$Z$512,'PEGAR'!$O$13:$O$512,B444))</f>
      </c>
      <c r="R444" s="0" t="n">
        <f>IF(OR(B444="",D444=""),0,SUMPRODUCT(--($B$13:$B$512&lt;&gt;""),--($D$13:$D$512=D444),--($C$13:$C$512=C444))-1)</f>
        <v>0</v>
      </c>
      <c r="S444" s="0" t="n">
        <f>IF(OR(B444="",D444=""),0,SUMPRODUCT(--($B$13:$B$512&lt;&gt;""),--($D$13:$D$512=D444),--($C$13:$C$512&lt;&gt;C444)))</f>
        <v>0</v>
      </c>
      <c r="T444" s="0" t="n">
        <f>IF(OR(B444="",D444=""),0,SUMPRODUCT(--($B$13:$B$512&lt;&gt;""),--($D$13:$D$512=D444),--($E$13:$E$512&lt;&gt;E444)))</f>
        <v>0</v>
      </c>
      <c r="U444" s="0" t="n">
        <f>IF(B444="",0,IF(SUMPRODUCT(--('LÉEME'!$C$65:$C$86=E444))=0,1,0))</f>
        <v>0</v>
      </c>
      <c r="V444" s="0">
        <f>IF(B444="","",SUMIFS('PEGAR'!$AA$13:$AA$512,'PEGAR'!$O$13:$O$512,B444))</f>
      </c>
      <c r="W444" s="0">
        <f>IF(B444="","",IF(OR(L444=0,N444&gt;0,T444&gt;0,IF(ISNUMBER(H444),ROUND(ABS(H444),8)&gt;$F$6,FALSE)),2,IF(OR(M444=0,O444&gt;0,P444&gt;0,Q444&gt;0,R444&gt;0,S444&gt;0,U444&gt;0,V444&gt;0),1,0)))</f>
      </c>
      <c r="X444" s="0">
        <f>IF(B444="","",IF(ISNUMBER(G444),1,0))</f>
      </c>
      <c r="AB444" s="0">
        <f>IF(AND(ISNUMBER(W444),W444&gt;0),"ID "&amp;B444,"")</f>
      </c>
      <c r="AC444" s="0">
        <f>IF(AND(ISNUMBER(W444),W444&gt;0),C444,"")</f>
      </c>
      <c r="AD444" s="0">
        <f>IF(AND(ISNUMBER(W444),W444&gt;0),D444,"")</f>
      </c>
      <c r="AE444" s="0">
        <f>IF(AND(ISNUMBER(W444),W444&gt;0),IF(INDEX('PEGAR'!$D$13:$D$512,IF(L444&gt;0,L444,K444))="","Sin descripción",INDEX('PEGAR'!$D$13:$D$512,IF(L444&gt;0,L444,K444))),"")</f>
      </c>
      <c r="AF444" s="0">
        <f>IF(AND(ISNUMBER(W444),W444&gt;0),J444,"")</f>
      </c>
      <c r="AG444" s="0" t="n">
        <f>IF(AND(ISNUMBER(W444),W444&gt;0),W444,0)</f>
        <v>0</v>
      </c>
      <c r="AH444" s="0">
        <f>IF(AG444&gt;0,COUNTIFS($AG$13:AG444,"&gt;0"),"")</f>
      </c>
    </row>
    <row r="445" ht="22" customHeight="1">
      <c r="B445" s="27">
        <f>IF(K445="","",INDEX('PEGAR'!$O$13:$O$512,K445))</f>
      </c>
      <c r="C445" s="30">
        <f>IF(B445="","",IF(LEN(TRIM(INDEX('PEGAR'!$B$13:$B$512,IF(L445&gt;0,L445,K445))&amp;""))=0,"Sin capítulo",TRIM(INDEX('PEGAR'!$B$13:$B$512,IF(L445&gt;0,L445,K445))&amp;"")))</f>
      </c>
      <c r="D445" s="27">
        <f>IF(B445="","",IF(LEN(TRIM(INDEX('PEGAR'!$C$13:$C$512,IF(L445&gt;0,L445,K445))&amp;""))=0,"",TRIM(INDEX('PEGAR'!$C$13:$C$512,IF(L445&gt;0,L445,K445))&amp;"")))</f>
      </c>
      <c r="E445" s="27">
        <f>IF(B445="","",INDEX('PEGAR'!$S$13:$S$512,IF(L445&gt;0,L445,K445)))</f>
      </c>
      <c r="F445" s="39">
        <f>IF(B445="","",IF(L445&gt;0,INDEX('PEGAR'!$F$13:$F$512,L445),""))</f>
      </c>
      <c r="G445" s="39">
        <f>IF(B445="","",IF(OR(M445=0,N445&gt;0,O445&gt;0),"",SUMIFS('PEGAR'!$M$13:$M$512,'PEGAR'!$O$13:$O$512,B445)))</f>
      </c>
      <c r="H445" s="39">
        <f>IF(AND(ISNUMBER(F445),ISNUMBER(G445)),G445-F445,"")</f>
      </c>
      <c r="I445" s="27">
        <f>IF(B445="","",IF(W445=2,"ROJO",IF(W445=1,"ÁMBAR","VERDE")))</f>
      </c>
      <c r="J445" s="30">
        <f>IF(B445="","",IF(W445=0,"Sin avisos numéricos. Revisamos el alcance aparte.",IF(L445=0,"Faltan datos completos de partida; no elegimos un total por suposición."&amp;CHAR(10),"")&amp;IF(N445&gt;0,"Hay filas incompletas o contradictorias; las revisamos en PEGAR."&amp;CHAR(10),"")&amp;IF(O445&gt;0,"Faltan las medidas de alguna fila; no cerramos la suma."&amp;CHAR(10),"")&amp;IF(M445=0,"No constan líneas de medición."&amp;CHAR(10),"")&amp;IF(IF(ISNUMBER(H445),ROUND(ABS(H445),8)&gt;$F$6,FALSE),"Las líneas difieren del total en más de 0,01; confirmamos cantidad o exclusión."&amp;CHAR(10),"")&amp;IF(P445&gt;0,"Parece m³: encontramos tres dimensiones bajo m²."&amp;CHAR(10),"")&amp;IF(R445&gt;0,"Código repetido dentro del capítulo; mantenemos sus ID separados."&amp;CHAR(10),"")&amp;IF(S445&gt;0,"Código repetido en otro capítulo; no unimos las partidas."&amp;CHAR(10),"")&amp;IF(T445&gt;0,"Mismo código con unidades distintas; pedimos aclaración."&amp;CHAR(10),"")&amp;IF(Q445&gt;0,"Hay más precisión que los decimales indicados; cotejamos el formato original."&amp;CHAR(10),"")&amp;IF(U445&gt;0,"Unidad sin normalizar; cotejamos su significado antes de sumar unidades."&amp;CHAR(10),"")&amp;IF(V445&gt;0,"Revisamos dimensiones, cantidades directas, ceros o deducciones en PEGAR."&amp;CHAR(10),"")))</f>
      </c>
      <c r="K445" s="0">
        <f>IF(433&gt;'RESUMEN'!$E$6,"",MATCH(433,'PEGAR'!$W$13:$W$512,0))</f>
      </c>
      <c r="L445" s="0">
        <f>IF(K445="","",INDEX('PEGAR'!$R$13:$R$512,K445))</f>
      </c>
      <c r="M445" s="0">
        <f>IF(B445="","",COUNTIFS('PEGAR'!$O$13:$O$512,B445,'PEGAR'!$P$13:$P$512,"DIMENSIONES")+COUNTIFS('PEGAR'!$O$13:$O$512,B445,'PEGAR'!$P$13:$P$512,"DIRECTA"))</f>
      </c>
      <c r="N445" s="0">
        <f>IF(B445="","",COUNTIFS('PEGAR'!$O$13:$O$512,B445,'PEGAR'!$X$13:$X$512,2))</f>
      </c>
      <c r="O445" s="0">
        <f>IF(B445="","",COUNTIFS('PEGAR'!$O$13:$O$512,B445,'PEGAR'!$P$13:$P$512,"SIN LÍNEAS"))</f>
      </c>
      <c r="P445" s="0">
        <f>IF(B445="","",SUMIFS('PEGAR'!$Y$13:$Y$512,'PEGAR'!$O$13:$O$512,B445))</f>
      </c>
      <c r="Q445" s="0">
        <f>IF(B445="","",SUMIFS('PEGAR'!$Z$13:$Z$512,'PEGAR'!$O$13:$O$512,B445))</f>
      </c>
      <c r="R445" s="0" t="n">
        <f>IF(OR(B445="",D445=""),0,SUMPRODUCT(--($B$13:$B$512&lt;&gt;""),--($D$13:$D$512=D445),--($C$13:$C$512=C445))-1)</f>
        <v>0</v>
      </c>
      <c r="S445" s="0" t="n">
        <f>IF(OR(B445="",D445=""),0,SUMPRODUCT(--($B$13:$B$512&lt;&gt;""),--($D$13:$D$512=D445),--($C$13:$C$512&lt;&gt;C445)))</f>
        <v>0</v>
      </c>
      <c r="T445" s="0" t="n">
        <f>IF(OR(B445="",D445=""),0,SUMPRODUCT(--($B$13:$B$512&lt;&gt;""),--($D$13:$D$512=D445),--($E$13:$E$512&lt;&gt;E445)))</f>
        <v>0</v>
      </c>
      <c r="U445" s="0" t="n">
        <f>IF(B445="",0,IF(SUMPRODUCT(--('LÉEME'!$C$65:$C$86=E445))=0,1,0))</f>
        <v>0</v>
      </c>
      <c r="V445" s="0">
        <f>IF(B445="","",SUMIFS('PEGAR'!$AA$13:$AA$512,'PEGAR'!$O$13:$O$512,B445))</f>
      </c>
      <c r="W445" s="0">
        <f>IF(B445="","",IF(OR(L445=0,N445&gt;0,T445&gt;0,IF(ISNUMBER(H445),ROUND(ABS(H445),8)&gt;$F$6,FALSE)),2,IF(OR(M445=0,O445&gt;0,P445&gt;0,Q445&gt;0,R445&gt;0,S445&gt;0,U445&gt;0,V445&gt;0),1,0)))</f>
      </c>
      <c r="X445" s="0">
        <f>IF(B445="","",IF(ISNUMBER(G445),1,0))</f>
      </c>
      <c r="AB445" s="0">
        <f>IF(AND(ISNUMBER(W445),W445&gt;0),"ID "&amp;B445,"")</f>
      </c>
      <c r="AC445" s="0">
        <f>IF(AND(ISNUMBER(W445),W445&gt;0),C445,"")</f>
      </c>
      <c r="AD445" s="0">
        <f>IF(AND(ISNUMBER(W445),W445&gt;0),D445,"")</f>
      </c>
      <c r="AE445" s="0">
        <f>IF(AND(ISNUMBER(W445),W445&gt;0),IF(INDEX('PEGAR'!$D$13:$D$512,IF(L445&gt;0,L445,K445))="","Sin descripción",INDEX('PEGAR'!$D$13:$D$512,IF(L445&gt;0,L445,K445))),"")</f>
      </c>
      <c r="AF445" s="0">
        <f>IF(AND(ISNUMBER(W445),W445&gt;0),J445,"")</f>
      </c>
      <c r="AG445" s="0" t="n">
        <f>IF(AND(ISNUMBER(W445),W445&gt;0),W445,0)</f>
        <v>0</v>
      </c>
      <c r="AH445" s="0">
        <f>IF(AG445&gt;0,COUNTIFS($AG$13:AG445,"&gt;0"),"")</f>
      </c>
    </row>
    <row r="446" ht="22" customHeight="1">
      <c r="B446" s="27">
        <f>IF(K446="","",INDEX('PEGAR'!$O$13:$O$512,K446))</f>
      </c>
      <c r="C446" s="30">
        <f>IF(B446="","",IF(LEN(TRIM(INDEX('PEGAR'!$B$13:$B$512,IF(L446&gt;0,L446,K446))&amp;""))=0,"Sin capítulo",TRIM(INDEX('PEGAR'!$B$13:$B$512,IF(L446&gt;0,L446,K446))&amp;"")))</f>
      </c>
      <c r="D446" s="27">
        <f>IF(B446="","",IF(LEN(TRIM(INDEX('PEGAR'!$C$13:$C$512,IF(L446&gt;0,L446,K446))&amp;""))=0,"",TRIM(INDEX('PEGAR'!$C$13:$C$512,IF(L446&gt;0,L446,K446))&amp;"")))</f>
      </c>
      <c r="E446" s="27">
        <f>IF(B446="","",INDEX('PEGAR'!$S$13:$S$512,IF(L446&gt;0,L446,K446)))</f>
      </c>
      <c r="F446" s="39">
        <f>IF(B446="","",IF(L446&gt;0,INDEX('PEGAR'!$F$13:$F$512,L446),""))</f>
      </c>
      <c r="G446" s="39">
        <f>IF(B446="","",IF(OR(M446=0,N446&gt;0,O446&gt;0),"",SUMIFS('PEGAR'!$M$13:$M$512,'PEGAR'!$O$13:$O$512,B446)))</f>
      </c>
      <c r="H446" s="39">
        <f>IF(AND(ISNUMBER(F446),ISNUMBER(G446)),G446-F446,"")</f>
      </c>
      <c r="I446" s="27">
        <f>IF(B446="","",IF(W446=2,"ROJO",IF(W446=1,"ÁMBAR","VERDE")))</f>
      </c>
      <c r="J446" s="30">
        <f>IF(B446="","",IF(W446=0,"Sin avisos numéricos. Revisamos el alcance aparte.",IF(L446=0,"Faltan datos completos de partida; no elegimos un total por suposición."&amp;CHAR(10),"")&amp;IF(N446&gt;0,"Hay filas incompletas o contradictorias; las revisamos en PEGAR."&amp;CHAR(10),"")&amp;IF(O446&gt;0,"Faltan las medidas de alguna fila; no cerramos la suma."&amp;CHAR(10),"")&amp;IF(M446=0,"No constan líneas de medición."&amp;CHAR(10),"")&amp;IF(IF(ISNUMBER(H446),ROUND(ABS(H446),8)&gt;$F$6,FALSE),"Las líneas difieren del total en más de 0,01; confirmamos cantidad o exclusión."&amp;CHAR(10),"")&amp;IF(P446&gt;0,"Parece m³: encontramos tres dimensiones bajo m²."&amp;CHAR(10),"")&amp;IF(R446&gt;0,"Código repetido dentro del capítulo; mantenemos sus ID separados."&amp;CHAR(10),"")&amp;IF(S446&gt;0,"Código repetido en otro capítulo; no unimos las partidas."&amp;CHAR(10),"")&amp;IF(T446&gt;0,"Mismo código con unidades distintas; pedimos aclaración."&amp;CHAR(10),"")&amp;IF(Q446&gt;0,"Hay más precisión que los decimales indicados; cotejamos el formato original."&amp;CHAR(10),"")&amp;IF(U446&gt;0,"Unidad sin normalizar; cotejamos su significado antes de sumar unidades."&amp;CHAR(10),"")&amp;IF(V446&gt;0,"Revisamos dimensiones, cantidades directas, ceros o deducciones en PEGAR."&amp;CHAR(10),"")))</f>
      </c>
      <c r="K446" s="0">
        <f>IF(434&gt;'RESUMEN'!$E$6,"",MATCH(434,'PEGAR'!$W$13:$W$512,0))</f>
      </c>
      <c r="L446" s="0">
        <f>IF(K446="","",INDEX('PEGAR'!$R$13:$R$512,K446))</f>
      </c>
      <c r="M446" s="0">
        <f>IF(B446="","",COUNTIFS('PEGAR'!$O$13:$O$512,B446,'PEGAR'!$P$13:$P$512,"DIMENSIONES")+COUNTIFS('PEGAR'!$O$13:$O$512,B446,'PEGAR'!$P$13:$P$512,"DIRECTA"))</f>
      </c>
      <c r="N446" s="0">
        <f>IF(B446="","",COUNTIFS('PEGAR'!$O$13:$O$512,B446,'PEGAR'!$X$13:$X$512,2))</f>
      </c>
      <c r="O446" s="0">
        <f>IF(B446="","",COUNTIFS('PEGAR'!$O$13:$O$512,B446,'PEGAR'!$P$13:$P$512,"SIN LÍNEAS"))</f>
      </c>
      <c r="P446" s="0">
        <f>IF(B446="","",SUMIFS('PEGAR'!$Y$13:$Y$512,'PEGAR'!$O$13:$O$512,B446))</f>
      </c>
      <c r="Q446" s="0">
        <f>IF(B446="","",SUMIFS('PEGAR'!$Z$13:$Z$512,'PEGAR'!$O$13:$O$512,B446))</f>
      </c>
      <c r="R446" s="0" t="n">
        <f>IF(OR(B446="",D446=""),0,SUMPRODUCT(--($B$13:$B$512&lt;&gt;""),--($D$13:$D$512=D446),--($C$13:$C$512=C446))-1)</f>
        <v>0</v>
      </c>
      <c r="S446" s="0" t="n">
        <f>IF(OR(B446="",D446=""),0,SUMPRODUCT(--($B$13:$B$512&lt;&gt;""),--($D$13:$D$512=D446),--($C$13:$C$512&lt;&gt;C446)))</f>
        <v>0</v>
      </c>
      <c r="T446" s="0" t="n">
        <f>IF(OR(B446="",D446=""),0,SUMPRODUCT(--($B$13:$B$512&lt;&gt;""),--($D$13:$D$512=D446),--($E$13:$E$512&lt;&gt;E446)))</f>
        <v>0</v>
      </c>
      <c r="U446" s="0" t="n">
        <f>IF(B446="",0,IF(SUMPRODUCT(--('LÉEME'!$C$65:$C$86=E446))=0,1,0))</f>
        <v>0</v>
      </c>
      <c r="V446" s="0">
        <f>IF(B446="","",SUMIFS('PEGAR'!$AA$13:$AA$512,'PEGAR'!$O$13:$O$512,B446))</f>
      </c>
      <c r="W446" s="0">
        <f>IF(B446="","",IF(OR(L446=0,N446&gt;0,T446&gt;0,IF(ISNUMBER(H446),ROUND(ABS(H446),8)&gt;$F$6,FALSE)),2,IF(OR(M446=0,O446&gt;0,P446&gt;0,Q446&gt;0,R446&gt;0,S446&gt;0,U446&gt;0,V446&gt;0),1,0)))</f>
      </c>
      <c r="X446" s="0">
        <f>IF(B446="","",IF(ISNUMBER(G446),1,0))</f>
      </c>
      <c r="AB446" s="0">
        <f>IF(AND(ISNUMBER(W446),W446&gt;0),"ID "&amp;B446,"")</f>
      </c>
      <c r="AC446" s="0">
        <f>IF(AND(ISNUMBER(W446),W446&gt;0),C446,"")</f>
      </c>
      <c r="AD446" s="0">
        <f>IF(AND(ISNUMBER(W446),W446&gt;0),D446,"")</f>
      </c>
      <c r="AE446" s="0">
        <f>IF(AND(ISNUMBER(W446),W446&gt;0),IF(INDEX('PEGAR'!$D$13:$D$512,IF(L446&gt;0,L446,K446))="","Sin descripción",INDEX('PEGAR'!$D$13:$D$512,IF(L446&gt;0,L446,K446))),"")</f>
      </c>
      <c r="AF446" s="0">
        <f>IF(AND(ISNUMBER(W446),W446&gt;0),J446,"")</f>
      </c>
      <c r="AG446" s="0" t="n">
        <f>IF(AND(ISNUMBER(W446),W446&gt;0),W446,0)</f>
        <v>0</v>
      </c>
      <c r="AH446" s="0">
        <f>IF(AG446&gt;0,COUNTIFS($AG$13:AG446,"&gt;0"),"")</f>
      </c>
    </row>
    <row r="447" ht="22" customHeight="1">
      <c r="B447" s="27">
        <f>IF(K447="","",INDEX('PEGAR'!$O$13:$O$512,K447))</f>
      </c>
      <c r="C447" s="30">
        <f>IF(B447="","",IF(LEN(TRIM(INDEX('PEGAR'!$B$13:$B$512,IF(L447&gt;0,L447,K447))&amp;""))=0,"Sin capítulo",TRIM(INDEX('PEGAR'!$B$13:$B$512,IF(L447&gt;0,L447,K447))&amp;"")))</f>
      </c>
      <c r="D447" s="27">
        <f>IF(B447="","",IF(LEN(TRIM(INDEX('PEGAR'!$C$13:$C$512,IF(L447&gt;0,L447,K447))&amp;""))=0,"",TRIM(INDEX('PEGAR'!$C$13:$C$512,IF(L447&gt;0,L447,K447))&amp;"")))</f>
      </c>
      <c r="E447" s="27">
        <f>IF(B447="","",INDEX('PEGAR'!$S$13:$S$512,IF(L447&gt;0,L447,K447)))</f>
      </c>
      <c r="F447" s="39">
        <f>IF(B447="","",IF(L447&gt;0,INDEX('PEGAR'!$F$13:$F$512,L447),""))</f>
      </c>
      <c r="G447" s="39">
        <f>IF(B447="","",IF(OR(M447=0,N447&gt;0,O447&gt;0),"",SUMIFS('PEGAR'!$M$13:$M$512,'PEGAR'!$O$13:$O$512,B447)))</f>
      </c>
      <c r="H447" s="39">
        <f>IF(AND(ISNUMBER(F447),ISNUMBER(G447)),G447-F447,"")</f>
      </c>
      <c r="I447" s="27">
        <f>IF(B447="","",IF(W447=2,"ROJO",IF(W447=1,"ÁMBAR","VERDE")))</f>
      </c>
      <c r="J447" s="30">
        <f>IF(B447="","",IF(W447=0,"Sin avisos numéricos. Revisamos el alcance aparte.",IF(L447=0,"Faltan datos completos de partida; no elegimos un total por suposición."&amp;CHAR(10),"")&amp;IF(N447&gt;0,"Hay filas incompletas o contradictorias; las revisamos en PEGAR."&amp;CHAR(10),"")&amp;IF(O447&gt;0,"Faltan las medidas de alguna fila; no cerramos la suma."&amp;CHAR(10),"")&amp;IF(M447=0,"No constan líneas de medición."&amp;CHAR(10),"")&amp;IF(IF(ISNUMBER(H447),ROUND(ABS(H447),8)&gt;$F$6,FALSE),"Las líneas difieren del total en más de 0,01; confirmamos cantidad o exclusión."&amp;CHAR(10),"")&amp;IF(P447&gt;0,"Parece m³: encontramos tres dimensiones bajo m²."&amp;CHAR(10),"")&amp;IF(R447&gt;0,"Código repetido dentro del capítulo; mantenemos sus ID separados."&amp;CHAR(10),"")&amp;IF(S447&gt;0,"Código repetido en otro capítulo; no unimos las partidas."&amp;CHAR(10),"")&amp;IF(T447&gt;0,"Mismo código con unidades distintas; pedimos aclaración."&amp;CHAR(10),"")&amp;IF(Q447&gt;0,"Hay más precisión que los decimales indicados; cotejamos el formato original."&amp;CHAR(10),"")&amp;IF(U447&gt;0,"Unidad sin normalizar; cotejamos su significado antes de sumar unidades."&amp;CHAR(10),"")&amp;IF(V447&gt;0,"Revisamos dimensiones, cantidades directas, ceros o deducciones en PEGAR."&amp;CHAR(10),"")))</f>
      </c>
      <c r="K447" s="0">
        <f>IF(435&gt;'RESUMEN'!$E$6,"",MATCH(435,'PEGAR'!$W$13:$W$512,0))</f>
      </c>
      <c r="L447" s="0">
        <f>IF(K447="","",INDEX('PEGAR'!$R$13:$R$512,K447))</f>
      </c>
      <c r="M447" s="0">
        <f>IF(B447="","",COUNTIFS('PEGAR'!$O$13:$O$512,B447,'PEGAR'!$P$13:$P$512,"DIMENSIONES")+COUNTIFS('PEGAR'!$O$13:$O$512,B447,'PEGAR'!$P$13:$P$512,"DIRECTA"))</f>
      </c>
      <c r="N447" s="0">
        <f>IF(B447="","",COUNTIFS('PEGAR'!$O$13:$O$512,B447,'PEGAR'!$X$13:$X$512,2))</f>
      </c>
      <c r="O447" s="0">
        <f>IF(B447="","",COUNTIFS('PEGAR'!$O$13:$O$512,B447,'PEGAR'!$P$13:$P$512,"SIN LÍNEAS"))</f>
      </c>
      <c r="P447" s="0">
        <f>IF(B447="","",SUMIFS('PEGAR'!$Y$13:$Y$512,'PEGAR'!$O$13:$O$512,B447))</f>
      </c>
      <c r="Q447" s="0">
        <f>IF(B447="","",SUMIFS('PEGAR'!$Z$13:$Z$512,'PEGAR'!$O$13:$O$512,B447))</f>
      </c>
      <c r="R447" s="0" t="n">
        <f>IF(OR(B447="",D447=""),0,SUMPRODUCT(--($B$13:$B$512&lt;&gt;""),--($D$13:$D$512=D447),--($C$13:$C$512=C447))-1)</f>
        <v>0</v>
      </c>
      <c r="S447" s="0" t="n">
        <f>IF(OR(B447="",D447=""),0,SUMPRODUCT(--($B$13:$B$512&lt;&gt;""),--($D$13:$D$512=D447),--($C$13:$C$512&lt;&gt;C447)))</f>
        <v>0</v>
      </c>
      <c r="T447" s="0" t="n">
        <f>IF(OR(B447="",D447=""),0,SUMPRODUCT(--($B$13:$B$512&lt;&gt;""),--($D$13:$D$512=D447),--($E$13:$E$512&lt;&gt;E447)))</f>
        <v>0</v>
      </c>
      <c r="U447" s="0" t="n">
        <f>IF(B447="",0,IF(SUMPRODUCT(--('LÉEME'!$C$65:$C$86=E447))=0,1,0))</f>
        <v>0</v>
      </c>
      <c r="V447" s="0">
        <f>IF(B447="","",SUMIFS('PEGAR'!$AA$13:$AA$512,'PEGAR'!$O$13:$O$512,B447))</f>
      </c>
      <c r="W447" s="0">
        <f>IF(B447="","",IF(OR(L447=0,N447&gt;0,T447&gt;0,IF(ISNUMBER(H447),ROUND(ABS(H447),8)&gt;$F$6,FALSE)),2,IF(OR(M447=0,O447&gt;0,P447&gt;0,Q447&gt;0,R447&gt;0,S447&gt;0,U447&gt;0,V447&gt;0),1,0)))</f>
      </c>
      <c r="X447" s="0">
        <f>IF(B447="","",IF(ISNUMBER(G447),1,0))</f>
      </c>
      <c r="AB447" s="0">
        <f>IF(AND(ISNUMBER(W447),W447&gt;0),"ID "&amp;B447,"")</f>
      </c>
      <c r="AC447" s="0">
        <f>IF(AND(ISNUMBER(W447),W447&gt;0),C447,"")</f>
      </c>
      <c r="AD447" s="0">
        <f>IF(AND(ISNUMBER(W447),W447&gt;0),D447,"")</f>
      </c>
      <c r="AE447" s="0">
        <f>IF(AND(ISNUMBER(W447),W447&gt;0),IF(INDEX('PEGAR'!$D$13:$D$512,IF(L447&gt;0,L447,K447))="","Sin descripción",INDEX('PEGAR'!$D$13:$D$512,IF(L447&gt;0,L447,K447))),"")</f>
      </c>
      <c r="AF447" s="0">
        <f>IF(AND(ISNUMBER(W447),W447&gt;0),J447,"")</f>
      </c>
      <c r="AG447" s="0" t="n">
        <f>IF(AND(ISNUMBER(W447),W447&gt;0),W447,0)</f>
        <v>0</v>
      </c>
      <c r="AH447" s="0">
        <f>IF(AG447&gt;0,COUNTIFS($AG$13:AG447,"&gt;0"),"")</f>
      </c>
    </row>
    <row r="448" ht="22" customHeight="1">
      <c r="B448" s="27">
        <f>IF(K448="","",INDEX('PEGAR'!$O$13:$O$512,K448))</f>
      </c>
      <c r="C448" s="30">
        <f>IF(B448="","",IF(LEN(TRIM(INDEX('PEGAR'!$B$13:$B$512,IF(L448&gt;0,L448,K448))&amp;""))=0,"Sin capítulo",TRIM(INDEX('PEGAR'!$B$13:$B$512,IF(L448&gt;0,L448,K448))&amp;"")))</f>
      </c>
      <c r="D448" s="27">
        <f>IF(B448="","",IF(LEN(TRIM(INDEX('PEGAR'!$C$13:$C$512,IF(L448&gt;0,L448,K448))&amp;""))=0,"",TRIM(INDEX('PEGAR'!$C$13:$C$512,IF(L448&gt;0,L448,K448))&amp;"")))</f>
      </c>
      <c r="E448" s="27">
        <f>IF(B448="","",INDEX('PEGAR'!$S$13:$S$512,IF(L448&gt;0,L448,K448)))</f>
      </c>
      <c r="F448" s="39">
        <f>IF(B448="","",IF(L448&gt;0,INDEX('PEGAR'!$F$13:$F$512,L448),""))</f>
      </c>
      <c r="G448" s="39">
        <f>IF(B448="","",IF(OR(M448=0,N448&gt;0,O448&gt;0),"",SUMIFS('PEGAR'!$M$13:$M$512,'PEGAR'!$O$13:$O$512,B448)))</f>
      </c>
      <c r="H448" s="39">
        <f>IF(AND(ISNUMBER(F448),ISNUMBER(G448)),G448-F448,"")</f>
      </c>
      <c r="I448" s="27">
        <f>IF(B448="","",IF(W448=2,"ROJO",IF(W448=1,"ÁMBAR","VERDE")))</f>
      </c>
      <c r="J448" s="30">
        <f>IF(B448="","",IF(W448=0,"Sin avisos numéricos. Revisamos el alcance aparte.",IF(L448=0,"Faltan datos completos de partida; no elegimos un total por suposición."&amp;CHAR(10),"")&amp;IF(N448&gt;0,"Hay filas incompletas o contradictorias; las revisamos en PEGAR."&amp;CHAR(10),"")&amp;IF(O448&gt;0,"Faltan las medidas de alguna fila; no cerramos la suma."&amp;CHAR(10),"")&amp;IF(M448=0,"No constan líneas de medición."&amp;CHAR(10),"")&amp;IF(IF(ISNUMBER(H448),ROUND(ABS(H448),8)&gt;$F$6,FALSE),"Las líneas difieren del total en más de 0,01; confirmamos cantidad o exclusión."&amp;CHAR(10),"")&amp;IF(P448&gt;0,"Parece m³: encontramos tres dimensiones bajo m²."&amp;CHAR(10),"")&amp;IF(R448&gt;0,"Código repetido dentro del capítulo; mantenemos sus ID separados."&amp;CHAR(10),"")&amp;IF(S448&gt;0,"Código repetido en otro capítulo; no unimos las partidas."&amp;CHAR(10),"")&amp;IF(T448&gt;0,"Mismo código con unidades distintas; pedimos aclaración."&amp;CHAR(10),"")&amp;IF(Q448&gt;0,"Hay más precisión que los decimales indicados; cotejamos el formato original."&amp;CHAR(10),"")&amp;IF(U448&gt;0,"Unidad sin normalizar; cotejamos su significado antes de sumar unidades."&amp;CHAR(10),"")&amp;IF(V448&gt;0,"Revisamos dimensiones, cantidades directas, ceros o deducciones en PEGAR."&amp;CHAR(10),"")))</f>
      </c>
      <c r="K448" s="0">
        <f>IF(436&gt;'RESUMEN'!$E$6,"",MATCH(436,'PEGAR'!$W$13:$W$512,0))</f>
      </c>
      <c r="L448" s="0">
        <f>IF(K448="","",INDEX('PEGAR'!$R$13:$R$512,K448))</f>
      </c>
      <c r="M448" s="0">
        <f>IF(B448="","",COUNTIFS('PEGAR'!$O$13:$O$512,B448,'PEGAR'!$P$13:$P$512,"DIMENSIONES")+COUNTIFS('PEGAR'!$O$13:$O$512,B448,'PEGAR'!$P$13:$P$512,"DIRECTA"))</f>
      </c>
      <c r="N448" s="0">
        <f>IF(B448="","",COUNTIFS('PEGAR'!$O$13:$O$512,B448,'PEGAR'!$X$13:$X$512,2))</f>
      </c>
      <c r="O448" s="0">
        <f>IF(B448="","",COUNTIFS('PEGAR'!$O$13:$O$512,B448,'PEGAR'!$P$13:$P$512,"SIN LÍNEAS"))</f>
      </c>
      <c r="P448" s="0">
        <f>IF(B448="","",SUMIFS('PEGAR'!$Y$13:$Y$512,'PEGAR'!$O$13:$O$512,B448))</f>
      </c>
      <c r="Q448" s="0">
        <f>IF(B448="","",SUMIFS('PEGAR'!$Z$13:$Z$512,'PEGAR'!$O$13:$O$512,B448))</f>
      </c>
      <c r="R448" s="0" t="n">
        <f>IF(OR(B448="",D448=""),0,SUMPRODUCT(--($B$13:$B$512&lt;&gt;""),--($D$13:$D$512=D448),--($C$13:$C$512=C448))-1)</f>
        <v>0</v>
      </c>
      <c r="S448" s="0" t="n">
        <f>IF(OR(B448="",D448=""),0,SUMPRODUCT(--($B$13:$B$512&lt;&gt;""),--($D$13:$D$512=D448),--($C$13:$C$512&lt;&gt;C448)))</f>
        <v>0</v>
      </c>
      <c r="T448" s="0" t="n">
        <f>IF(OR(B448="",D448=""),0,SUMPRODUCT(--($B$13:$B$512&lt;&gt;""),--($D$13:$D$512=D448),--($E$13:$E$512&lt;&gt;E448)))</f>
        <v>0</v>
      </c>
      <c r="U448" s="0" t="n">
        <f>IF(B448="",0,IF(SUMPRODUCT(--('LÉEME'!$C$65:$C$86=E448))=0,1,0))</f>
        <v>0</v>
      </c>
      <c r="V448" s="0">
        <f>IF(B448="","",SUMIFS('PEGAR'!$AA$13:$AA$512,'PEGAR'!$O$13:$O$512,B448))</f>
      </c>
      <c r="W448" s="0">
        <f>IF(B448="","",IF(OR(L448=0,N448&gt;0,T448&gt;0,IF(ISNUMBER(H448),ROUND(ABS(H448),8)&gt;$F$6,FALSE)),2,IF(OR(M448=0,O448&gt;0,P448&gt;0,Q448&gt;0,R448&gt;0,S448&gt;0,U448&gt;0,V448&gt;0),1,0)))</f>
      </c>
      <c r="X448" s="0">
        <f>IF(B448="","",IF(ISNUMBER(G448),1,0))</f>
      </c>
      <c r="AB448" s="0">
        <f>IF(AND(ISNUMBER(W448),W448&gt;0),"ID "&amp;B448,"")</f>
      </c>
      <c r="AC448" s="0">
        <f>IF(AND(ISNUMBER(W448),W448&gt;0),C448,"")</f>
      </c>
      <c r="AD448" s="0">
        <f>IF(AND(ISNUMBER(W448),W448&gt;0),D448,"")</f>
      </c>
      <c r="AE448" s="0">
        <f>IF(AND(ISNUMBER(W448),W448&gt;0),IF(INDEX('PEGAR'!$D$13:$D$512,IF(L448&gt;0,L448,K448))="","Sin descripción",INDEX('PEGAR'!$D$13:$D$512,IF(L448&gt;0,L448,K448))),"")</f>
      </c>
      <c r="AF448" s="0">
        <f>IF(AND(ISNUMBER(W448),W448&gt;0),J448,"")</f>
      </c>
      <c r="AG448" s="0" t="n">
        <f>IF(AND(ISNUMBER(W448),W448&gt;0),W448,0)</f>
        <v>0</v>
      </c>
      <c r="AH448" s="0">
        <f>IF(AG448&gt;0,COUNTIFS($AG$13:AG448,"&gt;0"),"")</f>
      </c>
    </row>
    <row r="449" ht="22" customHeight="1">
      <c r="B449" s="27">
        <f>IF(K449="","",INDEX('PEGAR'!$O$13:$O$512,K449))</f>
      </c>
      <c r="C449" s="30">
        <f>IF(B449="","",IF(LEN(TRIM(INDEX('PEGAR'!$B$13:$B$512,IF(L449&gt;0,L449,K449))&amp;""))=0,"Sin capítulo",TRIM(INDEX('PEGAR'!$B$13:$B$512,IF(L449&gt;0,L449,K449))&amp;"")))</f>
      </c>
      <c r="D449" s="27">
        <f>IF(B449="","",IF(LEN(TRIM(INDEX('PEGAR'!$C$13:$C$512,IF(L449&gt;0,L449,K449))&amp;""))=0,"",TRIM(INDEX('PEGAR'!$C$13:$C$512,IF(L449&gt;0,L449,K449))&amp;"")))</f>
      </c>
      <c r="E449" s="27">
        <f>IF(B449="","",INDEX('PEGAR'!$S$13:$S$512,IF(L449&gt;0,L449,K449)))</f>
      </c>
      <c r="F449" s="39">
        <f>IF(B449="","",IF(L449&gt;0,INDEX('PEGAR'!$F$13:$F$512,L449),""))</f>
      </c>
      <c r="G449" s="39">
        <f>IF(B449="","",IF(OR(M449=0,N449&gt;0,O449&gt;0),"",SUMIFS('PEGAR'!$M$13:$M$512,'PEGAR'!$O$13:$O$512,B449)))</f>
      </c>
      <c r="H449" s="39">
        <f>IF(AND(ISNUMBER(F449),ISNUMBER(G449)),G449-F449,"")</f>
      </c>
      <c r="I449" s="27">
        <f>IF(B449="","",IF(W449=2,"ROJO",IF(W449=1,"ÁMBAR","VERDE")))</f>
      </c>
      <c r="J449" s="30">
        <f>IF(B449="","",IF(W449=0,"Sin avisos numéricos. Revisamos el alcance aparte.",IF(L449=0,"Faltan datos completos de partida; no elegimos un total por suposición."&amp;CHAR(10),"")&amp;IF(N449&gt;0,"Hay filas incompletas o contradictorias; las revisamos en PEGAR."&amp;CHAR(10),"")&amp;IF(O449&gt;0,"Faltan las medidas de alguna fila; no cerramos la suma."&amp;CHAR(10),"")&amp;IF(M449=0,"No constan líneas de medición."&amp;CHAR(10),"")&amp;IF(IF(ISNUMBER(H449),ROUND(ABS(H449),8)&gt;$F$6,FALSE),"Las líneas difieren del total en más de 0,01; confirmamos cantidad o exclusión."&amp;CHAR(10),"")&amp;IF(P449&gt;0,"Parece m³: encontramos tres dimensiones bajo m²."&amp;CHAR(10),"")&amp;IF(R449&gt;0,"Código repetido dentro del capítulo; mantenemos sus ID separados."&amp;CHAR(10),"")&amp;IF(S449&gt;0,"Código repetido en otro capítulo; no unimos las partidas."&amp;CHAR(10),"")&amp;IF(T449&gt;0,"Mismo código con unidades distintas; pedimos aclaración."&amp;CHAR(10),"")&amp;IF(Q449&gt;0,"Hay más precisión que los decimales indicados; cotejamos el formato original."&amp;CHAR(10),"")&amp;IF(U449&gt;0,"Unidad sin normalizar; cotejamos su significado antes de sumar unidades."&amp;CHAR(10),"")&amp;IF(V449&gt;0,"Revisamos dimensiones, cantidades directas, ceros o deducciones en PEGAR."&amp;CHAR(10),"")))</f>
      </c>
      <c r="K449" s="0">
        <f>IF(437&gt;'RESUMEN'!$E$6,"",MATCH(437,'PEGAR'!$W$13:$W$512,0))</f>
      </c>
      <c r="L449" s="0">
        <f>IF(K449="","",INDEX('PEGAR'!$R$13:$R$512,K449))</f>
      </c>
      <c r="M449" s="0">
        <f>IF(B449="","",COUNTIFS('PEGAR'!$O$13:$O$512,B449,'PEGAR'!$P$13:$P$512,"DIMENSIONES")+COUNTIFS('PEGAR'!$O$13:$O$512,B449,'PEGAR'!$P$13:$P$512,"DIRECTA"))</f>
      </c>
      <c r="N449" s="0">
        <f>IF(B449="","",COUNTIFS('PEGAR'!$O$13:$O$512,B449,'PEGAR'!$X$13:$X$512,2))</f>
      </c>
      <c r="O449" s="0">
        <f>IF(B449="","",COUNTIFS('PEGAR'!$O$13:$O$512,B449,'PEGAR'!$P$13:$P$512,"SIN LÍNEAS"))</f>
      </c>
      <c r="P449" s="0">
        <f>IF(B449="","",SUMIFS('PEGAR'!$Y$13:$Y$512,'PEGAR'!$O$13:$O$512,B449))</f>
      </c>
      <c r="Q449" s="0">
        <f>IF(B449="","",SUMIFS('PEGAR'!$Z$13:$Z$512,'PEGAR'!$O$13:$O$512,B449))</f>
      </c>
      <c r="R449" s="0" t="n">
        <f>IF(OR(B449="",D449=""),0,SUMPRODUCT(--($B$13:$B$512&lt;&gt;""),--($D$13:$D$512=D449),--($C$13:$C$512=C449))-1)</f>
        <v>0</v>
      </c>
      <c r="S449" s="0" t="n">
        <f>IF(OR(B449="",D449=""),0,SUMPRODUCT(--($B$13:$B$512&lt;&gt;""),--($D$13:$D$512=D449),--($C$13:$C$512&lt;&gt;C449)))</f>
        <v>0</v>
      </c>
      <c r="T449" s="0" t="n">
        <f>IF(OR(B449="",D449=""),0,SUMPRODUCT(--($B$13:$B$512&lt;&gt;""),--($D$13:$D$512=D449),--($E$13:$E$512&lt;&gt;E449)))</f>
        <v>0</v>
      </c>
      <c r="U449" s="0" t="n">
        <f>IF(B449="",0,IF(SUMPRODUCT(--('LÉEME'!$C$65:$C$86=E449))=0,1,0))</f>
        <v>0</v>
      </c>
      <c r="V449" s="0">
        <f>IF(B449="","",SUMIFS('PEGAR'!$AA$13:$AA$512,'PEGAR'!$O$13:$O$512,B449))</f>
      </c>
      <c r="W449" s="0">
        <f>IF(B449="","",IF(OR(L449=0,N449&gt;0,T449&gt;0,IF(ISNUMBER(H449),ROUND(ABS(H449),8)&gt;$F$6,FALSE)),2,IF(OR(M449=0,O449&gt;0,P449&gt;0,Q449&gt;0,R449&gt;0,S449&gt;0,U449&gt;0,V449&gt;0),1,0)))</f>
      </c>
      <c r="X449" s="0">
        <f>IF(B449="","",IF(ISNUMBER(G449),1,0))</f>
      </c>
      <c r="AB449" s="0">
        <f>IF(AND(ISNUMBER(W449),W449&gt;0),"ID "&amp;B449,"")</f>
      </c>
      <c r="AC449" s="0">
        <f>IF(AND(ISNUMBER(W449),W449&gt;0),C449,"")</f>
      </c>
      <c r="AD449" s="0">
        <f>IF(AND(ISNUMBER(W449),W449&gt;0),D449,"")</f>
      </c>
      <c r="AE449" s="0">
        <f>IF(AND(ISNUMBER(W449),W449&gt;0),IF(INDEX('PEGAR'!$D$13:$D$512,IF(L449&gt;0,L449,K449))="","Sin descripción",INDEX('PEGAR'!$D$13:$D$512,IF(L449&gt;0,L449,K449))),"")</f>
      </c>
      <c r="AF449" s="0">
        <f>IF(AND(ISNUMBER(W449),W449&gt;0),J449,"")</f>
      </c>
      <c r="AG449" s="0" t="n">
        <f>IF(AND(ISNUMBER(W449),W449&gt;0),W449,0)</f>
        <v>0</v>
      </c>
      <c r="AH449" s="0">
        <f>IF(AG449&gt;0,COUNTIFS($AG$13:AG449,"&gt;0"),"")</f>
      </c>
    </row>
    <row r="450" ht="22" customHeight="1">
      <c r="B450" s="27">
        <f>IF(K450="","",INDEX('PEGAR'!$O$13:$O$512,K450))</f>
      </c>
      <c r="C450" s="30">
        <f>IF(B450="","",IF(LEN(TRIM(INDEX('PEGAR'!$B$13:$B$512,IF(L450&gt;0,L450,K450))&amp;""))=0,"Sin capítulo",TRIM(INDEX('PEGAR'!$B$13:$B$512,IF(L450&gt;0,L450,K450))&amp;"")))</f>
      </c>
      <c r="D450" s="27">
        <f>IF(B450="","",IF(LEN(TRIM(INDEX('PEGAR'!$C$13:$C$512,IF(L450&gt;0,L450,K450))&amp;""))=0,"",TRIM(INDEX('PEGAR'!$C$13:$C$512,IF(L450&gt;0,L450,K450))&amp;"")))</f>
      </c>
      <c r="E450" s="27">
        <f>IF(B450="","",INDEX('PEGAR'!$S$13:$S$512,IF(L450&gt;0,L450,K450)))</f>
      </c>
      <c r="F450" s="39">
        <f>IF(B450="","",IF(L450&gt;0,INDEX('PEGAR'!$F$13:$F$512,L450),""))</f>
      </c>
      <c r="G450" s="39">
        <f>IF(B450="","",IF(OR(M450=0,N450&gt;0,O450&gt;0),"",SUMIFS('PEGAR'!$M$13:$M$512,'PEGAR'!$O$13:$O$512,B450)))</f>
      </c>
      <c r="H450" s="39">
        <f>IF(AND(ISNUMBER(F450),ISNUMBER(G450)),G450-F450,"")</f>
      </c>
      <c r="I450" s="27">
        <f>IF(B450="","",IF(W450=2,"ROJO",IF(W450=1,"ÁMBAR","VERDE")))</f>
      </c>
      <c r="J450" s="30">
        <f>IF(B450="","",IF(W450=0,"Sin avisos numéricos. Revisamos el alcance aparte.",IF(L450=0,"Faltan datos completos de partida; no elegimos un total por suposición."&amp;CHAR(10),"")&amp;IF(N450&gt;0,"Hay filas incompletas o contradictorias; las revisamos en PEGAR."&amp;CHAR(10),"")&amp;IF(O450&gt;0,"Faltan las medidas de alguna fila; no cerramos la suma."&amp;CHAR(10),"")&amp;IF(M450=0,"No constan líneas de medición."&amp;CHAR(10),"")&amp;IF(IF(ISNUMBER(H450),ROUND(ABS(H450),8)&gt;$F$6,FALSE),"Las líneas difieren del total en más de 0,01; confirmamos cantidad o exclusión."&amp;CHAR(10),"")&amp;IF(P450&gt;0,"Parece m³: encontramos tres dimensiones bajo m²."&amp;CHAR(10),"")&amp;IF(R450&gt;0,"Código repetido dentro del capítulo; mantenemos sus ID separados."&amp;CHAR(10),"")&amp;IF(S450&gt;0,"Código repetido en otro capítulo; no unimos las partidas."&amp;CHAR(10),"")&amp;IF(T450&gt;0,"Mismo código con unidades distintas; pedimos aclaración."&amp;CHAR(10),"")&amp;IF(Q450&gt;0,"Hay más precisión que los decimales indicados; cotejamos el formato original."&amp;CHAR(10),"")&amp;IF(U450&gt;0,"Unidad sin normalizar; cotejamos su significado antes de sumar unidades."&amp;CHAR(10),"")&amp;IF(V450&gt;0,"Revisamos dimensiones, cantidades directas, ceros o deducciones en PEGAR."&amp;CHAR(10),"")))</f>
      </c>
      <c r="K450" s="0">
        <f>IF(438&gt;'RESUMEN'!$E$6,"",MATCH(438,'PEGAR'!$W$13:$W$512,0))</f>
      </c>
      <c r="L450" s="0">
        <f>IF(K450="","",INDEX('PEGAR'!$R$13:$R$512,K450))</f>
      </c>
      <c r="M450" s="0">
        <f>IF(B450="","",COUNTIFS('PEGAR'!$O$13:$O$512,B450,'PEGAR'!$P$13:$P$512,"DIMENSIONES")+COUNTIFS('PEGAR'!$O$13:$O$512,B450,'PEGAR'!$P$13:$P$512,"DIRECTA"))</f>
      </c>
      <c r="N450" s="0">
        <f>IF(B450="","",COUNTIFS('PEGAR'!$O$13:$O$512,B450,'PEGAR'!$X$13:$X$512,2))</f>
      </c>
      <c r="O450" s="0">
        <f>IF(B450="","",COUNTIFS('PEGAR'!$O$13:$O$512,B450,'PEGAR'!$P$13:$P$512,"SIN LÍNEAS"))</f>
      </c>
      <c r="P450" s="0">
        <f>IF(B450="","",SUMIFS('PEGAR'!$Y$13:$Y$512,'PEGAR'!$O$13:$O$512,B450))</f>
      </c>
      <c r="Q450" s="0">
        <f>IF(B450="","",SUMIFS('PEGAR'!$Z$13:$Z$512,'PEGAR'!$O$13:$O$512,B450))</f>
      </c>
      <c r="R450" s="0" t="n">
        <f>IF(OR(B450="",D450=""),0,SUMPRODUCT(--($B$13:$B$512&lt;&gt;""),--($D$13:$D$512=D450),--($C$13:$C$512=C450))-1)</f>
        <v>0</v>
      </c>
      <c r="S450" s="0" t="n">
        <f>IF(OR(B450="",D450=""),0,SUMPRODUCT(--($B$13:$B$512&lt;&gt;""),--($D$13:$D$512=D450),--($C$13:$C$512&lt;&gt;C450)))</f>
        <v>0</v>
      </c>
      <c r="T450" s="0" t="n">
        <f>IF(OR(B450="",D450=""),0,SUMPRODUCT(--($B$13:$B$512&lt;&gt;""),--($D$13:$D$512=D450),--($E$13:$E$512&lt;&gt;E450)))</f>
        <v>0</v>
      </c>
      <c r="U450" s="0" t="n">
        <f>IF(B450="",0,IF(SUMPRODUCT(--('LÉEME'!$C$65:$C$86=E450))=0,1,0))</f>
        <v>0</v>
      </c>
      <c r="V450" s="0">
        <f>IF(B450="","",SUMIFS('PEGAR'!$AA$13:$AA$512,'PEGAR'!$O$13:$O$512,B450))</f>
      </c>
      <c r="W450" s="0">
        <f>IF(B450="","",IF(OR(L450=0,N450&gt;0,T450&gt;0,IF(ISNUMBER(H450),ROUND(ABS(H450),8)&gt;$F$6,FALSE)),2,IF(OR(M450=0,O450&gt;0,P450&gt;0,Q450&gt;0,R450&gt;0,S450&gt;0,U450&gt;0,V450&gt;0),1,0)))</f>
      </c>
      <c r="X450" s="0">
        <f>IF(B450="","",IF(ISNUMBER(G450),1,0))</f>
      </c>
      <c r="AB450" s="0">
        <f>IF(AND(ISNUMBER(W450),W450&gt;0),"ID "&amp;B450,"")</f>
      </c>
      <c r="AC450" s="0">
        <f>IF(AND(ISNUMBER(W450),W450&gt;0),C450,"")</f>
      </c>
      <c r="AD450" s="0">
        <f>IF(AND(ISNUMBER(W450),W450&gt;0),D450,"")</f>
      </c>
      <c r="AE450" s="0">
        <f>IF(AND(ISNUMBER(W450),W450&gt;0),IF(INDEX('PEGAR'!$D$13:$D$512,IF(L450&gt;0,L450,K450))="","Sin descripción",INDEX('PEGAR'!$D$13:$D$512,IF(L450&gt;0,L450,K450))),"")</f>
      </c>
      <c r="AF450" s="0">
        <f>IF(AND(ISNUMBER(W450),W450&gt;0),J450,"")</f>
      </c>
      <c r="AG450" s="0" t="n">
        <f>IF(AND(ISNUMBER(W450),W450&gt;0),W450,0)</f>
        <v>0</v>
      </c>
      <c r="AH450" s="0">
        <f>IF(AG450&gt;0,COUNTIFS($AG$13:AG450,"&gt;0"),"")</f>
      </c>
    </row>
    <row r="451" ht="22" customHeight="1">
      <c r="B451" s="27">
        <f>IF(K451="","",INDEX('PEGAR'!$O$13:$O$512,K451))</f>
      </c>
      <c r="C451" s="30">
        <f>IF(B451="","",IF(LEN(TRIM(INDEX('PEGAR'!$B$13:$B$512,IF(L451&gt;0,L451,K451))&amp;""))=0,"Sin capítulo",TRIM(INDEX('PEGAR'!$B$13:$B$512,IF(L451&gt;0,L451,K451))&amp;"")))</f>
      </c>
      <c r="D451" s="27">
        <f>IF(B451="","",IF(LEN(TRIM(INDEX('PEGAR'!$C$13:$C$512,IF(L451&gt;0,L451,K451))&amp;""))=0,"",TRIM(INDEX('PEGAR'!$C$13:$C$512,IF(L451&gt;0,L451,K451))&amp;"")))</f>
      </c>
      <c r="E451" s="27">
        <f>IF(B451="","",INDEX('PEGAR'!$S$13:$S$512,IF(L451&gt;0,L451,K451)))</f>
      </c>
      <c r="F451" s="39">
        <f>IF(B451="","",IF(L451&gt;0,INDEX('PEGAR'!$F$13:$F$512,L451),""))</f>
      </c>
      <c r="G451" s="39">
        <f>IF(B451="","",IF(OR(M451=0,N451&gt;0,O451&gt;0),"",SUMIFS('PEGAR'!$M$13:$M$512,'PEGAR'!$O$13:$O$512,B451)))</f>
      </c>
      <c r="H451" s="39">
        <f>IF(AND(ISNUMBER(F451),ISNUMBER(G451)),G451-F451,"")</f>
      </c>
      <c r="I451" s="27">
        <f>IF(B451="","",IF(W451=2,"ROJO",IF(W451=1,"ÁMBAR","VERDE")))</f>
      </c>
      <c r="J451" s="30">
        <f>IF(B451="","",IF(W451=0,"Sin avisos numéricos. Revisamos el alcance aparte.",IF(L451=0,"Faltan datos completos de partida; no elegimos un total por suposición."&amp;CHAR(10),"")&amp;IF(N451&gt;0,"Hay filas incompletas o contradictorias; las revisamos en PEGAR."&amp;CHAR(10),"")&amp;IF(O451&gt;0,"Faltan las medidas de alguna fila; no cerramos la suma."&amp;CHAR(10),"")&amp;IF(M451=0,"No constan líneas de medición."&amp;CHAR(10),"")&amp;IF(IF(ISNUMBER(H451),ROUND(ABS(H451),8)&gt;$F$6,FALSE),"Las líneas difieren del total en más de 0,01; confirmamos cantidad o exclusión."&amp;CHAR(10),"")&amp;IF(P451&gt;0,"Parece m³: encontramos tres dimensiones bajo m²."&amp;CHAR(10),"")&amp;IF(R451&gt;0,"Código repetido dentro del capítulo; mantenemos sus ID separados."&amp;CHAR(10),"")&amp;IF(S451&gt;0,"Código repetido en otro capítulo; no unimos las partidas."&amp;CHAR(10),"")&amp;IF(T451&gt;0,"Mismo código con unidades distintas; pedimos aclaración."&amp;CHAR(10),"")&amp;IF(Q451&gt;0,"Hay más precisión que los decimales indicados; cotejamos el formato original."&amp;CHAR(10),"")&amp;IF(U451&gt;0,"Unidad sin normalizar; cotejamos su significado antes de sumar unidades."&amp;CHAR(10),"")&amp;IF(V451&gt;0,"Revisamos dimensiones, cantidades directas, ceros o deducciones en PEGAR."&amp;CHAR(10),"")))</f>
      </c>
      <c r="K451" s="0">
        <f>IF(439&gt;'RESUMEN'!$E$6,"",MATCH(439,'PEGAR'!$W$13:$W$512,0))</f>
      </c>
      <c r="L451" s="0">
        <f>IF(K451="","",INDEX('PEGAR'!$R$13:$R$512,K451))</f>
      </c>
      <c r="M451" s="0">
        <f>IF(B451="","",COUNTIFS('PEGAR'!$O$13:$O$512,B451,'PEGAR'!$P$13:$P$512,"DIMENSIONES")+COUNTIFS('PEGAR'!$O$13:$O$512,B451,'PEGAR'!$P$13:$P$512,"DIRECTA"))</f>
      </c>
      <c r="N451" s="0">
        <f>IF(B451="","",COUNTIFS('PEGAR'!$O$13:$O$512,B451,'PEGAR'!$X$13:$X$512,2))</f>
      </c>
      <c r="O451" s="0">
        <f>IF(B451="","",COUNTIFS('PEGAR'!$O$13:$O$512,B451,'PEGAR'!$P$13:$P$512,"SIN LÍNEAS"))</f>
      </c>
      <c r="P451" s="0">
        <f>IF(B451="","",SUMIFS('PEGAR'!$Y$13:$Y$512,'PEGAR'!$O$13:$O$512,B451))</f>
      </c>
      <c r="Q451" s="0">
        <f>IF(B451="","",SUMIFS('PEGAR'!$Z$13:$Z$512,'PEGAR'!$O$13:$O$512,B451))</f>
      </c>
      <c r="R451" s="0" t="n">
        <f>IF(OR(B451="",D451=""),0,SUMPRODUCT(--($B$13:$B$512&lt;&gt;""),--($D$13:$D$512=D451),--($C$13:$C$512=C451))-1)</f>
        <v>0</v>
      </c>
      <c r="S451" s="0" t="n">
        <f>IF(OR(B451="",D451=""),0,SUMPRODUCT(--($B$13:$B$512&lt;&gt;""),--($D$13:$D$512=D451),--($C$13:$C$512&lt;&gt;C451)))</f>
        <v>0</v>
      </c>
      <c r="T451" s="0" t="n">
        <f>IF(OR(B451="",D451=""),0,SUMPRODUCT(--($B$13:$B$512&lt;&gt;""),--($D$13:$D$512=D451),--($E$13:$E$512&lt;&gt;E451)))</f>
        <v>0</v>
      </c>
      <c r="U451" s="0" t="n">
        <f>IF(B451="",0,IF(SUMPRODUCT(--('LÉEME'!$C$65:$C$86=E451))=0,1,0))</f>
        <v>0</v>
      </c>
      <c r="V451" s="0">
        <f>IF(B451="","",SUMIFS('PEGAR'!$AA$13:$AA$512,'PEGAR'!$O$13:$O$512,B451))</f>
      </c>
      <c r="W451" s="0">
        <f>IF(B451="","",IF(OR(L451=0,N451&gt;0,T451&gt;0,IF(ISNUMBER(H451),ROUND(ABS(H451),8)&gt;$F$6,FALSE)),2,IF(OR(M451=0,O451&gt;0,P451&gt;0,Q451&gt;0,R451&gt;0,S451&gt;0,U451&gt;0,V451&gt;0),1,0)))</f>
      </c>
      <c r="X451" s="0">
        <f>IF(B451="","",IF(ISNUMBER(G451),1,0))</f>
      </c>
      <c r="AB451" s="0">
        <f>IF(AND(ISNUMBER(W451),W451&gt;0),"ID "&amp;B451,"")</f>
      </c>
      <c r="AC451" s="0">
        <f>IF(AND(ISNUMBER(W451),W451&gt;0),C451,"")</f>
      </c>
      <c r="AD451" s="0">
        <f>IF(AND(ISNUMBER(W451),W451&gt;0),D451,"")</f>
      </c>
      <c r="AE451" s="0">
        <f>IF(AND(ISNUMBER(W451),W451&gt;0),IF(INDEX('PEGAR'!$D$13:$D$512,IF(L451&gt;0,L451,K451))="","Sin descripción",INDEX('PEGAR'!$D$13:$D$512,IF(L451&gt;0,L451,K451))),"")</f>
      </c>
      <c r="AF451" s="0">
        <f>IF(AND(ISNUMBER(W451),W451&gt;0),J451,"")</f>
      </c>
      <c r="AG451" s="0" t="n">
        <f>IF(AND(ISNUMBER(W451),W451&gt;0),W451,0)</f>
        <v>0</v>
      </c>
      <c r="AH451" s="0">
        <f>IF(AG451&gt;0,COUNTIFS($AG$13:AG451,"&gt;0"),"")</f>
      </c>
    </row>
    <row r="452" ht="22" customHeight="1">
      <c r="B452" s="27">
        <f>IF(K452="","",INDEX('PEGAR'!$O$13:$O$512,K452))</f>
      </c>
      <c r="C452" s="30">
        <f>IF(B452="","",IF(LEN(TRIM(INDEX('PEGAR'!$B$13:$B$512,IF(L452&gt;0,L452,K452))&amp;""))=0,"Sin capítulo",TRIM(INDEX('PEGAR'!$B$13:$B$512,IF(L452&gt;0,L452,K452))&amp;"")))</f>
      </c>
      <c r="D452" s="27">
        <f>IF(B452="","",IF(LEN(TRIM(INDEX('PEGAR'!$C$13:$C$512,IF(L452&gt;0,L452,K452))&amp;""))=0,"",TRIM(INDEX('PEGAR'!$C$13:$C$512,IF(L452&gt;0,L452,K452))&amp;"")))</f>
      </c>
      <c r="E452" s="27">
        <f>IF(B452="","",INDEX('PEGAR'!$S$13:$S$512,IF(L452&gt;0,L452,K452)))</f>
      </c>
      <c r="F452" s="39">
        <f>IF(B452="","",IF(L452&gt;0,INDEX('PEGAR'!$F$13:$F$512,L452),""))</f>
      </c>
      <c r="G452" s="39">
        <f>IF(B452="","",IF(OR(M452=0,N452&gt;0,O452&gt;0),"",SUMIFS('PEGAR'!$M$13:$M$512,'PEGAR'!$O$13:$O$512,B452)))</f>
      </c>
      <c r="H452" s="39">
        <f>IF(AND(ISNUMBER(F452),ISNUMBER(G452)),G452-F452,"")</f>
      </c>
      <c r="I452" s="27">
        <f>IF(B452="","",IF(W452=2,"ROJO",IF(W452=1,"ÁMBAR","VERDE")))</f>
      </c>
      <c r="J452" s="30">
        <f>IF(B452="","",IF(W452=0,"Sin avisos numéricos. Revisamos el alcance aparte.",IF(L452=0,"Faltan datos completos de partida; no elegimos un total por suposición."&amp;CHAR(10),"")&amp;IF(N452&gt;0,"Hay filas incompletas o contradictorias; las revisamos en PEGAR."&amp;CHAR(10),"")&amp;IF(O452&gt;0,"Faltan las medidas de alguna fila; no cerramos la suma."&amp;CHAR(10),"")&amp;IF(M452=0,"No constan líneas de medición."&amp;CHAR(10),"")&amp;IF(IF(ISNUMBER(H452),ROUND(ABS(H452),8)&gt;$F$6,FALSE),"Las líneas difieren del total en más de 0,01; confirmamos cantidad o exclusión."&amp;CHAR(10),"")&amp;IF(P452&gt;0,"Parece m³: encontramos tres dimensiones bajo m²."&amp;CHAR(10),"")&amp;IF(R452&gt;0,"Código repetido dentro del capítulo; mantenemos sus ID separados."&amp;CHAR(10),"")&amp;IF(S452&gt;0,"Código repetido en otro capítulo; no unimos las partidas."&amp;CHAR(10),"")&amp;IF(T452&gt;0,"Mismo código con unidades distintas; pedimos aclaración."&amp;CHAR(10),"")&amp;IF(Q452&gt;0,"Hay más precisión que los decimales indicados; cotejamos el formato original."&amp;CHAR(10),"")&amp;IF(U452&gt;0,"Unidad sin normalizar; cotejamos su significado antes de sumar unidades."&amp;CHAR(10),"")&amp;IF(V452&gt;0,"Revisamos dimensiones, cantidades directas, ceros o deducciones en PEGAR."&amp;CHAR(10),"")))</f>
      </c>
      <c r="K452" s="0">
        <f>IF(440&gt;'RESUMEN'!$E$6,"",MATCH(440,'PEGAR'!$W$13:$W$512,0))</f>
      </c>
      <c r="L452" s="0">
        <f>IF(K452="","",INDEX('PEGAR'!$R$13:$R$512,K452))</f>
      </c>
      <c r="M452" s="0">
        <f>IF(B452="","",COUNTIFS('PEGAR'!$O$13:$O$512,B452,'PEGAR'!$P$13:$P$512,"DIMENSIONES")+COUNTIFS('PEGAR'!$O$13:$O$512,B452,'PEGAR'!$P$13:$P$512,"DIRECTA"))</f>
      </c>
      <c r="N452" s="0">
        <f>IF(B452="","",COUNTIFS('PEGAR'!$O$13:$O$512,B452,'PEGAR'!$X$13:$X$512,2))</f>
      </c>
      <c r="O452" s="0">
        <f>IF(B452="","",COUNTIFS('PEGAR'!$O$13:$O$512,B452,'PEGAR'!$P$13:$P$512,"SIN LÍNEAS"))</f>
      </c>
      <c r="P452" s="0">
        <f>IF(B452="","",SUMIFS('PEGAR'!$Y$13:$Y$512,'PEGAR'!$O$13:$O$512,B452))</f>
      </c>
      <c r="Q452" s="0">
        <f>IF(B452="","",SUMIFS('PEGAR'!$Z$13:$Z$512,'PEGAR'!$O$13:$O$512,B452))</f>
      </c>
      <c r="R452" s="0" t="n">
        <f>IF(OR(B452="",D452=""),0,SUMPRODUCT(--($B$13:$B$512&lt;&gt;""),--($D$13:$D$512=D452),--($C$13:$C$512=C452))-1)</f>
        <v>0</v>
      </c>
      <c r="S452" s="0" t="n">
        <f>IF(OR(B452="",D452=""),0,SUMPRODUCT(--($B$13:$B$512&lt;&gt;""),--($D$13:$D$512=D452),--($C$13:$C$512&lt;&gt;C452)))</f>
        <v>0</v>
      </c>
      <c r="T452" s="0" t="n">
        <f>IF(OR(B452="",D452=""),0,SUMPRODUCT(--($B$13:$B$512&lt;&gt;""),--($D$13:$D$512=D452),--($E$13:$E$512&lt;&gt;E452)))</f>
        <v>0</v>
      </c>
      <c r="U452" s="0" t="n">
        <f>IF(B452="",0,IF(SUMPRODUCT(--('LÉEME'!$C$65:$C$86=E452))=0,1,0))</f>
        <v>0</v>
      </c>
      <c r="V452" s="0">
        <f>IF(B452="","",SUMIFS('PEGAR'!$AA$13:$AA$512,'PEGAR'!$O$13:$O$512,B452))</f>
      </c>
      <c r="W452" s="0">
        <f>IF(B452="","",IF(OR(L452=0,N452&gt;0,T452&gt;0,IF(ISNUMBER(H452),ROUND(ABS(H452),8)&gt;$F$6,FALSE)),2,IF(OR(M452=0,O452&gt;0,P452&gt;0,Q452&gt;0,R452&gt;0,S452&gt;0,U452&gt;0,V452&gt;0),1,0)))</f>
      </c>
      <c r="X452" s="0">
        <f>IF(B452="","",IF(ISNUMBER(G452),1,0))</f>
      </c>
      <c r="AB452" s="0">
        <f>IF(AND(ISNUMBER(W452),W452&gt;0),"ID "&amp;B452,"")</f>
      </c>
      <c r="AC452" s="0">
        <f>IF(AND(ISNUMBER(W452),W452&gt;0),C452,"")</f>
      </c>
      <c r="AD452" s="0">
        <f>IF(AND(ISNUMBER(W452),W452&gt;0),D452,"")</f>
      </c>
      <c r="AE452" s="0">
        <f>IF(AND(ISNUMBER(W452),W452&gt;0),IF(INDEX('PEGAR'!$D$13:$D$512,IF(L452&gt;0,L452,K452))="","Sin descripción",INDEX('PEGAR'!$D$13:$D$512,IF(L452&gt;0,L452,K452))),"")</f>
      </c>
      <c r="AF452" s="0">
        <f>IF(AND(ISNUMBER(W452),W452&gt;0),J452,"")</f>
      </c>
      <c r="AG452" s="0" t="n">
        <f>IF(AND(ISNUMBER(W452),W452&gt;0),W452,0)</f>
        <v>0</v>
      </c>
      <c r="AH452" s="0">
        <f>IF(AG452&gt;0,COUNTIFS($AG$13:AG452,"&gt;0"),"")</f>
      </c>
    </row>
    <row r="453" ht="22" customHeight="1">
      <c r="B453" s="27">
        <f>IF(K453="","",INDEX('PEGAR'!$O$13:$O$512,K453))</f>
      </c>
      <c r="C453" s="30">
        <f>IF(B453="","",IF(LEN(TRIM(INDEX('PEGAR'!$B$13:$B$512,IF(L453&gt;0,L453,K453))&amp;""))=0,"Sin capítulo",TRIM(INDEX('PEGAR'!$B$13:$B$512,IF(L453&gt;0,L453,K453))&amp;"")))</f>
      </c>
      <c r="D453" s="27">
        <f>IF(B453="","",IF(LEN(TRIM(INDEX('PEGAR'!$C$13:$C$512,IF(L453&gt;0,L453,K453))&amp;""))=0,"",TRIM(INDEX('PEGAR'!$C$13:$C$512,IF(L453&gt;0,L453,K453))&amp;"")))</f>
      </c>
      <c r="E453" s="27">
        <f>IF(B453="","",INDEX('PEGAR'!$S$13:$S$512,IF(L453&gt;0,L453,K453)))</f>
      </c>
      <c r="F453" s="39">
        <f>IF(B453="","",IF(L453&gt;0,INDEX('PEGAR'!$F$13:$F$512,L453),""))</f>
      </c>
      <c r="G453" s="39">
        <f>IF(B453="","",IF(OR(M453=0,N453&gt;0,O453&gt;0),"",SUMIFS('PEGAR'!$M$13:$M$512,'PEGAR'!$O$13:$O$512,B453)))</f>
      </c>
      <c r="H453" s="39">
        <f>IF(AND(ISNUMBER(F453),ISNUMBER(G453)),G453-F453,"")</f>
      </c>
      <c r="I453" s="27">
        <f>IF(B453="","",IF(W453=2,"ROJO",IF(W453=1,"ÁMBAR","VERDE")))</f>
      </c>
      <c r="J453" s="30">
        <f>IF(B453="","",IF(W453=0,"Sin avisos numéricos. Revisamos el alcance aparte.",IF(L453=0,"Faltan datos completos de partida; no elegimos un total por suposición."&amp;CHAR(10),"")&amp;IF(N453&gt;0,"Hay filas incompletas o contradictorias; las revisamos en PEGAR."&amp;CHAR(10),"")&amp;IF(O453&gt;0,"Faltan las medidas de alguna fila; no cerramos la suma."&amp;CHAR(10),"")&amp;IF(M453=0,"No constan líneas de medición."&amp;CHAR(10),"")&amp;IF(IF(ISNUMBER(H453),ROUND(ABS(H453),8)&gt;$F$6,FALSE),"Las líneas difieren del total en más de 0,01; confirmamos cantidad o exclusión."&amp;CHAR(10),"")&amp;IF(P453&gt;0,"Parece m³: encontramos tres dimensiones bajo m²."&amp;CHAR(10),"")&amp;IF(R453&gt;0,"Código repetido dentro del capítulo; mantenemos sus ID separados."&amp;CHAR(10),"")&amp;IF(S453&gt;0,"Código repetido en otro capítulo; no unimos las partidas."&amp;CHAR(10),"")&amp;IF(T453&gt;0,"Mismo código con unidades distintas; pedimos aclaración."&amp;CHAR(10),"")&amp;IF(Q453&gt;0,"Hay más precisión que los decimales indicados; cotejamos el formato original."&amp;CHAR(10),"")&amp;IF(U453&gt;0,"Unidad sin normalizar; cotejamos su significado antes de sumar unidades."&amp;CHAR(10),"")&amp;IF(V453&gt;0,"Revisamos dimensiones, cantidades directas, ceros o deducciones en PEGAR."&amp;CHAR(10),"")))</f>
      </c>
      <c r="K453" s="0">
        <f>IF(441&gt;'RESUMEN'!$E$6,"",MATCH(441,'PEGAR'!$W$13:$W$512,0))</f>
      </c>
      <c r="L453" s="0">
        <f>IF(K453="","",INDEX('PEGAR'!$R$13:$R$512,K453))</f>
      </c>
      <c r="M453" s="0">
        <f>IF(B453="","",COUNTIFS('PEGAR'!$O$13:$O$512,B453,'PEGAR'!$P$13:$P$512,"DIMENSIONES")+COUNTIFS('PEGAR'!$O$13:$O$512,B453,'PEGAR'!$P$13:$P$512,"DIRECTA"))</f>
      </c>
      <c r="N453" s="0">
        <f>IF(B453="","",COUNTIFS('PEGAR'!$O$13:$O$512,B453,'PEGAR'!$X$13:$X$512,2))</f>
      </c>
      <c r="O453" s="0">
        <f>IF(B453="","",COUNTIFS('PEGAR'!$O$13:$O$512,B453,'PEGAR'!$P$13:$P$512,"SIN LÍNEAS"))</f>
      </c>
      <c r="P453" s="0">
        <f>IF(B453="","",SUMIFS('PEGAR'!$Y$13:$Y$512,'PEGAR'!$O$13:$O$512,B453))</f>
      </c>
      <c r="Q453" s="0">
        <f>IF(B453="","",SUMIFS('PEGAR'!$Z$13:$Z$512,'PEGAR'!$O$13:$O$512,B453))</f>
      </c>
      <c r="R453" s="0" t="n">
        <f>IF(OR(B453="",D453=""),0,SUMPRODUCT(--($B$13:$B$512&lt;&gt;""),--($D$13:$D$512=D453),--($C$13:$C$512=C453))-1)</f>
        <v>0</v>
      </c>
      <c r="S453" s="0" t="n">
        <f>IF(OR(B453="",D453=""),0,SUMPRODUCT(--($B$13:$B$512&lt;&gt;""),--($D$13:$D$512=D453),--($C$13:$C$512&lt;&gt;C453)))</f>
        <v>0</v>
      </c>
      <c r="T453" s="0" t="n">
        <f>IF(OR(B453="",D453=""),0,SUMPRODUCT(--($B$13:$B$512&lt;&gt;""),--($D$13:$D$512=D453),--($E$13:$E$512&lt;&gt;E453)))</f>
        <v>0</v>
      </c>
      <c r="U453" s="0" t="n">
        <f>IF(B453="",0,IF(SUMPRODUCT(--('LÉEME'!$C$65:$C$86=E453))=0,1,0))</f>
        <v>0</v>
      </c>
      <c r="V453" s="0">
        <f>IF(B453="","",SUMIFS('PEGAR'!$AA$13:$AA$512,'PEGAR'!$O$13:$O$512,B453))</f>
      </c>
      <c r="W453" s="0">
        <f>IF(B453="","",IF(OR(L453=0,N453&gt;0,T453&gt;0,IF(ISNUMBER(H453),ROUND(ABS(H453),8)&gt;$F$6,FALSE)),2,IF(OR(M453=0,O453&gt;0,P453&gt;0,Q453&gt;0,R453&gt;0,S453&gt;0,U453&gt;0,V453&gt;0),1,0)))</f>
      </c>
      <c r="X453" s="0">
        <f>IF(B453="","",IF(ISNUMBER(G453),1,0))</f>
      </c>
      <c r="AB453" s="0">
        <f>IF(AND(ISNUMBER(W453),W453&gt;0),"ID "&amp;B453,"")</f>
      </c>
      <c r="AC453" s="0">
        <f>IF(AND(ISNUMBER(W453),W453&gt;0),C453,"")</f>
      </c>
      <c r="AD453" s="0">
        <f>IF(AND(ISNUMBER(W453),W453&gt;0),D453,"")</f>
      </c>
      <c r="AE453" s="0">
        <f>IF(AND(ISNUMBER(W453),W453&gt;0),IF(INDEX('PEGAR'!$D$13:$D$512,IF(L453&gt;0,L453,K453))="","Sin descripción",INDEX('PEGAR'!$D$13:$D$512,IF(L453&gt;0,L453,K453))),"")</f>
      </c>
      <c r="AF453" s="0">
        <f>IF(AND(ISNUMBER(W453),W453&gt;0),J453,"")</f>
      </c>
      <c r="AG453" s="0" t="n">
        <f>IF(AND(ISNUMBER(W453),W453&gt;0),W453,0)</f>
        <v>0</v>
      </c>
      <c r="AH453" s="0">
        <f>IF(AG453&gt;0,COUNTIFS($AG$13:AG453,"&gt;0"),"")</f>
      </c>
    </row>
    <row r="454" ht="22" customHeight="1">
      <c r="B454" s="27">
        <f>IF(K454="","",INDEX('PEGAR'!$O$13:$O$512,K454))</f>
      </c>
      <c r="C454" s="30">
        <f>IF(B454="","",IF(LEN(TRIM(INDEX('PEGAR'!$B$13:$B$512,IF(L454&gt;0,L454,K454))&amp;""))=0,"Sin capítulo",TRIM(INDEX('PEGAR'!$B$13:$B$512,IF(L454&gt;0,L454,K454))&amp;"")))</f>
      </c>
      <c r="D454" s="27">
        <f>IF(B454="","",IF(LEN(TRIM(INDEX('PEGAR'!$C$13:$C$512,IF(L454&gt;0,L454,K454))&amp;""))=0,"",TRIM(INDEX('PEGAR'!$C$13:$C$512,IF(L454&gt;0,L454,K454))&amp;"")))</f>
      </c>
      <c r="E454" s="27">
        <f>IF(B454="","",INDEX('PEGAR'!$S$13:$S$512,IF(L454&gt;0,L454,K454)))</f>
      </c>
      <c r="F454" s="39">
        <f>IF(B454="","",IF(L454&gt;0,INDEX('PEGAR'!$F$13:$F$512,L454),""))</f>
      </c>
      <c r="G454" s="39">
        <f>IF(B454="","",IF(OR(M454=0,N454&gt;0,O454&gt;0),"",SUMIFS('PEGAR'!$M$13:$M$512,'PEGAR'!$O$13:$O$512,B454)))</f>
      </c>
      <c r="H454" s="39">
        <f>IF(AND(ISNUMBER(F454),ISNUMBER(G454)),G454-F454,"")</f>
      </c>
      <c r="I454" s="27">
        <f>IF(B454="","",IF(W454=2,"ROJO",IF(W454=1,"ÁMBAR","VERDE")))</f>
      </c>
      <c r="J454" s="30">
        <f>IF(B454="","",IF(W454=0,"Sin avisos numéricos. Revisamos el alcance aparte.",IF(L454=0,"Faltan datos completos de partida; no elegimos un total por suposición."&amp;CHAR(10),"")&amp;IF(N454&gt;0,"Hay filas incompletas o contradictorias; las revisamos en PEGAR."&amp;CHAR(10),"")&amp;IF(O454&gt;0,"Faltan las medidas de alguna fila; no cerramos la suma."&amp;CHAR(10),"")&amp;IF(M454=0,"No constan líneas de medición."&amp;CHAR(10),"")&amp;IF(IF(ISNUMBER(H454),ROUND(ABS(H454),8)&gt;$F$6,FALSE),"Las líneas difieren del total en más de 0,01; confirmamos cantidad o exclusión."&amp;CHAR(10),"")&amp;IF(P454&gt;0,"Parece m³: encontramos tres dimensiones bajo m²."&amp;CHAR(10),"")&amp;IF(R454&gt;0,"Código repetido dentro del capítulo; mantenemos sus ID separados."&amp;CHAR(10),"")&amp;IF(S454&gt;0,"Código repetido en otro capítulo; no unimos las partidas."&amp;CHAR(10),"")&amp;IF(T454&gt;0,"Mismo código con unidades distintas; pedimos aclaración."&amp;CHAR(10),"")&amp;IF(Q454&gt;0,"Hay más precisión que los decimales indicados; cotejamos el formato original."&amp;CHAR(10),"")&amp;IF(U454&gt;0,"Unidad sin normalizar; cotejamos su significado antes de sumar unidades."&amp;CHAR(10),"")&amp;IF(V454&gt;0,"Revisamos dimensiones, cantidades directas, ceros o deducciones en PEGAR."&amp;CHAR(10),"")))</f>
      </c>
      <c r="K454" s="0">
        <f>IF(442&gt;'RESUMEN'!$E$6,"",MATCH(442,'PEGAR'!$W$13:$W$512,0))</f>
      </c>
      <c r="L454" s="0">
        <f>IF(K454="","",INDEX('PEGAR'!$R$13:$R$512,K454))</f>
      </c>
      <c r="M454" s="0">
        <f>IF(B454="","",COUNTIFS('PEGAR'!$O$13:$O$512,B454,'PEGAR'!$P$13:$P$512,"DIMENSIONES")+COUNTIFS('PEGAR'!$O$13:$O$512,B454,'PEGAR'!$P$13:$P$512,"DIRECTA"))</f>
      </c>
      <c r="N454" s="0">
        <f>IF(B454="","",COUNTIFS('PEGAR'!$O$13:$O$512,B454,'PEGAR'!$X$13:$X$512,2))</f>
      </c>
      <c r="O454" s="0">
        <f>IF(B454="","",COUNTIFS('PEGAR'!$O$13:$O$512,B454,'PEGAR'!$P$13:$P$512,"SIN LÍNEAS"))</f>
      </c>
      <c r="P454" s="0">
        <f>IF(B454="","",SUMIFS('PEGAR'!$Y$13:$Y$512,'PEGAR'!$O$13:$O$512,B454))</f>
      </c>
      <c r="Q454" s="0">
        <f>IF(B454="","",SUMIFS('PEGAR'!$Z$13:$Z$512,'PEGAR'!$O$13:$O$512,B454))</f>
      </c>
      <c r="R454" s="0" t="n">
        <f>IF(OR(B454="",D454=""),0,SUMPRODUCT(--($B$13:$B$512&lt;&gt;""),--($D$13:$D$512=D454),--($C$13:$C$512=C454))-1)</f>
        <v>0</v>
      </c>
      <c r="S454" s="0" t="n">
        <f>IF(OR(B454="",D454=""),0,SUMPRODUCT(--($B$13:$B$512&lt;&gt;""),--($D$13:$D$512=D454),--($C$13:$C$512&lt;&gt;C454)))</f>
        <v>0</v>
      </c>
      <c r="T454" s="0" t="n">
        <f>IF(OR(B454="",D454=""),0,SUMPRODUCT(--($B$13:$B$512&lt;&gt;""),--($D$13:$D$512=D454),--($E$13:$E$512&lt;&gt;E454)))</f>
        <v>0</v>
      </c>
      <c r="U454" s="0" t="n">
        <f>IF(B454="",0,IF(SUMPRODUCT(--('LÉEME'!$C$65:$C$86=E454))=0,1,0))</f>
        <v>0</v>
      </c>
      <c r="V454" s="0">
        <f>IF(B454="","",SUMIFS('PEGAR'!$AA$13:$AA$512,'PEGAR'!$O$13:$O$512,B454))</f>
      </c>
      <c r="W454" s="0">
        <f>IF(B454="","",IF(OR(L454=0,N454&gt;0,T454&gt;0,IF(ISNUMBER(H454),ROUND(ABS(H454),8)&gt;$F$6,FALSE)),2,IF(OR(M454=0,O454&gt;0,P454&gt;0,Q454&gt;0,R454&gt;0,S454&gt;0,U454&gt;0,V454&gt;0),1,0)))</f>
      </c>
      <c r="X454" s="0">
        <f>IF(B454="","",IF(ISNUMBER(G454),1,0))</f>
      </c>
      <c r="AB454" s="0">
        <f>IF(AND(ISNUMBER(W454),W454&gt;0),"ID "&amp;B454,"")</f>
      </c>
      <c r="AC454" s="0">
        <f>IF(AND(ISNUMBER(W454),W454&gt;0),C454,"")</f>
      </c>
      <c r="AD454" s="0">
        <f>IF(AND(ISNUMBER(W454),W454&gt;0),D454,"")</f>
      </c>
      <c r="AE454" s="0">
        <f>IF(AND(ISNUMBER(W454),W454&gt;0),IF(INDEX('PEGAR'!$D$13:$D$512,IF(L454&gt;0,L454,K454))="","Sin descripción",INDEX('PEGAR'!$D$13:$D$512,IF(L454&gt;0,L454,K454))),"")</f>
      </c>
      <c r="AF454" s="0">
        <f>IF(AND(ISNUMBER(W454),W454&gt;0),J454,"")</f>
      </c>
      <c r="AG454" s="0" t="n">
        <f>IF(AND(ISNUMBER(W454),W454&gt;0),W454,0)</f>
        <v>0</v>
      </c>
      <c r="AH454" s="0">
        <f>IF(AG454&gt;0,COUNTIFS($AG$13:AG454,"&gt;0"),"")</f>
      </c>
    </row>
    <row r="455" ht="22" customHeight="1">
      <c r="B455" s="27">
        <f>IF(K455="","",INDEX('PEGAR'!$O$13:$O$512,K455))</f>
      </c>
      <c r="C455" s="30">
        <f>IF(B455="","",IF(LEN(TRIM(INDEX('PEGAR'!$B$13:$B$512,IF(L455&gt;0,L455,K455))&amp;""))=0,"Sin capítulo",TRIM(INDEX('PEGAR'!$B$13:$B$512,IF(L455&gt;0,L455,K455))&amp;"")))</f>
      </c>
      <c r="D455" s="27">
        <f>IF(B455="","",IF(LEN(TRIM(INDEX('PEGAR'!$C$13:$C$512,IF(L455&gt;0,L455,K455))&amp;""))=0,"",TRIM(INDEX('PEGAR'!$C$13:$C$512,IF(L455&gt;0,L455,K455))&amp;"")))</f>
      </c>
      <c r="E455" s="27">
        <f>IF(B455="","",INDEX('PEGAR'!$S$13:$S$512,IF(L455&gt;0,L455,K455)))</f>
      </c>
      <c r="F455" s="39">
        <f>IF(B455="","",IF(L455&gt;0,INDEX('PEGAR'!$F$13:$F$512,L455),""))</f>
      </c>
      <c r="G455" s="39">
        <f>IF(B455="","",IF(OR(M455=0,N455&gt;0,O455&gt;0),"",SUMIFS('PEGAR'!$M$13:$M$512,'PEGAR'!$O$13:$O$512,B455)))</f>
      </c>
      <c r="H455" s="39">
        <f>IF(AND(ISNUMBER(F455),ISNUMBER(G455)),G455-F455,"")</f>
      </c>
      <c r="I455" s="27">
        <f>IF(B455="","",IF(W455=2,"ROJO",IF(W455=1,"ÁMBAR","VERDE")))</f>
      </c>
      <c r="J455" s="30">
        <f>IF(B455="","",IF(W455=0,"Sin avisos numéricos. Revisamos el alcance aparte.",IF(L455=0,"Faltan datos completos de partida; no elegimos un total por suposición."&amp;CHAR(10),"")&amp;IF(N455&gt;0,"Hay filas incompletas o contradictorias; las revisamos en PEGAR."&amp;CHAR(10),"")&amp;IF(O455&gt;0,"Faltan las medidas de alguna fila; no cerramos la suma."&amp;CHAR(10),"")&amp;IF(M455=0,"No constan líneas de medición."&amp;CHAR(10),"")&amp;IF(IF(ISNUMBER(H455),ROUND(ABS(H455),8)&gt;$F$6,FALSE),"Las líneas difieren del total en más de 0,01; confirmamos cantidad o exclusión."&amp;CHAR(10),"")&amp;IF(P455&gt;0,"Parece m³: encontramos tres dimensiones bajo m²."&amp;CHAR(10),"")&amp;IF(R455&gt;0,"Código repetido dentro del capítulo; mantenemos sus ID separados."&amp;CHAR(10),"")&amp;IF(S455&gt;0,"Código repetido en otro capítulo; no unimos las partidas."&amp;CHAR(10),"")&amp;IF(T455&gt;0,"Mismo código con unidades distintas; pedimos aclaración."&amp;CHAR(10),"")&amp;IF(Q455&gt;0,"Hay más precisión que los decimales indicados; cotejamos el formato original."&amp;CHAR(10),"")&amp;IF(U455&gt;0,"Unidad sin normalizar; cotejamos su significado antes de sumar unidades."&amp;CHAR(10),"")&amp;IF(V455&gt;0,"Revisamos dimensiones, cantidades directas, ceros o deducciones en PEGAR."&amp;CHAR(10),"")))</f>
      </c>
      <c r="K455" s="0">
        <f>IF(443&gt;'RESUMEN'!$E$6,"",MATCH(443,'PEGAR'!$W$13:$W$512,0))</f>
      </c>
      <c r="L455" s="0">
        <f>IF(K455="","",INDEX('PEGAR'!$R$13:$R$512,K455))</f>
      </c>
      <c r="M455" s="0">
        <f>IF(B455="","",COUNTIFS('PEGAR'!$O$13:$O$512,B455,'PEGAR'!$P$13:$P$512,"DIMENSIONES")+COUNTIFS('PEGAR'!$O$13:$O$512,B455,'PEGAR'!$P$13:$P$512,"DIRECTA"))</f>
      </c>
      <c r="N455" s="0">
        <f>IF(B455="","",COUNTIFS('PEGAR'!$O$13:$O$512,B455,'PEGAR'!$X$13:$X$512,2))</f>
      </c>
      <c r="O455" s="0">
        <f>IF(B455="","",COUNTIFS('PEGAR'!$O$13:$O$512,B455,'PEGAR'!$P$13:$P$512,"SIN LÍNEAS"))</f>
      </c>
      <c r="P455" s="0">
        <f>IF(B455="","",SUMIFS('PEGAR'!$Y$13:$Y$512,'PEGAR'!$O$13:$O$512,B455))</f>
      </c>
      <c r="Q455" s="0">
        <f>IF(B455="","",SUMIFS('PEGAR'!$Z$13:$Z$512,'PEGAR'!$O$13:$O$512,B455))</f>
      </c>
      <c r="R455" s="0" t="n">
        <f>IF(OR(B455="",D455=""),0,SUMPRODUCT(--($B$13:$B$512&lt;&gt;""),--($D$13:$D$512=D455),--($C$13:$C$512=C455))-1)</f>
        <v>0</v>
      </c>
      <c r="S455" s="0" t="n">
        <f>IF(OR(B455="",D455=""),0,SUMPRODUCT(--($B$13:$B$512&lt;&gt;""),--($D$13:$D$512=D455),--($C$13:$C$512&lt;&gt;C455)))</f>
        <v>0</v>
      </c>
      <c r="T455" s="0" t="n">
        <f>IF(OR(B455="",D455=""),0,SUMPRODUCT(--($B$13:$B$512&lt;&gt;""),--($D$13:$D$512=D455),--($E$13:$E$512&lt;&gt;E455)))</f>
        <v>0</v>
      </c>
      <c r="U455" s="0" t="n">
        <f>IF(B455="",0,IF(SUMPRODUCT(--('LÉEME'!$C$65:$C$86=E455))=0,1,0))</f>
        <v>0</v>
      </c>
      <c r="V455" s="0">
        <f>IF(B455="","",SUMIFS('PEGAR'!$AA$13:$AA$512,'PEGAR'!$O$13:$O$512,B455))</f>
      </c>
      <c r="W455" s="0">
        <f>IF(B455="","",IF(OR(L455=0,N455&gt;0,T455&gt;0,IF(ISNUMBER(H455),ROUND(ABS(H455),8)&gt;$F$6,FALSE)),2,IF(OR(M455=0,O455&gt;0,P455&gt;0,Q455&gt;0,R455&gt;0,S455&gt;0,U455&gt;0,V455&gt;0),1,0)))</f>
      </c>
      <c r="X455" s="0">
        <f>IF(B455="","",IF(ISNUMBER(G455),1,0))</f>
      </c>
      <c r="AB455" s="0">
        <f>IF(AND(ISNUMBER(W455),W455&gt;0),"ID "&amp;B455,"")</f>
      </c>
      <c r="AC455" s="0">
        <f>IF(AND(ISNUMBER(W455),W455&gt;0),C455,"")</f>
      </c>
      <c r="AD455" s="0">
        <f>IF(AND(ISNUMBER(W455),W455&gt;0),D455,"")</f>
      </c>
      <c r="AE455" s="0">
        <f>IF(AND(ISNUMBER(W455),W455&gt;0),IF(INDEX('PEGAR'!$D$13:$D$512,IF(L455&gt;0,L455,K455))="","Sin descripción",INDEX('PEGAR'!$D$13:$D$512,IF(L455&gt;0,L455,K455))),"")</f>
      </c>
      <c r="AF455" s="0">
        <f>IF(AND(ISNUMBER(W455),W455&gt;0),J455,"")</f>
      </c>
      <c r="AG455" s="0" t="n">
        <f>IF(AND(ISNUMBER(W455),W455&gt;0),W455,0)</f>
        <v>0</v>
      </c>
      <c r="AH455" s="0">
        <f>IF(AG455&gt;0,COUNTIFS($AG$13:AG455,"&gt;0"),"")</f>
      </c>
    </row>
    <row r="456" ht="22" customHeight="1">
      <c r="B456" s="27">
        <f>IF(K456="","",INDEX('PEGAR'!$O$13:$O$512,K456))</f>
      </c>
      <c r="C456" s="30">
        <f>IF(B456="","",IF(LEN(TRIM(INDEX('PEGAR'!$B$13:$B$512,IF(L456&gt;0,L456,K456))&amp;""))=0,"Sin capítulo",TRIM(INDEX('PEGAR'!$B$13:$B$512,IF(L456&gt;0,L456,K456))&amp;"")))</f>
      </c>
      <c r="D456" s="27">
        <f>IF(B456="","",IF(LEN(TRIM(INDEX('PEGAR'!$C$13:$C$512,IF(L456&gt;0,L456,K456))&amp;""))=0,"",TRIM(INDEX('PEGAR'!$C$13:$C$512,IF(L456&gt;0,L456,K456))&amp;"")))</f>
      </c>
      <c r="E456" s="27">
        <f>IF(B456="","",INDEX('PEGAR'!$S$13:$S$512,IF(L456&gt;0,L456,K456)))</f>
      </c>
      <c r="F456" s="39">
        <f>IF(B456="","",IF(L456&gt;0,INDEX('PEGAR'!$F$13:$F$512,L456),""))</f>
      </c>
      <c r="G456" s="39">
        <f>IF(B456="","",IF(OR(M456=0,N456&gt;0,O456&gt;0),"",SUMIFS('PEGAR'!$M$13:$M$512,'PEGAR'!$O$13:$O$512,B456)))</f>
      </c>
      <c r="H456" s="39">
        <f>IF(AND(ISNUMBER(F456),ISNUMBER(G456)),G456-F456,"")</f>
      </c>
      <c r="I456" s="27">
        <f>IF(B456="","",IF(W456=2,"ROJO",IF(W456=1,"ÁMBAR","VERDE")))</f>
      </c>
      <c r="J456" s="30">
        <f>IF(B456="","",IF(W456=0,"Sin avisos numéricos. Revisamos el alcance aparte.",IF(L456=0,"Faltan datos completos de partida; no elegimos un total por suposición."&amp;CHAR(10),"")&amp;IF(N456&gt;0,"Hay filas incompletas o contradictorias; las revisamos en PEGAR."&amp;CHAR(10),"")&amp;IF(O456&gt;0,"Faltan las medidas de alguna fila; no cerramos la suma."&amp;CHAR(10),"")&amp;IF(M456=0,"No constan líneas de medición."&amp;CHAR(10),"")&amp;IF(IF(ISNUMBER(H456),ROUND(ABS(H456),8)&gt;$F$6,FALSE),"Las líneas difieren del total en más de 0,01; confirmamos cantidad o exclusión."&amp;CHAR(10),"")&amp;IF(P456&gt;0,"Parece m³: encontramos tres dimensiones bajo m²."&amp;CHAR(10),"")&amp;IF(R456&gt;0,"Código repetido dentro del capítulo; mantenemos sus ID separados."&amp;CHAR(10),"")&amp;IF(S456&gt;0,"Código repetido en otro capítulo; no unimos las partidas."&amp;CHAR(10),"")&amp;IF(T456&gt;0,"Mismo código con unidades distintas; pedimos aclaración."&amp;CHAR(10),"")&amp;IF(Q456&gt;0,"Hay más precisión que los decimales indicados; cotejamos el formato original."&amp;CHAR(10),"")&amp;IF(U456&gt;0,"Unidad sin normalizar; cotejamos su significado antes de sumar unidades."&amp;CHAR(10),"")&amp;IF(V456&gt;0,"Revisamos dimensiones, cantidades directas, ceros o deducciones en PEGAR."&amp;CHAR(10),"")))</f>
      </c>
      <c r="K456" s="0">
        <f>IF(444&gt;'RESUMEN'!$E$6,"",MATCH(444,'PEGAR'!$W$13:$W$512,0))</f>
      </c>
      <c r="L456" s="0">
        <f>IF(K456="","",INDEX('PEGAR'!$R$13:$R$512,K456))</f>
      </c>
      <c r="M456" s="0">
        <f>IF(B456="","",COUNTIFS('PEGAR'!$O$13:$O$512,B456,'PEGAR'!$P$13:$P$512,"DIMENSIONES")+COUNTIFS('PEGAR'!$O$13:$O$512,B456,'PEGAR'!$P$13:$P$512,"DIRECTA"))</f>
      </c>
      <c r="N456" s="0">
        <f>IF(B456="","",COUNTIFS('PEGAR'!$O$13:$O$512,B456,'PEGAR'!$X$13:$X$512,2))</f>
      </c>
      <c r="O456" s="0">
        <f>IF(B456="","",COUNTIFS('PEGAR'!$O$13:$O$512,B456,'PEGAR'!$P$13:$P$512,"SIN LÍNEAS"))</f>
      </c>
      <c r="P456" s="0">
        <f>IF(B456="","",SUMIFS('PEGAR'!$Y$13:$Y$512,'PEGAR'!$O$13:$O$512,B456))</f>
      </c>
      <c r="Q456" s="0">
        <f>IF(B456="","",SUMIFS('PEGAR'!$Z$13:$Z$512,'PEGAR'!$O$13:$O$512,B456))</f>
      </c>
      <c r="R456" s="0" t="n">
        <f>IF(OR(B456="",D456=""),0,SUMPRODUCT(--($B$13:$B$512&lt;&gt;""),--($D$13:$D$512=D456),--($C$13:$C$512=C456))-1)</f>
        <v>0</v>
      </c>
      <c r="S456" s="0" t="n">
        <f>IF(OR(B456="",D456=""),0,SUMPRODUCT(--($B$13:$B$512&lt;&gt;""),--($D$13:$D$512=D456),--($C$13:$C$512&lt;&gt;C456)))</f>
        <v>0</v>
      </c>
      <c r="T456" s="0" t="n">
        <f>IF(OR(B456="",D456=""),0,SUMPRODUCT(--($B$13:$B$512&lt;&gt;""),--($D$13:$D$512=D456),--($E$13:$E$512&lt;&gt;E456)))</f>
        <v>0</v>
      </c>
      <c r="U456" s="0" t="n">
        <f>IF(B456="",0,IF(SUMPRODUCT(--('LÉEME'!$C$65:$C$86=E456))=0,1,0))</f>
        <v>0</v>
      </c>
      <c r="V456" s="0">
        <f>IF(B456="","",SUMIFS('PEGAR'!$AA$13:$AA$512,'PEGAR'!$O$13:$O$512,B456))</f>
      </c>
      <c r="W456" s="0">
        <f>IF(B456="","",IF(OR(L456=0,N456&gt;0,T456&gt;0,IF(ISNUMBER(H456),ROUND(ABS(H456),8)&gt;$F$6,FALSE)),2,IF(OR(M456=0,O456&gt;0,P456&gt;0,Q456&gt;0,R456&gt;0,S456&gt;0,U456&gt;0,V456&gt;0),1,0)))</f>
      </c>
      <c r="X456" s="0">
        <f>IF(B456="","",IF(ISNUMBER(G456),1,0))</f>
      </c>
      <c r="AB456" s="0">
        <f>IF(AND(ISNUMBER(W456),W456&gt;0),"ID "&amp;B456,"")</f>
      </c>
      <c r="AC456" s="0">
        <f>IF(AND(ISNUMBER(W456),W456&gt;0),C456,"")</f>
      </c>
      <c r="AD456" s="0">
        <f>IF(AND(ISNUMBER(W456),W456&gt;0),D456,"")</f>
      </c>
      <c r="AE456" s="0">
        <f>IF(AND(ISNUMBER(W456),W456&gt;0),IF(INDEX('PEGAR'!$D$13:$D$512,IF(L456&gt;0,L456,K456))="","Sin descripción",INDEX('PEGAR'!$D$13:$D$512,IF(L456&gt;0,L456,K456))),"")</f>
      </c>
      <c r="AF456" s="0">
        <f>IF(AND(ISNUMBER(W456),W456&gt;0),J456,"")</f>
      </c>
      <c r="AG456" s="0" t="n">
        <f>IF(AND(ISNUMBER(W456),W456&gt;0),W456,0)</f>
        <v>0</v>
      </c>
      <c r="AH456" s="0">
        <f>IF(AG456&gt;0,COUNTIFS($AG$13:AG456,"&gt;0"),"")</f>
      </c>
    </row>
    <row r="457" ht="22" customHeight="1">
      <c r="B457" s="27">
        <f>IF(K457="","",INDEX('PEGAR'!$O$13:$O$512,K457))</f>
      </c>
      <c r="C457" s="30">
        <f>IF(B457="","",IF(LEN(TRIM(INDEX('PEGAR'!$B$13:$B$512,IF(L457&gt;0,L457,K457))&amp;""))=0,"Sin capítulo",TRIM(INDEX('PEGAR'!$B$13:$B$512,IF(L457&gt;0,L457,K457))&amp;"")))</f>
      </c>
      <c r="D457" s="27">
        <f>IF(B457="","",IF(LEN(TRIM(INDEX('PEGAR'!$C$13:$C$512,IF(L457&gt;0,L457,K457))&amp;""))=0,"",TRIM(INDEX('PEGAR'!$C$13:$C$512,IF(L457&gt;0,L457,K457))&amp;"")))</f>
      </c>
      <c r="E457" s="27">
        <f>IF(B457="","",INDEX('PEGAR'!$S$13:$S$512,IF(L457&gt;0,L457,K457)))</f>
      </c>
      <c r="F457" s="39">
        <f>IF(B457="","",IF(L457&gt;0,INDEX('PEGAR'!$F$13:$F$512,L457),""))</f>
      </c>
      <c r="G457" s="39">
        <f>IF(B457="","",IF(OR(M457=0,N457&gt;0,O457&gt;0),"",SUMIFS('PEGAR'!$M$13:$M$512,'PEGAR'!$O$13:$O$512,B457)))</f>
      </c>
      <c r="H457" s="39">
        <f>IF(AND(ISNUMBER(F457),ISNUMBER(G457)),G457-F457,"")</f>
      </c>
      <c r="I457" s="27">
        <f>IF(B457="","",IF(W457=2,"ROJO",IF(W457=1,"ÁMBAR","VERDE")))</f>
      </c>
      <c r="J457" s="30">
        <f>IF(B457="","",IF(W457=0,"Sin avisos numéricos. Revisamos el alcance aparte.",IF(L457=0,"Faltan datos completos de partida; no elegimos un total por suposición."&amp;CHAR(10),"")&amp;IF(N457&gt;0,"Hay filas incompletas o contradictorias; las revisamos en PEGAR."&amp;CHAR(10),"")&amp;IF(O457&gt;0,"Faltan las medidas de alguna fila; no cerramos la suma."&amp;CHAR(10),"")&amp;IF(M457=0,"No constan líneas de medición."&amp;CHAR(10),"")&amp;IF(IF(ISNUMBER(H457),ROUND(ABS(H457),8)&gt;$F$6,FALSE),"Las líneas difieren del total en más de 0,01; confirmamos cantidad o exclusión."&amp;CHAR(10),"")&amp;IF(P457&gt;0,"Parece m³: encontramos tres dimensiones bajo m²."&amp;CHAR(10),"")&amp;IF(R457&gt;0,"Código repetido dentro del capítulo; mantenemos sus ID separados."&amp;CHAR(10),"")&amp;IF(S457&gt;0,"Código repetido en otro capítulo; no unimos las partidas."&amp;CHAR(10),"")&amp;IF(T457&gt;0,"Mismo código con unidades distintas; pedimos aclaración."&amp;CHAR(10),"")&amp;IF(Q457&gt;0,"Hay más precisión que los decimales indicados; cotejamos el formato original."&amp;CHAR(10),"")&amp;IF(U457&gt;0,"Unidad sin normalizar; cotejamos su significado antes de sumar unidades."&amp;CHAR(10),"")&amp;IF(V457&gt;0,"Revisamos dimensiones, cantidades directas, ceros o deducciones en PEGAR."&amp;CHAR(10),"")))</f>
      </c>
      <c r="K457" s="0">
        <f>IF(445&gt;'RESUMEN'!$E$6,"",MATCH(445,'PEGAR'!$W$13:$W$512,0))</f>
      </c>
      <c r="L457" s="0">
        <f>IF(K457="","",INDEX('PEGAR'!$R$13:$R$512,K457))</f>
      </c>
      <c r="M457" s="0">
        <f>IF(B457="","",COUNTIFS('PEGAR'!$O$13:$O$512,B457,'PEGAR'!$P$13:$P$512,"DIMENSIONES")+COUNTIFS('PEGAR'!$O$13:$O$512,B457,'PEGAR'!$P$13:$P$512,"DIRECTA"))</f>
      </c>
      <c r="N457" s="0">
        <f>IF(B457="","",COUNTIFS('PEGAR'!$O$13:$O$512,B457,'PEGAR'!$X$13:$X$512,2))</f>
      </c>
      <c r="O457" s="0">
        <f>IF(B457="","",COUNTIFS('PEGAR'!$O$13:$O$512,B457,'PEGAR'!$P$13:$P$512,"SIN LÍNEAS"))</f>
      </c>
      <c r="P457" s="0">
        <f>IF(B457="","",SUMIFS('PEGAR'!$Y$13:$Y$512,'PEGAR'!$O$13:$O$512,B457))</f>
      </c>
      <c r="Q457" s="0">
        <f>IF(B457="","",SUMIFS('PEGAR'!$Z$13:$Z$512,'PEGAR'!$O$13:$O$512,B457))</f>
      </c>
      <c r="R457" s="0" t="n">
        <f>IF(OR(B457="",D457=""),0,SUMPRODUCT(--($B$13:$B$512&lt;&gt;""),--($D$13:$D$512=D457),--($C$13:$C$512=C457))-1)</f>
        <v>0</v>
      </c>
      <c r="S457" s="0" t="n">
        <f>IF(OR(B457="",D457=""),0,SUMPRODUCT(--($B$13:$B$512&lt;&gt;""),--($D$13:$D$512=D457),--($C$13:$C$512&lt;&gt;C457)))</f>
        <v>0</v>
      </c>
      <c r="T457" s="0" t="n">
        <f>IF(OR(B457="",D457=""),0,SUMPRODUCT(--($B$13:$B$512&lt;&gt;""),--($D$13:$D$512=D457),--($E$13:$E$512&lt;&gt;E457)))</f>
        <v>0</v>
      </c>
      <c r="U457" s="0" t="n">
        <f>IF(B457="",0,IF(SUMPRODUCT(--('LÉEME'!$C$65:$C$86=E457))=0,1,0))</f>
        <v>0</v>
      </c>
      <c r="V457" s="0">
        <f>IF(B457="","",SUMIFS('PEGAR'!$AA$13:$AA$512,'PEGAR'!$O$13:$O$512,B457))</f>
      </c>
      <c r="W457" s="0">
        <f>IF(B457="","",IF(OR(L457=0,N457&gt;0,T457&gt;0,IF(ISNUMBER(H457),ROUND(ABS(H457),8)&gt;$F$6,FALSE)),2,IF(OR(M457=0,O457&gt;0,P457&gt;0,Q457&gt;0,R457&gt;0,S457&gt;0,U457&gt;0,V457&gt;0),1,0)))</f>
      </c>
      <c r="X457" s="0">
        <f>IF(B457="","",IF(ISNUMBER(G457),1,0))</f>
      </c>
      <c r="AB457" s="0">
        <f>IF(AND(ISNUMBER(W457),W457&gt;0),"ID "&amp;B457,"")</f>
      </c>
      <c r="AC457" s="0">
        <f>IF(AND(ISNUMBER(W457),W457&gt;0),C457,"")</f>
      </c>
      <c r="AD457" s="0">
        <f>IF(AND(ISNUMBER(W457),W457&gt;0),D457,"")</f>
      </c>
      <c r="AE457" s="0">
        <f>IF(AND(ISNUMBER(W457),W457&gt;0),IF(INDEX('PEGAR'!$D$13:$D$512,IF(L457&gt;0,L457,K457))="","Sin descripción",INDEX('PEGAR'!$D$13:$D$512,IF(L457&gt;0,L457,K457))),"")</f>
      </c>
      <c r="AF457" s="0">
        <f>IF(AND(ISNUMBER(W457),W457&gt;0),J457,"")</f>
      </c>
      <c r="AG457" s="0" t="n">
        <f>IF(AND(ISNUMBER(W457),W457&gt;0),W457,0)</f>
        <v>0</v>
      </c>
      <c r="AH457" s="0">
        <f>IF(AG457&gt;0,COUNTIFS($AG$13:AG457,"&gt;0"),"")</f>
      </c>
    </row>
    <row r="458" ht="22" customHeight="1">
      <c r="B458" s="27">
        <f>IF(K458="","",INDEX('PEGAR'!$O$13:$O$512,K458))</f>
      </c>
      <c r="C458" s="30">
        <f>IF(B458="","",IF(LEN(TRIM(INDEX('PEGAR'!$B$13:$B$512,IF(L458&gt;0,L458,K458))&amp;""))=0,"Sin capítulo",TRIM(INDEX('PEGAR'!$B$13:$B$512,IF(L458&gt;0,L458,K458))&amp;"")))</f>
      </c>
      <c r="D458" s="27">
        <f>IF(B458="","",IF(LEN(TRIM(INDEX('PEGAR'!$C$13:$C$512,IF(L458&gt;0,L458,K458))&amp;""))=0,"",TRIM(INDEX('PEGAR'!$C$13:$C$512,IF(L458&gt;0,L458,K458))&amp;"")))</f>
      </c>
      <c r="E458" s="27">
        <f>IF(B458="","",INDEX('PEGAR'!$S$13:$S$512,IF(L458&gt;0,L458,K458)))</f>
      </c>
      <c r="F458" s="39">
        <f>IF(B458="","",IF(L458&gt;0,INDEX('PEGAR'!$F$13:$F$512,L458),""))</f>
      </c>
      <c r="G458" s="39">
        <f>IF(B458="","",IF(OR(M458=0,N458&gt;0,O458&gt;0),"",SUMIFS('PEGAR'!$M$13:$M$512,'PEGAR'!$O$13:$O$512,B458)))</f>
      </c>
      <c r="H458" s="39">
        <f>IF(AND(ISNUMBER(F458),ISNUMBER(G458)),G458-F458,"")</f>
      </c>
      <c r="I458" s="27">
        <f>IF(B458="","",IF(W458=2,"ROJO",IF(W458=1,"ÁMBAR","VERDE")))</f>
      </c>
      <c r="J458" s="30">
        <f>IF(B458="","",IF(W458=0,"Sin avisos numéricos. Revisamos el alcance aparte.",IF(L458=0,"Faltan datos completos de partida; no elegimos un total por suposición."&amp;CHAR(10),"")&amp;IF(N458&gt;0,"Hay filas incompletas o contradictorias; las revisamos en PEGAR."&amp;CHAR(10),"")&amp;IF(O458&gt;0,"Faltan las medidas de alguna fila; no cerramos la suma."&amp;CHAR(10),"")&amp;IF(M458=0,"No constan líneas de medición."&amp;CHAR(10),"")&amp;IF(IF(ISNUMBER(H458),ROUND(ABS(H458),8)&gt;$F$6,FALSE),"Las líneas difieren del total en más de 0,01; confirmamos cantidad o exclusión."&amp;CHAR(10),"")&amp;IF(P458&gt;0,"Parece m³: encontramos tres dimensiones bajo m²."&amp;CHAR(10),"")&amp;IF(R458&gt;0,"Código repetido dentro del capítulo; mantenemos sus ID separados."&amp;CHAR(10),"")&amp;IF(S458&gt;0,"Código repetido en otro capítulo; no unimos las partidas."&amp;CHAR(10),"")&amp;IF(T458&gt;0,"Mismo código con unidades distintas; pedimos aclaración."&amp;CHAR(10),"")&amp;IF(Q458&gt;0,"Hay más precisión que los decimales indicados; cotejamos el formato original."&amp;CHAR(10),"")&amp;IF(U458&gt;0,"Unidad sin normalizar; cotejamos su significado antes de sumar unidades."&amp;CHAR(10),"")&amp;IF(V458&gt;0,"Revisamos dimensiones, cantidades directas, ceros o deducciones en PEGAR."&amp;CHAR(10),"")))</f>
      </c>
      <c r="K458" s="0">
        <f>IF(446&gt;'RESUMEN'!$E$6,"",MATCH(446,'PEGAR'!$W$13:$W$512,0))</f>
      </c>
      <c r="L458" s="0">
        <f>IF(K458="","",INDEX('PEGAR'!$R$13:$R$512,K458))</f>
      </c>
      <c r="M458" s="0">
        <f>IF(B458="","",COUNTIFS('PEGAR'!$O$13:$O$512,B458,'PEGAR'!$P$13:$P$512,"DIMENSIONES")+COUNTIFS('PEGAR'!$O$13:$O$512,B458,'PEGAR'!$P$13:$P$512,"DIRECTA"))</f>
      </c>
      <c r="N458" s="0">
        <f>IF(B458="","",COUNTIFS('PEGAR'!$O$13:$O$512,B458,'PEGAR'!$X$13:$X$512,2))</f>
      </c>
      <c r="O458" s="0">
        <f>IF(B458="","",COUNTIFS('PEGAR'!$O$13:$O$512,B458,'PEGAR'!$P$13:$P$512,"SIN LÍNEAS"))</f>
      </c>
      <c r="P458" s="0">
        <f>IF(B458="","",SUMIFS('PEGAR'!$Y$13:$Y$512,'PEGAR'!$O$13:$O$512,B458))</f>
      </c>
      <c r="Q458" s="0">
        <f>IF(B458="","",SUMIFS('PEGAR'!$Z$13:$Z$512,'PEGAR'!$O$13:$O$512,B458))</f>
      </c>
      <c r="R458" s="0" t="n">
        <f>IF(OR(B458="",D458=""),0,SUMPRODUCT(--($B$13:$B$512&lt;&gt;""),--($D$13:$D$512=D458),--($C$13:$C$512=C458))-1)</f>
        <v>0</v>
      </c>
      <c r="S458" s="0" t="n">
        <f>IF(OR(B458="",D458=""),0,SUMPRODUCT(--($B$13:$B$512&lt;&gt;""),--($D$13:$D$512=D458),--($C$13:$C$512&lt;&gt;C458)))</f>
        <v>0</v>
      </c>
      <c r="T458" s="0" t="n">
        <f>IF(OR(B458="",D458=""),0,SUMPRODUCT(--($B$13:$B$512&lt;&gt;""),--($D$13:$D$512=D458),--($E$13:$E$512&lt;&gt;E458)))</f>
        <v>0</v>
      </c>
      <c r="U458" s="0" t="n">
        <f>IF(B458="",0,IF(SUMPRODUCT(--('LÉEME'!$C$65:$C$86=E458))=0,1,0))</f>
        <v>0</v>
      </c>
      <c r="V458" s="0">
        <f>IF(B458="","",SUMIFS('PEGAR'!$AA$13:$AA$512,'PEGAR'!$O$13:$O$512,B458))</f>
      </c>
      <c r="W458" s="0">
        <f>IF(B458="","",IF(OR(L458=0,N458&gt;0,T458&gt;0,IF(ISNUMBER(H458),ROUND(ABS(H458),8)&gt;$F$6,FALSE)),2,IF(OR(M458=0,O458&gt;0,P458&gt;0,Q458&gt;0,R458&gt;0,S458&gt;0,U458&gt;0,V458&gt;0),1,0)))</f>
      </c>
      <c r="X458" s="0">
        <f>IF(B458="","",IF(ISNUMBER(G458),1,0))</f>
      </c>
      <c r="AB458" s="0">
        <f>IF(AND(ISNUMBER(W458),W458&gt;0),"ID "&amp;B458,"")</f>
      </c>
      <c r="AC458" s="0">
        <f>IF(AND(ISNUMBER(W458),W458&gt;0),C458,"")</f>
      </c>
      <c r="AD458" s="0">
        <f>IF(AND(ISNUMBER(W458),W458&gt;0),D458,"")</f>
      </c>
      <c r="AE458" s="0">
        <f>IF(AND(ISNUMBER(W458),W458&gt;0),IF(INDEX('PEGAR'!$D$13:$D$512,IF(L458&gt;0,L458,K458))="","Sin descripción",INDEX('PEGAR'!$D$13:$D$512,IF(L458&gt;0,L458,K458))),"")</f>
      </c>
      <c r="AF458" s="0">
        <f>IF(AND(ISNUMBER(W458),W458&gt;0),J458,"")</f>
      </c>
      <c r="AG458" s="0" t="n">
        <f>IF(AND(ISNUMBER(W458),W458&gt;0),W458,0)</f>
        <v>0</v>
      </c>
      <c r="AH458" s="0">
        <f>IF(AG458&gt;0,COUNTIFS($AG$13:AG458,"&gt;0"),"")</f>
      </c>
    </row>
    <row r="459" ht="22" customHeight="1">
      <c r="B459" s="27">
        <f>IF(K459="","",INDEX('PEGAR'!$O$13:$O$512,K459))</f>
      </c>
      <c r="C459" s="30">
        <f>IF(B459="","",IF(LEN(TRIM(INDEX('PEGAR'!$B$13:$B$512,IF(L459&gt;0,L459,K459))&amp;""))=0,"Sin capítulo",TRIM(INDEX('PEGAR'!$B$13:$B$512,IF(L459&gt;0,L459,K459))&amp;"")))</f>
      </c>
      <c r="D459" s="27">
        <f>IF(B459="","",IF(LEN(TRIM(INDEX('PEGAR'!$C$13:$C$512,IF(L459&gt;0,L459,K459))&amp;""))=0,"",TRIM(INDEX('PEGAR'!$C$13:$C$512,IF(L459&gt;0,L459,K459))&amp;"")))</f>
      </c>
      <c r="E459" s="27">
        <f>IF(B459="","",INDEX('PEGAR'!$S$13:$S$512,IF(L459&gt;0,L459,K459)))</f>
      </c>
      <c r="F459" s="39">
        <f>IF(B459="","",IF(L459&gt;0,INDEX('PEGAR'!$F$13:$F$512,L459),""))</f>
      </c>
      <c r="G459" s="39">
        <f>IF(B459="","",IF(OR(M459=0,N459&gt;0,O459&gt;0),"",SUMIFS('PEGAR'!$M$13:$M$512,'PEGAR'!$O$13:$O$512,B459)))</f>
      </c>
      <c r="H459" s="39">
        <f>IF(AND(ISNUMBER(F459),ISNUMBER(G459)),G459-F459,"")</f>
      </c>
      <c r="I459" s="27">
        <f>IF(B459="","",IF(W459=2,"ROJO",IF(W459=1,"ÁMBAR","VERDE")))</f>
      </c>
      <c r="J459" s="30">
        <f>IF(B459="","",IF(W459=0,"Sin avisos numéricos. Revisamos el alcance aparte.",IF(L459=0,"Faltan datos completos de partida; no elegimos un total por suposición."&amp;CHAR(10),"")&amp;IF(N459&gt;0,"Hay filas incompletas o contradictorias; las revisamos en PEGAR."&amp;CHAR(10),"")&amp;IF(O459&gt;0,"Faltan las medidas de alguna fila; no cerramos la suma."&amp;CHAR(10),"")&amp;IF(M459=0,"No constan líneas de medición."&amp;CHAR(10),"")&amp;IF(IF(ISNUMBER(H459),ROUND(ABS(H459),8)&gt;$F$6,FALSE),"Las líneas difieren del total en más de 0,01; confirmamos cantidad o exclusión."&amp;CHAR(10),"")&amp;IF(P459&gt;0,"Parece m³: encontramos tres dimensiones bajo m²."&amp;CHAR(10),"")&amp;IF(R459&gt;0,"Código repetido dentro del capítulo; mantenemos sus ID separados."&amp;CHAR(10),"")&amp;IF(S459&gt;0,"Código repetido en otro capítulo; no unimos las partidas."&amp;CHAR(10),"")&amp;IF(T459&gt;0,"Mismo código con unidades distintas; pedimos aclaración."&amp;CHAR(10),"")&amp;IF(Q459&gt;0,"Hay más precisión que los decimales indicados; cotejamos el formato original."&amp;CHAR(10),"")&amp;IF(U459&gt;0,"Unidad sin normalizar; cotejamos su significado antes de sumar unidades."&amp;CHAR(10),"")&amp;IF(V459&gt;0,"Revisamos dimensiones, cantidades directas, ceros o deducciones en PEGAR."&amp;CHAR(10),"")))</f>
      </c>
      <c r="K459" s="0">
        <f>IF(447&gt;'RESUMEN'!$E$6,"",MATCH(447,'PEGAR'!$W$13:$W$512,0))</f>
      </c>
      <c r="L459" s="0">
        <f>IF(K459="","",INDEX('PEGAR'!$R$13:$R$512,K459))</f>
      </c>
      <c r="M459" s="0">
        <f>IF(B459="","",COUNTIFS('PEGAR'!$O$13:$O$512,B459,'PEGAR'!$P$13:$P$512,"DIMENSIONES")+COUNTIFS('PEGAR'!$O$13:$O$512,B459,'PEGAR'!$P$13:$P$512,"DIRECTA"))</f>
      </c>
      <c r="N459" s="0">
        <f>IF(B459="","",COUNTIFS('PEGAR'!$O$13:$O$512,B459,'PEGAR'!$X$13:$X$512,2))</f>
      </c>
      <c r="O459" s="0">
        <f>IF(B459="","",COUNTIFS('PEGAR'!$O$13:$O$512,B459,'PEGAR'!$P$13:$P$512,"SIN LÍNEAS"))</f>
      </c>
      <c r="P459" s="0">
        <f>IF(B459="","",SUMIFS('PEGAR'!$Y$13:$Y$512,'PEGAR'!$O$13:$O$512,B459))</f>
      </c>
      <c r="Q459" s="0">
        <f>IF(B459="","",SUMIFS('PEGAR'!$Z$13:$Z$512,'PEGAR'!$O$13:$O$512,B459))</f>
      </c>
      <c r="R459" s="0" t="n">
        <f>IF(OR(B459="",D459=""),0,SUMPRODUCT(--($B$13:$B$512&lt;&gt;""),--($D$13:$D$512=D459),--($C$13:$C$512=C459))-1)</f>
        <v>0</v>
      </c>
      <c r="S459" s="0" t="n">
        <f>IF(OR(B459="",D459=""),0,SUMPRODUCT(--($B$13:$B$512&lt;&gt;""),--($D$13:$D$512=D459),--($C$13:$C$512&lt;&gt;C459)))</f>
        <v>0</v>
      </c>
      <c r="T459" s="0" t="n">
        <f>IF(OR(B459="",D459=""),0,SUMPRODUCT(--($B$13:$B$512&lt;&gt;""),--($D$13:$D$512=D459),--($E$13:$E$512&lt;&gt;E459)))</f>
        <v>0</v>
      </c>
      <c r="U459" s="0" t="n">
        <f>IF(B459="",0,IF(SUMPRODUCT(--('LÉEME'!$C$65:$C$86=E459))=0,1,0))</f>
        <v>0</v>
      </c>
      <c r="V459" s="0">
        <f>IF(B459="","",SUMIFS('PEGAR'!$AA$13:$AA$512,'PEGAR'!$O$13:$O$512,B459))</f>
      </c>
      <c r="W459" s="0">
        <f>IF(B459="","",IF(OR(L459=0,N459&gt;0,T459&gt;0,IF(ISNUMBER(H459),ROUND(ABS(H459),8)&gt;$F$6,FALSE)),2,IF(OR(M459=0,O459&gt;0,P459&gt;0,Q459&gt;0,R459&gt;0,S459&gt;0,U459&gt;0,V459&gt;0),1,0)))</f>
      </c>
      <c r="X459" s="0">
        <f>IF(B459="","",IF(ISNUMBER(G459),1,0))</f>
      </c>
      <c r="AB459" s="0">
        <f>IF(AND(ISNUMBER(W459),W459&gt;0),"ID "&amp;B459,"")</f>
      </c>
      <c r="AC459" s="0">
        <f>IF(AND(ISNUMBER(W459),W459&gt;0),C459,"")</f>
      </c>
      <c r="AD459" s="0">
        <f>IF(AND(ISNUMBER(W459),W459&gt;0),D459,"")</f>
      </c>
      <c r="AE459" s="0">
        <f>IF(AND(ISNUMBER(W459),W459&gt;0),IF(INDEX('PEGAR'!$D$13:$D$512,IF(L459&gt;0,L459,K459))="","Sin descripción",INDEX('PEGAR'!$D$13:$D$512,IF(L459&gt;0,L459,K459))),"")</f>
      </c>
      <c r="AF459" s="0">
        <f>IF(AND(ISNUMBER(W459),W459&gt;0),J459,"")</f>
      </c>
      <c r="AG459" s="0" t="n">
        <f>IF(AND(ISNUMBER(W459),W459&gt;0),W459,0)</f>
        <v>0</v>
      </c>
      <c r="AH459" s="0">
        <f>IF(AG459&gt;0,COUNTIFS($AG$13:AG459,"&gt;0"),"")</f>
      </c>
    </row>
    <row r="460" ht="22" customHeight="1">
      <c r="B460" s="27">
        <f>IF(K460="","",INDEX('PEGAR'!$O$13:$O$512,K460))</f>
      </c>
      <c r="C460" s="30">
        <f>IF(B460="","",IF(LEN(TRIM(INDEX('PEGAR'!$B$13:$B$512,IF(L460&gt;0,L460,K460))&amp;""))=0,"Sin capítulo",TRIM(INDEX('PEGAR'!$B$13:$B$512,IF(L460&gt;0,L460,K460))&amp;"")))</f>
      </c>
      <c r="D460" s="27">
        <f>IF(B460="","",IF(LEN(TRIM(INDEX('PEGAR'!$C$13:$C$512,IF(L460&gt;0,L460,K460))&amp;""))=0,"",TRIM(INDEX('PEGAR'!$C$13:$C$512,IF(L460&gt;0,L460,K460))&amp;"")))</f>
      </c>
      <c r="E460" s="27">
        <f>IF(B460="","",INDEX('PEGAR'!$S$13:$S$512,IF(L460&gt;0,L460,K460)))</f>
      </c>
      <c r="F460" s="39">
        <f>IF(B460="","",IF(L460&gt;0,INDEX('PEGAR'!$F$13:$F$512,L460),""))</f>
      </c>
      <c r="G460" s="39">
        <f>IF(B460="","",IF(OR(M460=0,N460&gt;0,O460&gt;0),"",SUMIFS('PEGAR'!$M$13:$M$512,'PEGAR'!$O$13:$O$512,B460)))</f>
      </c>
      <c r="H460" s="39">
        <f>IF(AND(ISNUMBER(F460),ISNUMBER(G460)),G460-F460,"")</f>
      </c>
      <c r="I460" s="27">
        <f>IF(B460="","",IF(W460=2,"ROJO",IF(W460=1,"ÁMBAR","VERDE")))</f>
      </c>
      <c r="J460" s="30">
        <f>IF(B460="","",IF(W460=0,"Sin avisos numéricos. Revisamos el alcance aparte.",IF(L460=0,"Faltan datos completos de partida; no elegimos un total por suposición."&amp;CHAR(10),"")&amp;IF(N460&gt;0,"Hay filas incompletas o contradictorias; las revisamos en PEGAR."&amp;CHAR(10),"")&amp;IF(O460&gt;0,"Faltan las medidas de alguna fila; no cerramos la suma."&amp;CHAR(10),"")&amp;IF(M460=0,"No constan líneas de medición."&amp;CHAR(10),"")&amp;IF(IF(ISNUMBER(H460),ROUND(ABS(H460),8)&gt;$F$6,FALSE),"Las líneas difieren del total en más de 0,01; confirmamos cantidad o exclusión."&amp;CHAR(10),"")&amp;IF(P460&gt;0,"Parece m³: encontramos tres dimensiones bajo m²."&amp;CHAR(10),"")&amp;IF(R460&gt;0,"Código repetido dentro del capítulo; mantenemos sus ID separados."&amp;CHAR(10),"")&amp;IF(S460&gt;0,"Código repetido en otro capítulo; no unimos las partidas."&amp;CHAR(10),"")&amp;IF(T460&gt;0,"Mismo código con unidades distintas; pedimos aclaración."&amp;CHAR(10),"")&amp;IF(Q460&gt;0,"Hay más precisión que los decimales indicados; cotejamos el formato original."&amp;CHAR(10),"")&amp;IF(U460&gt;0,"Unidad sin normalizar; cotejamos su significado antes de sumar unidades."&amp;CHAR(10),"")&amp;IF(V460&gt;0,"Revisamos dimensiones, cantidades directas, ceros o deducciones en PEGAR."&amp;CHAR(10),"")))</f>
      </c>
      <c r="K460" s="0">
        <f>IF(448&gt;'RESUMEN'!$E$6,"",MATCH(448,'PEGAR'!$W$13:$W$512,0))</f>
      </c>
      <c r="L460" s="0">
        <f>IF(K460="","",INDEX('PEGAR'!$R$13:$R$512,K460))</f>
      </c>
      <c r="M460" s="0">
        <f>IF(B460="","",COUNTIFS('PEGAR'!$O$13:$O$512,B460,'PEGAR'!$P$13:$P$512,"DIMENSIONES")+COUNTIFS('PEGAR'!$O$13:$O$512,B460,'PEGAR'!$P$13:$P$512,"DIRECTA"))</f>
      </c>
      <c r="N460" s="0">
        <f>IF(B460="","",COUNTIFS('PEGAR'!$O$13:$O$512,B460,'PEGAR'!$X$13:$X$512,2))</f>
      </c>
      <c r="O460" s="0">
        <f>IF(B460="","",COUNTIFS('PEGAR'!$O$13:$O$512,B460,'PEGAR'!$P$13:$P$512,"SIN LÍNEAS"))</f>
      </c>
      <c r="P460" s="0">
        <f>IF(B460="","",SUMIFS('PEGAR'!$Y$13:$Y$512,'PEGAR'!$O$13:$O$512,B460))</f>
      </c>
      <c r="Q460" s="0">
        <f>IF(B460="","",SUMIFS('PEGAR'!$Z$13:$Z$512,'PEGAR'!$O$13:$O$512,B460))</f>
      </c>
      <c r="R460" s="0" t="n">
        <f>IF(OR(B460="",D460=""),0,SUMPRODUCT(--($B$13:$B$512&lt;&gt;""),--($D$13:$D$512=D460),--($C$13:$C$512=C460))-1)</f>
        <v>0</v>
      </c>
      <c r="S460" s="0" t="n">
        <f>IF(OR(B460="",D460=""),0,SUMPRODUCT(--($B$13:$B$512&lt;&gt;""),--($D$13:$D$512=D460),--($C$13:$C$512&lt;&gt;C460)))</f>
        <v>0</v>
      </c>
      <c r="T460" s="0" t="n">
        <f>IF(OR(B460="",D460=""),0,SUMPRODUCT(--($B$13:$B$512&lt;&gt;""),--($D$13:$D$512=D460),--($E$13:$E$512&lt;&gt;E460)))</f>
        <v>0</v>
      </c>
      <c r="U460" s="0" t="n">
        <f>IF(B460="",0,IF(SUMPRODUCT(--('LÉEME'!$C$65:$C$86=E460))=0,1,0))</f>
        <v>0</v>
      </c>
      <c r="V460" s="0">
        <f>IF(B460="","",SUMIFS('PEGAR'!$AA$13:$AA$512,'PEGAR'!$O$13:$O$512,B460))</f>
      </c>
      <c r="W460" s="0">
        <f>IF(B460="","",IF(OR(L460=0,N460&gt;0,T460&gt;0,IF(ISNUMBER(H460),ROUND(ABS(H460),8)&gt;$F$6,FALSE)),2,IF(OR(M460=0,O460&gt;0,P460&gt;0,Q460&gt;0,R460&gt;0,S460&gt;0,U460&gt;0,V460&gt;0),1,0)))</f>
      </c>
      <c r="X460" s="0">
        <f>IF(B460="","",IF(ISNUMBER(G460),1,0))</f>
      </c>
      <c r="AB460" s="0">
        <f>IF(AND(ISNUMBER(W460),W460&gt;0),"ID "&amp;B460,"")</f>
      </c>
      <c r="AC460" s="0">
        <f>IF(AND(ISNUMBER(W460),W460&gt;0),C460,"")</f>
      </c>
      <c r="AD460" s="0">
        <f>IF(AND(ISNUMBER(W460),W460&gt;0),D460,"")</f>
      </c>
      <c r="AE460" s="0">
        <f>IF(AND(ISNUMBER(W460),W460&gt;0),IF(INDEX('PEGAR'!$D$13:$D$512,IF(L460&gt;0,L460,K460))="","Sin descripción",INDEX('PEGAR'!$D$13:$D$512,IF(L460&gt;0,L460,K460))),"")</f>
      </c>
      <c r="AF460" s="0">
        <f>IF(AND(ISNUMBER(W460),W460&gt;0),J460,"")</f>
      </c>
      <c r="AG460" s="0" t="n">
        <f>IF(AND(ISNUMBER(W460),W460&gt;0),W460,0)</f>
        <v>0</v>
      </c>
      <c r="AH460" s="0">
        <f>IF(AG460&gt;0,COUNTIFS($AG$13:AG460,"&gt;0"),"")</f>
      </c>
    </row>
    <row r="461" ht="22" customHeight="1">
      <c r="B461" s="27">
        <f>IF(K461="","",INDEX('PEGAR'!$O$13:$O$512,K461))</f>
      </c>
      <c r="C461" s="30">
        <f>IF(B461="","",IF(LEN(TRIM(INDEX('PEGAR'!$B$13:$B$512,IF(L461&gt;0,L461,K461))&amp;""))=0,"Sin capítulo",TRIM(INDEX('PEGAR'!$B$13:$B$512,IF(L461&gt;0,L461,K461))&amp;"")))</f>
      </c>
      <c r="D461" s="27">
        <f>IF(B461="","",IF(LEN(TRIM(INDEX('PEGAR'!$C$13:$C$512,IF(L461&gt;0,L461,K461))&amp;""))=0,"",TRIM(INDEX('PEGAR'!$C$13:$C$512,IF(L461&gt;0,L461,K461))&amp;"")))</f>
      </c>
      <c r="E461" s="27">
        <f>IF(B461="","",INDEX('PEGAR'!$S$13:$S$512,IF(L461&gt;0,L461,K461)))</f>
      </c>
      <c r="F461" s="39">
        <f>IF(B461="","",IF(L461&gt;0,INDEX('PEGAR'!$F$13:$F$512,L461),""))</f>
      </c>
      <c r="G461" s="39">
        <f>IF(B461="","",IF(OR(M461=0,N461&gt;0,O461&gt;0),"",SUMIFS('PEGAR'!$M$13:$M$512,'PEGAR'!$O$13:$O$512,B461)))</f>
      </c>
      <c r="H461" s="39">
        <f>IF(AND(ISNUMBER(F461),ISNUMBER(G461)),G461-F461,"")</f>
      </c>
      <c r="I461" s="27">
        <f>IF(B461="","",IF(W461=2,"ROJO",IF(W461=1,"ÁMBAR","VERDE")))</f>
      </c>
      <c r="J461" s="30">
        <f>IF(B461="","",IF(W461=0,"Sin avisos numéricos. Revisamos el alcance aparte.",IF(L461=0,"Faltan datos completos de partida; no elegimos un total por suposición."&amp;CHAR(10),"")&amp;IF(N461&gt;0,"Hay filas incompletas o contradictorias; las revisamos en PEGAR."&amp;CHAR(10),"")&amp;IF(O461&gt;0,"Faltan las medidas de alguna fila; no cerramos la suma."&amp;CHAR(10),"")&amp;IF(M461=0,"No constan líneas de medición."&amp;CHAR(10),"")&amp;IF(IF(ISNUMBER(H461),ROUND(ABS(H461),8)&gt;$F$6,FALSE),"Las líneas difieren del total en más de 0,01; confirmamos cantidad o exclusión."&amp;CHAR(10),"")&amp;IF(P461&gt;0,"Parece m³: encontramos tres dimensiones bajo m²."&amp;CHAR(10),"")&amp;IF(R461&gt;0,"Código repetido dentro del capítulo; mantenemos sus ID separados."&amp;CHAR(10),"")&amp;IF(S461&gt;0,"Código repetido en otro capítulo; no unimos las partidas."&amp;CHAR(10),"")&amp;IF(T461&gt;0,"Mismo código con unidades distintas; pedimos aclaración."&amp;CHAR(10),"")&amp;IF(Q461&gt;0,"Hay más precisión que los decimales indicados; cotejamos el formato original."&amp;CHAR(10),"")&amp;IF(U461&gt;0,"Unidad sin normalizar; cotejamos su significado antes de sumar unidades."&amp;CHAR(10),"")&amp;IF(V461&gt;0,"Revisamos dimensiones, cantidades directas, ceros o deducciones en PEGAR."&amp;CHAR(10),"")))</f>
      </c>
      <c r="K461" s="0">
        <f>IF(449&gt;'RESUMEN'!$E$6,"",MATCH(449,'PEGAR'!$W$13:$W$512,0))</f>
      </c>
      <c r="L461" s="0">
        <f>IF(K461="","",INDEX('PEGAR'!$R$13:$R$512,K461))</f>
      </c>
      <c r="M461" s="0">
        <f>IF(B461="","",COUNTIFS('PEGAR'!$O$13:$O$512,B461,'PEGAR'!$P$13:$P$512,"DIMENSIONES")+COUNTIFS('PEGAR'!$O$13:$O$512,B461,'PEGAR'!$P$13:$P$512,"DIRECTA"))</f>
      </c>
      <c r="N461" s="0">
        <f>IF(B461="","",COUNTIFS('PEGAR'!$O$13:$O$512,B461,'PEGAR'!$X$13:$X$512,2))</f>
      </c>
      <c r="O461" s="0">
        <f>IF(B461="","",COUNTIFS('PEGAR'!$O$13:$O$512,B461,'PEGAR'!$P$13:$P$512,"SIN LÍNEAS"))</f>
      </c>
      <c r="P461" s="0">
        <f>IF(B461="","",SUMIFS('PEGAR'!$Y$13:$Y$512,'PEGAR'!$O$13:$O$512,B461))</f>
      </c>
      <c r="Q461" s="0">
        <f>IF(B461="","",SUMIFS('PEGAR'!$Z$13:$Z$512,'PEGAR'!$O$13:$O$512,B461))</f>
      </c>
      <c r="R461" s="0" t="n">
        <f>IF(OR(B461="",D461=""),0,SUMPRODUCT(--($B$13:$B$512&lt;&gt;""),--($D$13:$D$512=D461),--($C$13:$C$512=C461))-1)</f>
        <v>0</v>
      </c>
      <c r="S461" s="0" t="n">
        <f>IF(OR(B461="",D461=""),0,SUMPRODUCT(--($B$13:$B$512&lt;&gt;""),--($D$13:$D$512=D461),--($C$13:$C$512&lt;&gt;C461)))</f>
        <v>0</v>
      </c>
      <c r="T461" s="0" t="n">
        <f>IF(OR(B461="",D461=""),0,SUMPRODUCT(--($B$13:$B$512&lt;&gt;""),--($D$13:$D$512=D461),--($E$13:$E$512&lt;&gt;E461)))</f>
        <v>0</v>
      </c>
      <c r="U461" s="0" t="n">
        <f>IF(B461="",0,IF(SUMPRODUCT(--('LÉEME'!$C$65:$C$86=E461))=0,1,0))</f>
        <v>0</v>
      </c>
      <c r="V461" s="0">
        <f>IF(B461="","",SUMIFS('PEGAR'!$AA$13:$AA$512,'PEGAR'!$O$13:$O$512,B461))</f>
      </c>
      <c r="W461" s="0">
        <f>IF(B461="","",IF(OR(L461=0,N461&gt;0,T461&gt;0,IF(ISNUMBER(H461),ROUND(ABS(H461),8)&gt;$F$6,FALSE)),2,IF(OR(M461=0,O461&gt;0,P461&gt;0,Q461&gt;0,R461&gt;0,S461&gt;0,U461&gt;0,V461&gt;0),1,0)))</f>
      </c>
      <c r="X461" s="0">
        <f>IF(B461="","",IF(ISNUMBER(G461),1,0))</f>
      </c>
      <c r="AB461" s="0">
        <f>IF(AND(ISNUMBER(W461),W461&gt;0),"ID "&amp;B461,"")</f>
      </c>
      <c r="AC461" s="0">
        <f>IF(AND(ISNUMBER(W461),W461&gt;0),C461,"")</f>
      </c>
      <c r="AD461" s="0">
        <f>IF(AND(ISNUMBER(W461),W461&gt;0),D461,"")</f>
      </c>
      <c r="AE461" s="0">
        <f>IF(AND(ISNUMBER(W461),W461&gt;0),IF(INDEX('PEGAR'!$D$13:$D$512,IF(L461&gt;0,L461,K461))="","Sin descripción",INDEX('PEGAR'!$D$13:$D$512,IF(L461&gt;0,L461,K461))),"")</f>
      </c>
      <c r="AF461" s="0">
        <f>IF(AND(ISNUMBER(W461),W461&gt;0),J461,"")</f>
      </c>
      <c r="AG461" s="0" t="n">
        <f>IF(AND(ISNUMBER(W461),W461&gt;0),W461,0)</f>
        <v>0</v>
      </c>
      <c r="AH461" s="0">
        <f>IF(AG461&gt;0,COUNTIFS($AG$13:AG461,"&gt;0"),"")</f>
      </c>
    </row>
    <row r="462" ht="22" customHeight="1">
      <c r="B462" s="27">
        <f>IF(K462="","",INDEX('PEGAR'!$O$13:$O$512,K462))</f>
      </c>
      <c r="C462" s="30">
        <f>IF(B462="","",IF(LEN(TRIM(INDEX('PEGAR'!$B$13:$B$512,IF(L462&gt;0,L462,K462))&amp;""))=0,"Sin capítulo",TRIM(INDEX('PEGAR'!$B$13:$B$512,IF(L462&gt;0,L462,K462))&amp;"")))</f>
      </c>
      <c r="D462" s="27">
        <f>IF(B462="","",IF(LEN(TRIM(INDEX('PEGAR'!$C$13:$C$512,IF(L462&gt;0,L462,K462))&amp;""))=0,"",TRIM(INDEX('PEGAR'!$C$13:$C$512,IF(L462&gt;0,L462,K462))&amp;"")))</f>
      </c>
      <c r="E462" s="27">
        <f>IF(B462="","",INDEX('PEGAR'!$S$13:$S$512,IF(L462&gt;0,L462,K462)))</f>
      </c>
      <c r="F462" s="39">
        <f>IF(B462="","",IF(L462&gt;0,INDEX('PEGAR'!$F$13:$F$512,L462),""))</f>
      </c>
      <c r="G462" s="39">
        <f>IF(B462="","",IF(OR(M462=0,N462&gt;0,O462&gt;0),"",SUMIFS('PEGAR'!$M$13:$M$512,'PEGAR'!$O$13:$O$512,B462)))</f>
      </c>
      <c r="H462" s="39">
        <f>IF(AND(ISNUMBER(F462),ISNUMBER(G462)),G462-F462,"")</f>
      </c>
      <c r="I462" s="27">
        <f>IF(B462="","",IF(W462=2,"ROJO",IF(W462=1,"ÁMBAR","VERDE")))</f>
      </c>
      <c r="J462" s="30">
        <f>IF(B462="","",IF(W462=0,"Sin avisos numéricos. Revisamos el alcance aparte.",IF(L462=0,"Faltan datos completos de partida; no elegimos un total por suposición."&amp;CHAR(10),"")&amp;IF(N462&gt;0,"Hay filas incompletas o contradictorias; las revisamos en PEGAR."&amp;CHAR(10),"")&amp;IF(O462&gt;0,"Faltan las medidas de alguna fila; no cerramos la suma."&amp;CHAR(10),"")&amp;IF(M462=0,"No constan líneas de medición."&amp;CHAR(10),"")&amp;IF(IF(ISNUMBER(H462),ROUND(ABS(H462),8)&gt;$F$6,FALSE),"Las líneas difieren del total en más de 0,01; confirmamos cantidad o exclusión."&amp;CHAR(10),"")&amp;IF(P462&gt;0,"Parece m³: encontramos tres dimensiones bajo m²."&amp;CHAR(10),"")&amp;IF(R462&gt;0,"Código repetido dentro del capítulo; mantenemos sus ID separados."&amp;CHAR(10),"")&amp;IF(S462&gt;0,"Código repetido en otro capítulo; no unimos las partidas."&amp;CHAR(10),"")&amp;IF(T462&gt;0,"Mismo código con unidades distintas; pedimos aclaración."&amp;CHAR(10),"")&amp;IF(Q462&gt;0,"Hay más precisión que los decimales indicados; cotejamos el formato original."&amp;CHAR(10),"")&amp;IF(U462&gt;0,"Unidad sin normalizar; cotejamos su significado antes de sumar unidades."&amp;CHAR(10),"")&amp;IF(V462&gt;0,"Revisamos dimensiones, cantidades directas, ceros o deducciones en PEGAR."&amp;CHAR(10),"")))</f>
      </c>
      <c r="K462" s="0">
        <f>IF(450&gt;'RESUMEN'!$E$6,"",MATCH(450,'PEGAR'!$W$13:$W$512,0))</f>
      </c>
      <c r="L462" s="0">
        <f>IF(K462="","",INDEX('PEGAR'!$R$13:$R$512,K462))</f>
      </c>
      <c r="M462" s="0">
        <f>IF(B462="","",COUNTIFS('PEGAR'!$O$13:$O$512,B462,'PEGAR'!$P$13:$P$512,"DIMENSIONES")+COUNTIFS('PEGAR'!$O$13:$O$512,B462,'PEGAR'!$P$13:$P$512,"DIRECTA"))</f>
      </c>
      <c r="N462" s="0">
        <f>IF(B462="","",COUNTIFS('PEGAR'!$O$13:$O$512,B462,'PEGAR'!$X$13:$X$512,2))</f>
      </c>
      <c r="O462" s="0">
        <f>IF(B462="","",COUNTIFS('PEGAR'!$O$13:$O$512,B462,'PEGAR'!$P$13:$P$512,"SIN LÍNEAS"))</f>
      </c>
      <c r="P462" s="0">
        <f>IF(B462="","",SUMIFS('PEGAR'!$Y$13:$Y$512,'PEGAR'!$O$13:$O$512,B462))</f>
      </c>
      <c r="Q462" s="0">
        <f>IF(B462="","",SUMIFS('PEGAR'!$Z$13:$Z$512,'PEGAR'!$O$13:$O$512,B462))</f>
      </c>
      <c r="R462" s="0" t="n">
        <f>IF(OR(B462="",D462=""),0,SUMPRODUCT(--($B$13:$B$512&lt;&gt;""),--($D$13:$D$512=D462),--($C$13:$C$512=C462))-1)</f>
        <v>0</v>
      </c>
      <c r="S462" s="0" t="n">
        <f>IF(OR(B462="",D462=""),0,SUMPRODUCT(--($B$13:$B$512&lt;&gt;""),--($D$13:$D$512=D462),--($C$13:$C$512&lt;&gt;C462)))</f>
        <v>0</v>
      </c>
      <c r="T462" s="0" t="n">
        <f>IF(OR(B462="",D462=""),0,SUMPRODUCT(--($B$13:$B$512&lt;&gt;""),--($D$13:$D$512=D462),--($E$13:$E$512&lt;&gt;E462)))</f>
        <v>0</v>
      </c>
      <c r="U462" s="0" t="n">
        <f>IF(B462="",0,IF(SUMPRODUCT(--('LÉEME'!$C$65:$C$86=E462))=0,1,0))</f>
        <v>0</v>
      </c>
      <c r="V462" s="0">
        <f>IF(B462="","",SUMIFS('PEGAR'!$AA$13:$AA$512,'PEGAR'!$O$13:$O$512,B462))</f>
      </c>
      <c r="W462" s="0">
        <f>IF(B462="","",IF(OR(L462=0,N462&gt;0,T462&gt;0,IF(ISNUMBER(H462),ROUND(ABS(H462),8)&gt;$F$6,FALSE)),2,IF(OR(M462=0,O462&gt;0,P462&gt;0,Q462&gt;0,R462&gt;0,S462&gt;0,U462&gt;0,V462&gt;0),1,0)))</f>
      </c>
      <c r="X462" s="0">
        <f>IF(B462="","",IF(ISNUMBER(G462),1,0))</f>
      </c>
      <c r="AB462" s="0">
        <f>IF(AND(ISNUMBER(W462),W462&gt;0),"ID "&amp;B462,"")</f>
      </c>
      <c r="AC462" s="0">
        <f>IF(AND(ISNUMBER(W462),W462&gt;0),C462,"")</f>
      </c>
      <c r="AD462" s="0">
        <f>IF(AND(ISNUMBER(W462),W462&gt;0),D462,"")</f>
      </c>
      <c r="AE462" s="0">
        <f>IF(AND(ISNUMBER(W462),W462&gt;0),IF(INDEX('PEGAR'!$D$13:$D$512,IF(L462&gt;0,L462,K462))="","Sin descripción",INDEX('PEGAR'!$D$13:$D$512,IF(L462&gt;0,L462,K462))),"")</f>
      </c>
      <c r="AF462" s="0">
        <f>IF(AND(ISNUMBER(W462),W462&gt;0),J462,"")</f>
      </c>
      <c r="AG462" s="0" t="n">
        <f>IF(AND(ISNUMBER(W462),W462&gt;0),W462,0)</f>
        <v>0</v>
      </c>
      <c r="AH462" s="0">
        <f>IF(AG462&gt;0,COUNTIFS($AG$13:AG462,"&gt;0"),"")</f>
      </c>
    </row>
    <row r="463" ht="22" customHeight="1">
      <c r="B463" s="27">
        <f>IF(K463="","",INDEX('PEGAR'!$O$13:$O$512,K463))</f>
      </c>
      <c r="C463" s="30">
        <f>IF(B463="","",IF(LEN(TRIM(INDEX('PEGAR'!$B$13:$B$512,IF(L463&gt;0,L463,K463))&amp;""))=0,"Sin capítulo",TRIM(INDEX('PEGAR'!$B$13:$B$512,IF(L463&gt;0,L463,K463))&amp;"")))</f>
      </c>
      <c r="D463" s="27">
        <f>IF(B463="","",IF(LEN(TRIM(INDEX('PEGAR'!$C$13:$C$512,IF(L463&gt;0,L463,K463))&amp;""))=0,"",TRIM(INDEX('PEGAR'!$C$13:$C$512,IF(L463&gt;0,L463,K463))&amp;"")))</f>
      </c>
      <c r="E463" s="27">
        <f>IF(B463="","",INDEX('PEGAR'!$S$13:$S$512,IF(L463&gt;0,L463,K463)))</f>
      </c>
      <c r="F463" s="39">
        <f>IF(B463="","",IF(L463&gt;0,INDEX('PEGAR'!$F$13:$F$512,L463),""))</f>
      </c>
      <c r="G463" s="39">
        <f>IF(B463="","",IF(OR(M463=0,N463&gt;0,O463&gt;0),"",SUMIFS('PEGAR'!$M$13:$M$512,'PEGAR'!$O$13:$O$512,B463)))</f>
      </c>
      <c r="H463" s="39">
        <f>IF(AND(ISNUMBER(F463),ISNUMBER(G463)),G463-F463,"")</f>
      </c>
      <c r="I463" s="27">
        <f>IF(B463="","",IF(W463=2,"ROJO",IF(W463=1,"ÁMBAR","VERDE")))</f>
      </c>
      <c r="J463" s="30">
        <f>IF(B463="","",IF(W463=0,"Sin avisos numéricos. Revisamos el alcance aparte.",IF(L463=0,"Faltan datos completos de partida; no elegimos un total por suposición."&amp;CHAR(10),"")&amp;IF(N463&gt;0,"Hay filas incompletas o contradictorias; las revisamos en PEGAR."&amp;CHAR(10),"")&amp;IF(O463&gt;0,"Faltan las medidas de alguna fila; no cerramos la suma."&amp;CHAR(10),"")&amp;IF(M463=0,"No constan líneas de medición."&amp;CHAR(10),"")&amp;IF(IF(ISNUMBER(H463),ROUND(ABS(H463),8)&gt;$F$6,FALSE),"Las líneas difieren del total en más de 0,01; confirmamos cantidad o exclusión."&amp;CHAR(10),"")&amp;IF(P463&gt;0,"Parece m³: encontramos tres dimensiones bajo m²."&amp;CHAR(10),"")&amp;IF(R463&gt;0,"Código repetido dentro del capítulo; mantenemos sus ID separados."&amp;CHAR(10),"")&amp;IF(S463&gt;0,"Código repetido en otro capítulo; no unimos las partidas."&amp;CHAR(10),"")&amp;IF(T463&gt;0,"Mismo código con unidades distintas; pedimos aclaración."&amp;CHAR(10),"")&amp;IF(Q463&gt;0,"Hay más precisión que los decimales indicados; cotejamos el formato original."&amp;CHAR(10),"")&amp;IF(U463&gt;0,"Unidad sin normalizar; cotejamos su significado antes de sumar unidades."&amp;CHAR(10),"")&amp;IF(V463&gt;0,"Revisamos dimensiones, cantidades directas, ceros o deducciones en PEGAR."&amp;CHAR(10),"")))</f>
      </c>
      <c r="K463" s="0">
        <f>IF(451&gt;'RESUMEN'!$E$6,"",MATCH(451,'PEGAR'!$W$13:$W$512,0))</f>
      </c>
      <c r="L463" s="0">
        <f>IF(K463="","",INDEX('PEGAR'!$R$13:$R$512,K463))</f>
      </c>
      <c r="M463" s="0">
        <f>IF(B463="","",COUNTIFS('PEGAR'!$O$13:$O$512,B463,'PEGAR'!$P$13:$P$512,"DIMENSIONES")+COUNTIFS('PEGAR'!$O$13:$O$512,B463,'PEGAR'!$P$13:$P$512,"DIRECTA"))</f>
      </c>
      <c r="N463" s="0">
        <f>IF(B463="","",COUNTIFS('PEGAR'!$O$13:$O$512,B463,'PEGAR'!$X$13:$X$512,2))</f>
      </c>
      <c r="O463" s="0">
        <f>IF(B463="","",COUNTIFS('PEGAR'!$O$13:$O$512,B463,'PEGAR'!$P$13:$P$512,"SIN LÍNEAS"))</f>
      </c>
      <c r="P463" s="0">
        <f>IF(B463="","",SUMIFS('PEGAR'!$Y$13:$Y$512,'PEGAR'!$O$13:$O$512,B463))</f>
      </c>
      <c r="Q463" s="0">
        <f>IF(B463="","",SUMIFS('PEGAR'!$Z$13:$Z$512,'PEGAR'!$O$13:$O$512,B463))</f>
      </c>
      <c r="R463" s="0" t="n">
        <f>IF(OR(B463="",D463=""),0,SUMPRODUCT(--($B$13:$B$512&lt;&gt;""),--($D$13:$D$512=D463),--($C$13:$C$512=C463))-1)</f>
        <v>0</v>
      </c>
      <c r="S463" s="0" t="n">
        <f>IF(OR(B463="",D463=""),0,SUMPRODUCT(--($B$13:$B$512&lt;&gt;""),--($D$13:$D$512=D463),--($C$13:$C$512&lt;&gt;C463)))</f>
        <v>0</v>
      </c>
      <c r="T463" s="0" t="n">
        <f>IF(OR(B463="",D463=""),0,SUMPRODUCT(--($B$13:$B$512&lt;&gt;""),--($D$13:$D$512=D463),--($E$13:$E$512&lt;&gt;E463)))</f>
        <v>0</v>
      </c>
      <c r="U463" s="0" t="n">
        <f>IF(B463="",0,IF(SUMPRODUCT(--('LÉEME'!$C$65:$C$86=E463))=0,1,0))</f>
        <v>0</v>
      </c>
      <c r="V463" s="0">
        <f>IF(B463="","",SUMIFS('PEGAR'!$AA$13:$AA$512,'PEGAR'!$O$13:$O$512,B463))</f>
      </c>
      <c r="W463" s="0">
        <f>IF(B463="","",IF(OR(L463=0,N463&gt;0,T463&gt;0,IF(ISNUMBER(H463),ROUND(ABS(H463),8)&gt;$F$6,FALSE)),2,IF(OR(M463=0,O463&gt;0,P463&gt;0,Q463&gt;0,R463&gt;0,S463&gt;0,U463&gt;0,V463&gt;0),1,0)))</f>
      </c>
      <c r="X463" s="0">
        <f>IF(B463="","",IF(ISNUMBER(G463),1,0))</f>
      </c>
      <c r="AB463" s="0">
        <f>IF(AND(ISNUMBER(W463),W463&gt;0),"ID "&amp;B463,"")</f>
      </c>
      <c r="AC463" s="0">
        <f>IF(AND(ISNUMBER(W463),W463&gt;0),C463,"")</f>
      </c>
      <c r="AD463" s="0">
        <f>IF(AND(ISNUMBER(W463),W463&gt;0),D463,"")</f>
      </c>
      <c r="AE463" s="0">
        <f>IF(AND(ISNUMBER(W463),W463&gt;0),IF(INDEX('PEGAR'!$D$13:$D$512,IF(L463&gt;0,L463,K463))="","Sin descripción",INDEX('PEGAR'!$D$13:$D$512,IF(L463&gt;0,L463,K463))),"")</f>
      </c>
      <c r="AF463" s="0">
        <f>IF(AND(ISNUMBER(W463),W463&gt;0),J463,"")</f>
      </c>
      <c r="AG463" s="0" t="n">
        <f>IF(AND(ISNUMBER(W463),W463&gt;0),W463,0)</f>
        <v>0</v>
      </c>
      <c r="AH463" s="0">
        <f>IF(AG463&gt;0,COUNTIFS($AG$13:AG463,"&gt;0"),"")</f>
      </c>
    </row>
    <row r="464" ht="22" customHeight="1">
      <c r="B464" s="27">
        <f>IF(K464="","",INDEX('PEGAR'!$O$13:$O$512,K464))</f>
      </c>
      <c r="C464" s="30">
        <f>IF(B464="","",IF(LEN(TRIM(INDEX('PEGAR'!$B$13:$B$512,IF(L464&gt;0,L464,K464))&amp;""))=0,"Sin capítulo",TRIM(INDEX('PEGAR'!$B$13:$B$512,IF(L464&gt;0,L464,K464))&amp;"")))</f>
      </c>
      <c r="D464" s="27">
        <f>IF(B464="","",IF(LEN(TRIM(INDEX('PEGAR'!$C$13:$C$512,IF(L464&gt;0,L464,K464))&amp;""))=0,"",TRIM(INDEX('PEGAR'!$C$13:$C$512,IF(L464&gt;0,L464,K464))&amp;"")))</f>
      </c>
      <c r="E464" s="27">
        <f>IF(B464="","",INDEX('PEGAR'!$S$13:$S$512,IF(L464&gt;0,L464,K464)))</f>
      </c>
      <c r="F464" s="39">
        <f>IF(B464="","",IF(L464&gt;0,INDEX('PEGAR'!$F$13:$F$512,L464),""))</f>
      </c>
      <c r="G464" s="39">
        <f>IF(B464="","",IF(OR(M464=0,N464&gt;0,O464&gt;0),"",SUMIFS('PEGAR'!$M$13:$M$512,'PEGAR'!$O$13:$O$512,B464)))</f>
      </c>
      <c r="H464" s="39">
        <f>IF(AND(ISNUMBER(F464),ISNUMBER(G464)),G464-F464,"")</f>
      </c>
      <c r="I464" s="27">
        <f>IF(B464="","",IF(W464=2,"ROJO",IF(W464=1,"ÁMBAR","VERDE")))</f>
      </c>
      <c r="J464" s="30">
        <f>IF(B464="","",IF(W464=0,"Sin avisos numéricos. Revisamos el alcance aparte.",IF(L464=0,"Faltan datos completos de partida; no elegimos un total por suposición."&amp;CHAR(10),"")&amp;IF(N464&gt;0,"Hay filas incompletas o contradictorias; las revisamos en PEGAR."&amp;CHAR(10),"")&amp;IF(O464&gt;0,"Faltan las medidas de alguna fila; no cerramos la suma."&amp;CHAR(10),"")&amp;IF(M464=0,"No constan líneas de medición."&amp;CHAR(10),"")&amp;IF(IF(ISNUMBER(H464),ROUND(ABS(H464),8)&gt;$F$6,FALSE),"Las líneas difieren del total en más de 0,01; confirmamos cantidad o exclusión."&amp;CHAR(10),"")&amp;IF(P464&gt;0,"Parece m³: encontramos tres dimensiones bajo m²."&amp;CHAR(10),"")&amp;IF(R464&gt;0,"Código repetido dentro del capítulo; mantenemos sus ID separados."&amp;CHAR(10),"")&amp;IF(S464&gt;0,"Código repetido en otro capítulo; no unimos las partidas."&amp;CHAR(10),"")&amp;IF(T464&gt;0,"Mismo código con unidades distintas; pedimos aclaración."&amp;CHAR(10),"")&amp;IF(Q464&gt;0,"Hay más precisión que los decimales indicados; cotejamos el formato original."&amp;CHAR(10),"")&amp;IF(U464&gt;0,"Unidad sin normalizar; cotejamos su significado antes de sumar unidades."&amp;CHAR(10),"")&amp;IF(V464&gt;0,"Revisamos dimensiones, cantidades directas, ceros o deducciones en PEGAR."&amp;CHAR(10),"")))</f>
      </c>
      <c r="K464" s="0">
        <f>IF(452&gt;'RESUMEN'!$E$6,"",MATCH(452,'PEGAR'!$W$13:$W$512,0))</f>
      </c>
      <c r="L464" s="0">
        <f>IF(K464="","",INDEX('PEGAR'!$R$13:$R$512,K464))</f>
      </c>
      <c r="M464" s="0">
        <f>IF(B464="","",COUNTIFS('PEGAR'!$O$13:$O$512,B464,'PEGAR'!$P$13:$P$512,"DIMENSIONES")+COUNTIFS('PEGAR'!$O$13:$O$512,B464,'PEGAR'!$P$13:$P$512,"DIRECTA"))</f>
      </c>
      <c r="N464" s="0">
        <f>IF(B464="","",COUNTIFS('PEGAR'!$O$13:$O$512,B464,'PEGAR'!$X$13:$X$512,2))</f>
      </c>
      <c r="O464" s="0">
        <f>IF(B464="","",COUNTIFS('PEGAR'!$O$13:$O$512,B464,'PEGAR'!$P$13:$P$512,"SIN LÍNEAS"))</f>
      </c>
      <c r="P464" s="0">
        <f>IF(B464="","",SUMIFS('PEGAR'!$Y$13:$Y$512,'PEGAR'!$O$13:$O$512,B464))</f>
      </c>
      <c r="Q464" s="0">
        <f>IF(B464="","",SUMIFS('PEGAR'!$Z$13:$Z$512,'PEGAR'!$O$13:$O$512,B464))</f>
      </c>
      <c r="R464" s="0" t="n">
        <f>IF(OR(B464="",D464=""),0,SUMPRODUCT(--($B$13:$B$512&lt;&gt;""),--($D$13:$D$512=D464),--($C$13:$C$512=C464))-1)</f>
        <v>0</v>
      </c>
      <c r="S464" s="0" t="n">
        <f>IF(OR(B464="",D464=""),0,SUMPRODUCT(--($B$13:$B$512&lt;&gt;""),--($D$13:$D$512=D464),--($C$13:$C$512&lt;&gt;C464)))</f>
        <v>0</v>
      </c>
      <c r="T464" s="0" t="n">
        <f>IF(OR(B464="",D464=""),0,SUMPRODUCT(--($B$13:$B$512&lt;&gt;""),--($D$13:$D$512=D464),--($E$13:$E$512&lt;&gt;E464)))</f>
        <v>0</v>
      </c>
      <c r="U464" s="0" t="n">
        <f>IF(B464="",0,IF(SUMPRODUCT(--('LÉEME'!$C$65:$C$86=E464))=0,1,0))</f>
        <v>0</v>
      </c>
      <c r="V464" s="0">
        <f>IF(B464="","",SUMIFS('PEGAR'!$AA$13:$AA$512,'PEGAR'!$O$13:$O$512,B464))</f>
      </c>
      <c r="W464" s="0">
        <f>IF(B464="","",IF(OR(L464=0,N464&gt;0,T464&gt;0,IF(ISNUMBER(H464),ROUND(ABS(H464),8)&gt;$F$6,FALSE)),2,IF(OR(M464=0,O464&gt;0,P464&gt;0,Q464&gt;0,R464&gt;0,S464&gt;0,U464&gt;0,V464&gt;0),1,0)))</f>
      </c>
      <c r="X464" s="0">
        <f>IF(B464="","",IF(ISNUMBER(G464),1,0))</f>
      </c>
      <c r="AB464" s="0">
        <f>IF(AND(ISNUMBER(W464),W464&gt;0),"ID "&amp;B464,"")</f>
      </c>
      <c r="AC464" s="0">
        <f>IF(AND(ISNUMBER(W464),W464&gt;0),C464,"")</f>
      </c>
      <c r="AD464" s="0">
        <f>IF(AND(ISNUMBER(W464),W464&gt;0),D464,"")</f>
      </c>
      <c r="AE464" s="0">
        <f>IF(AND(ISNUMBER(W464),W464&gt;0),IF(INDEX('PEGAR'!$D$13:$D$512,IF(L464&gt;0,L464,K464))="","Sin descripción",INDEX('PEGAR'!$D$13:$D$512,IF(L464&gt;0,L464,K464))),"")</f>
      </c>
      <c r="AF464" s="0">
        <f>IF(AND(ISNUMBER(W464),W464&gt;0),J464,"")</f>
      </c>
      <c r="AG464" s="0" t="n">
        <f>IF(AND(ISNUMBER(W464),W464&gt;0),W464,0)</f>
        <v>0</v>
      </c>
      <c r="AH464" s="0">
        <f>IF(AG464&gt;0,COUNTIFS($AG$13:AG464,"&gt;0"),"")</f>
      </c>
    </row>
    <row r="465" ht="22" customHeight="1">
      <c r="B465" s="27">
        <f>IF(K465="","",INDEX('PEGAR'!$O$13:$O$512,K465))</f>
      </c>
      <c r="C465" s="30">
        <f>IF(B465="","",IF(LEN(TRIM(INDEX('PEGAR'!$B$13:$B$512,IF(L465&gt;0,L465,K465))&amp;""))=0,"Sin capítulo",TRIM(INDEX('PEGAR'!$B$13:$B$512,IF(L465&gt;0,L465,K465))&amp;"")))</f>
      </c>
      <c r="D465" s="27">
        <f>IF(B465="","",IF(LEN(TRIM(INDEX('PEGAR'!$C$13:$C$512,IF(L465&gt;0,L465,K465))&amp;""))=0,"",TRIM(INDEX('PEGAR'!$C$13:$C$512,IF(L465&gt;0,L465,K465))&amp;"")))</f>
      </c>
      <c r="E465" s="27">
        <f>IF(B465="","",INDEX('PEGAR'!$S$13:$S$512,IF(L465&gt;0,L465,K465)))</f>
      </c>
      <c r="F465" s="39">
        <f>IF(B465="","",IF(L465&gt;0,INDEX('PEGAR'!$F$13:$F$512,L465),""))</f>
      </c>
      <c r="G465" s="39">
        <f>IF(B465="","",IF(OR(M465=0,N465&gt;0,O465&gt;0),"",SUMIFS('PEGAR'!$M$13:$M$512,'PEGAR'!$O$13:$O$512,B465)))</f>
      </c>
      <c r="H465" s="39">
        <f>IF(AND(ISNUMBER(F465),ISNUMBER(G465)),G465-F465,"")</f>
      </c>
      <c r="I465" s="27">
        <f>IF(B465="","",IF(W465=2,"ROJO",IF(W465=1,"ÁMBAR","VERDE")))</f>
      </c>
      <c r="J465" s="30">
        <f>IF(B465="","",IF(W465=0,"Sin avisos numéricos. Revisamos el alcance aparte.",IF(L465=0,"Faltan datos completos de partida; no elegimos un total por suposición."&amp;CHAR(10),"")&amp;IF(N465&gt;0,"Hay filas incompletas o contradictorias; las revisamos en PEGAR."&amp;CHAR(10),"")&amp;IF(O465&gt;0,"Faltan las medidas de alguna fila; no cerramos la suma."&amp;CHAR(10),"")&amp;IF(M465=0,"No constan líneas de medición."&amp;CHAR(10),"")&amp;IF(IF(ISNUMBER(H465),ROUND(ABS(H465),8)&gt;$F$6,FALSE),"Las líneas difieren del total en más de 0,01; confirmamos cantidad o exclusión."&amp;CHAR(10),"")&amp;IF(P465&gt;0,"Parece m³: encontramos tres dimensiones bajo m²."&amp;CHAR(10),"")&amp;IF(R465&gt;0,"Código repetido dentro del capítulo; mantenemos sus ID separados."&amp;CHAR(10),"")&amp;IF(S465&gt;0,"Código repetido en otro capítulo; no unimos las partidas."&amp;CHAR(10),"")&amp;IF(T465&gt;0,"Mismo código con unidades distintas; pedimos aclaración."&amp;CHAR(10),"")&amp;IF(Q465&gt;0,"Hay más precisión que los decimales indicados; cotejamos el formato original."&amp;CHAR(10),"")&amp;IF(U465&gt;0,"Unidad sin normalizar; cotejamos su significado antes de sumar unidades."&amp;CHAR(10),"")&amp;IF(V465&gt;0,"Revisamos dimensiones, cantidades directas, ceros o deducciones en PEGAR."&amp;CHAR(10),"")))</f>
      </c>
      <c r="K465" s="0">
        <f>IF(453&gt;'RESUMEN'!$E$6,"",MATCH(453,'PEGAR'!$W$13:$W$512,0))</f>
      </c>
      <c r="L465" s="0">
        <f>IF(K465="","",INDEX('PEGAR'!$R$13:$R$512,K465))</f>
      </c>
      <c r="M465" s="0">
        <f>IF(B465="","",COUNTIFS('PEGAR'!$O$13:$O$512,B465,'PEGAR'!$P$13:$P$512,"DIMENSIONES")+COUNTIFS('PEGAR'!$O$13:$O$512,B465,'PEGAR'!$P$13:$P$512,"DIRECTA"))</f>
      </c>
      <c r="N465" s="0">
        <f>IF(B465="","",COUNTIFS('PEGAR'!$O$13:$O$512,B465,'PEGAR'!$X$13:$X$512,2))</f>
      </c>
      <c r="O465" s="0">
        <f>IF(B465="","",COUNTIFS('PEGAR'!$O$13:$O$512,B465,'PEGAR'!$P$13:$P$512,"SIN LÍNEAS"))</f>
      </c>
      <c r="P465" s="0">
        <f>IF(B465="","",SUMIFS('PEGAR'!$Y$13:$Y$512,'PEGAR'!$O$13:$O$512,B465))</f>
      </c>
      <c r="Q465" s="0">
        <f>IF(B465="","",SUMIFS('PEGAR'!$Z$13:$Z$512,'PEGAR'!$O$13:$O$512,B465))</f>
      </c>
      <c r="R465" s="0" t="n">
        <f>IF(OR(B465="",D465=""),0,SUMPRODUCT(--($B$13:$B$512&lt;&gt;""),--($D$13:$D$512=D465),--($C$13:$C$512=C465))-1)</f>
        <v>0</v>
      </c>
      <c r="S465" s="0" t="n">
        <f>IF(OR(B465="",D465=""),0,SUMPRODUCT(--($B$13:$B$512&lt;&gt;""),--($D$13:$D$512=D465),--($C$13:$C$512&lt;&gt;C465)))</f>
        <v>0</v>
      </c>
      <c r="T465" s="0" t="n">
        <f>IF(OR(B465="",D465=""),0,SUMPRODUCT(--($B$13:$B$512&lt;&gt;""),--($D$13:$D$512=D465),--($E$13:$E$512&lt;&gt;E465)))</f>
        <v>0</v>
      </c>
      <c r="U465" s="0" t="n">
        <f>IF(B465="",0,IF(SUMPRODUCT(--('LÉEME'!$C$65:$C$86=E465))=0,1,0))</f>
        <v>0</v>
      </c>
      <c r="V465" s="0">
        <f>IF(B465="","",SUMIFS('PEGAR'!$AA$13:$AA$512,'PEGAR'!$O$13:$O$512,B465))</f>
      </c>
      <c r="W465" s="0">
        <f>IF(B465="","",IF(OR(L465=0,N465&gt;0,T465&gt;0,IF(ISNUMBER(H465),ROUND(ABS(H465),8)&gt;$F$6,FALSE)),2,IF(OR(M465=0,O465&gt;0,P465&gt;0,Q465&gt;0,R465&gt;0,S465&gt;0,U465&gt;0,V465&gt;0),1,0)))</f>
      </c>
      <c r="X465" s="0">
        <f>IF(B465="","",IF(ISNUMBER(G465),1,0))</f>
      </c>
      <c r="AB465" s="0">
        <f>IF(AND(ISNUMBER(W465),W465&gt;0),"ID "&amp;B465,"")</f>
      </c>
      <c r="AC465" s="0">
        <f>IF(AND(ISNUMBER(W465),W465&gt;0),C465,"")</f>
      </c>
      <c r="AD465" s="0">
        <f>IF(AND(ISNUMBER(W465),W465&gt;0),D465,"")</f>
      </c>
      <c r="AE465" s="0">
        <f>IF(AND(ISNUMBER(W465),W465&gt;0),IF(INDEX('PEGAR'!$D$13:$D$512,IF(L465&gt;0,L465,K465))="","Sin descripción",INDEX('PEGAR'!$D$13:$D$512,IF(L465&gt;0,L465,K465))),"")</f>
      </c>
      <c r="AF465" s="0">
        <f>IF(AND(ISNUMBER(W465),W465&gt;0),J465,"")</f>
      </c>
      <c r="AG465" s="0" t="n">
        <f>IF(AND(ISNUMBER(W465),W465&gt;0),W465,0)</f>
        <v>0</v>
      </c>
      <c r="AH465" s="0">
        <f>IF(AG465&gt;0,COUNTIFS($AG$13:AG465,"&gt;0"),"")</f>
      </c>
    </row>
    <row r="466" ht="22" customHeight="1">
      <c r="B466" s="27">
        <f>IF(K466="","",INDEX('PEGAR'!$O$13:$O$512,K466))</f>
      </c>
      <c r="C466" s="30">
        <f>IF(B466="","",IF(LEN(TRIM(INDEX('PEGAR'!$B$13:$B$512,IF(L466&gt;0,L466,K466))&amp;""))=0,"Sin capítulo",TRIM(INDEX('PEGAR'!$B$13:$B$512,IF(L466&gt;0,L466,K466))&amp;"")))</f>
      </c>
      <c r="D466" s="27">
        <f>IF(B466="","",IF(LEN(TRIM(INDEX('PEGAR'!$C$13:$C$512,IF(L466&gt;0,L466,K466))&amp;""))=0,"",TRIM(INDEX('PEGAR'!$C$13:$C$512,IF(L466&gt;0,L466,K466))&amp;"")))</f>
      </c>
      <c r="E466" s="27">
        <f>IF(B466="","",INDEX('PEGAR'!$S$13:$S$512,IF(L466&gt;0,L466,K466)))</f>
      </c>
      <c r="F466" s="39">
        <f>IF(B466="","",IF(L466&gt;0,INDEX('PEGAR'!$F$13:$F$512,L466),""))</f>
      </c>
      <c r="G466" s="39">
        <f>IF(B466="","",IF(OR(M466=0,N466&gt;0,O466&gt;0),"",SUMIFS('PEGAR'!$M$13:$M$512,'PEGAR'!$O$13:$O$512,B466)))</f>
      </c>
      <c r="H466" s="39">
        <f>IF(AND(ISNUMBER(F466),ISNUMBER(G466)),G466-F466,"")</f>
      </c>
      <c r="I466" s="27">
        <f>IF(B466="","",IF(W466=2,"ROJO",IF(W466=1,"ÁMBAR","VERDE")))</f>
      </c>
      <c r="J466" s="30">
        <f>IF(B466="","",IF(W466=0,"Sin avisos numéricos. Revisamos el alcance aparte.",IF(L466=0,"Faltan datos completos de partida; no elegimos un total por suposición."&amp;CHAR(10),"")&amp;IF(N466&gt;0,"Hay filas incompletas o contradictorias; las revisamos en PEGAR."&amp;CHAR(10),"")&amp;IF(O466&gt;0,"Faltan las medidas de alguna fila; no cerramos la suma."&amp;CHAR(10),"")&amp;IF(M466=0,"No constan líneas de medición."&amp;CHAR(10),"")&amp;IF(IF(ISNUMBER(H466),ROUND(ABS(H466),8)&gt;$F$6,FALSE),"Las líneas difieren del total en más de 0,01; confirmamos cantidad o exclusión."&amp;CHAR(10),"")&amp;IF(P466&gt;0,"Parece m³: encontramos tres dimensiones bajo m²."&amp;CHAR(10),"")&amp;IF(R466&gt;0,"Código repetido dentro del capítulo; mantenemos sus ID separados."&amp;CHAR(10),"")&amp;IF(S466&gt;0,"Código repetido en otro capítulo; no unimos las partidas."&amp;CHAR(10),"")&amp;IF(T466&gt;0,"Mismo código con unidades distintas; pedimos aclaración."&amp;CHAR(10),"")&amp;IF(Q466&gt;0,"Hay más precisión que los decimales indicados; cotejamos el formato original."&amp;CHAR(10),"")&amp;IF(U466&gt;0,"Unidad sin normalizar; cotejamos su significado antes de sumar unidades."&amp;CHAR(10),"")&amp;IF(V466&gt;0,"Revisamos dimensiones, cantidades directas, ceros o deducciones en PEGAR."&amp;CHAR(10),"")))</f>
      </c>
      <c r="K466" s="0">
        <f>IF(454&gt;'RESUMEN'!$E$6,"",MATCH(454,'PEGAR'!$W$13:$W$512,0))</f>
      </c>
      <c r="L466" s="0">
        <f>IF(K466="","",INDEX('PEGAR'!$R$13:$R$512,K466))</f>
      </c>
      <c r="M466" s="0">
        <f>IF(B466="","",COUNTIFS('PEGAR'!$O$13:$O$512,B466,'PEGAR'!$P$13:$P$512,"DIMENSIONES")+COUNTIFS('PEGAR'!$O$13:$O$512,B466,'PEGAR'!$P$13:$P$512,"DIRECTA"))</f>
      </c>
      <c r="N466" s="0">
        <f>IF(B466="","",COUNTIFS('PEGAR'!$O$13:$O$512,B466,'PEGAR'!$X$13:$X$512,2))</f>
      </c>
      <c r="O466" s="0">
        <f>IF(B466="","",COUNTIFS('PEGAR'!$O$13:$O$512,B466,'PEGAR'!$P$13:$P$512,"SIN LÍNEAS"))</f>
      </c>
      <c r="P466" s="0">
        <f>IF(B466="","",SUMIFS('PEGAR'!$Y$13:$Y$512,'PEGAR'!$O$13:$O$512,B466))</f>
      </c>
      <c r="Q466" s="0">
        <f>IF(B466="","",SUMIFS('PEGAR'!$Z$13:$Z$512,'PEGAR'!$O$13:$O$512,B466))</f>
      </c>
      <c r="R466" s="0" t="n">
        <f>IF(OR(B466="",D466=""),0,SUMPRODUCT(--($B$13:$B$512&lt;&gt;""),--($D$13:$D$512=D466),--($C$13:$C$512=C466))-1)</f>
        <v>0</v>
      </c>
      <c r="S466" s="0" t="n">
        <f>IF(OR(B466="",D466=""),0,SUMPRODUCT(--($B$13:$B$512&lt;&gt;""),--($D$13:$D$512=D466),--($C$13:$C$512&lt;&gt;C466)))</f>
        <v>0</v>
      </c>
      <c r="T466" s="0" t="n">
        <f>IF(OR(B466="",D466=""),0,SUMPRODUCT(--($B$13:$B$512&lt;&gt;""),--($D$13:$D$512=D466),--($E$13:$E$512&lt;&gt;E466)))</f>
        <v>0</v>
      </c>
      <c r="U466" s="0" t="n">
        <f>IF(B466="",0,IF(SUMPRODUCT(--('LÉEME'!$C$65:$C$86=E466))=0,1,0))</f>
        <v>0</v>
      </c>
      <c r="V466" s="0">
        <f>IF(B466="","",SUMIFS('PEGAR'!$AA$13:$AA$512,'PEGAR'!$O$13:$O$512,B466))</f>
      </c>
      <c r="W466" s="0">
        <f>IF(B466="","",IF(OR(L466=0,N466&gt;0,T466&gt;0,IF(ISNUMBER(H466),ROUND(ABS(H466),8)&gt;$F$6,FALSE)),2,IF(OR(M466=0,O466&gt;0,P466&gt;0,Q466&gt;0,R466&gt;0,S466&gt;0,U466&gt;0,V466&gt;0),1,0)))</f>
      </c>
      <c r="X466" s="0">
        <f>IF(B466="","",IF(ISNUMBER(G466),1,0))</f>
      </c>
      <c r="AB466" s="0">
        <f>IF(AND(ISNUMBER(W466),W466&gt;0),"ID "&amp;B466,"")</f>
      </c>
      <c r="AC466" s="0">
        <f>IF(AND(ISNUMBER(W466),W466&gt;0),C466,"")</f>
      </c>
      <c r="AD466" s="0">
        <f>IF(AND(ISNUMBER(W466),W466&gt;0),D466,"")</f>
      </c>
      <c r="AE466" s="0">
        <f>IF(AND(ISNUMBER(W466),W466&gt;0),IF(INDEX('PEGAR'!$D$13:$D$512,IF(L466&gt;0,L466,K466))="","Sin descripción",INDEX('PEGAR'!$D$13:$D$512,IF(L466&gt;0,L466,K466))),"")</f>
      </c>
      <c r="AF466" s="0">
        <f>IF(AND(ISNUMBER(W466),W466&gt;0),J466,"")</f>
      </c>
      <c r="AG466" s="0" t="n">
        <f>IF(AND(ISNUMBER(W466),W466&gt;0),W466,0)</f>
        <v>0</v>
      </c>
      <c r="AH466" s="0">
        <f>IF(AG466&gt;0,COUNTIFS($AG$13:AG466,"&gt;0"),"")</f>
      </c>
    </row>
    <row r="467" ht="22" customHeight="1">
      <c r="B467" s="27">
        <f>IF(K467="","",INDEX('PEGAR'!$O$13:$O$512,K467))</f>
      </c>
      <c r="C467" s="30">
        <f>IF(B467="","",IF(LEN(TRIM(INDEX('PEGAR'!$B$13:$B$512,IF(L467&gt;0,L467,K467))&amp;""))=0,"Sin capítulo",TRIM(INDEX('PEGAR'!$B$13:$B$512,IF(L467&gt;0,L467,K467))&amp;"")))</f>
      </c>
      <c r="D467" s="27">
        <f>IF(B467="","",IF(LEN(TRIM(INDEX('PEGAR'!$C$13:$C$512,IF(L467&gt;0,L467,K467))&amp;""))=0,"",TRIM(INDEX('PEGAR'!$C$13:$C$512,IF(L467&gt;0,L467,K467))&amp;"")))</f>
      </c>
      <c r="E467" s="27">
        <f>IF(B467="","",INDEX('PEGAR'!$S$13:$S$512,IF(L467&gt;0,L467,K467)))</f>
      </c>
      <c r="F467" s="39">
        <f>IF(B467="","",IF(L467&gt;0,INDEX('PEGAR'!$F$13:$F$512,L467),""))</f>
      </c>
      <c r="G467" s="39">
        <f>IF(B467="","",IF(OR(M467=0,N467&gt;0,O467&gt;0),"",SUMIFS('PEGAR'!$M$13:$M$512,'PEGAR'!$O$13:$O$512,B467)))</f>
      </c>
      <c r="H467" s="39">
        <f>IF(AND(ISNUMBER(F467),ISNUMBER(G467)),G467-F467,"")</f>
      </c>
      <c r="I467" s="27">
        <f>IF(B467="","",IF(W467=2,"ROJO",IF(W467=1,"ÁMBAR","VERDE")))</f>
      </c>
      <c r="J467" s="30">
        <f>IF(B467="","",IF(W467=0,"Sin avisos numéricos. Revisamos el alcance aparte.",IF(L467=0,"Faltan datos completos de partida; no elegimos un total por suposición."&amp;CHAR(10),"")&amp;IF(N467&gt;0,"Hay filas incompletas o contradictorias; las revisamos en PEGAR."&amp;CHAR(10),"")&amp;IF(O467&gt;0,"Faltan las medidas de alguna fila; no cerramos la suma."&amp;CHAR(10),"")&amp;IF(M467=0,"No constan líneas de medición."&amp;CHAR(10),"")&amp;IF(IF(ISNUMBER(H467),ROUND(ABS(H467),8)&gt;$F$6,FALSE),"Las líneas difieren del total en más de 0,01; confirmamos cantidad o exclusión."&amp;CHAR(10),"")&amp;IF(P467&gt;0,"Parece m³: encontramos tres dimensiones bajo m²."&amp;CHAR(10),"")&amp;IF(R467&gt;0,"Código repetido dentro del capítulo; mantenemos sus ID separados."&amp;CHAR(10),"")&amp;IF(S467&gt;0,"Código repetido en otro capítulo; no unimos las partidas."&amp;CHAR(10),"")&amp;IF(T467&gt;0,"Mismo código con unidades distintas; pedimos aclaración."&amp;CHAR(10),"")&amp;IF(Q467&gt;0,"Hay más precisión que los decimales indicados; cotejamos el formato original."&amp;CHAR(10),"")&amp;IF(U467&gt;0,"Unidad sin normalizar; cotejamos su significado antes de sumar unidades."&amp;CHAR(10),"")&amp;IF(V467&gt;0,"Revisamos dimensiones, cantidades directas, ceros o deducciones en PEGAR."&amp;CHAR(10),"")))</f>
      </c>
      <c r="K467" s="0">
        <f>IF(455&gt;'RESUMEN'!$E$6,"",MATCH(455,'PEGAR'!$W$13:$W$512,0))</f>
      </c>
      <c r="L467" s="0">
        <f>IF(K467="","",INDEX('PEGAR'!$R$13:$R$512,K467))</f>
      </c>
      <c r="M467" s="0">
        <f>IF(B467="","",COUNTIFS('PEGAR'!$O$13:$O$512,B467,'PEGAR'!$P$13:$P$512,"DIMENSIONES")+COUNTIFS('PEGAR'!$O$13:$O$512,B467,'PEGAR'!$P$13:$P$512,"DIRECTA"))</f>
      </c>
      <c r="N467" s="0">
        <f>IF(B467="","",COUNTIFS('PEGAR'!$O$13:$O$512,B467,'PEGAR'!$X$13:$X$512,2))</f>
      </c>
      <c r="O467" s="0">
        <f>IF(B467="","",COUNTIFS('PEGAR'!$O$13:$O$512,B467,'PEGAR'!$P$13:$P$512,"SIN LÍNEAS"))</f>
      </c>
      <c r="P467" s="0">
        <f>IF(B467="","",SUMIFS('PEGAR'!$Y$13:$Y$512,'PEGAR'!$O$13:$O$512,B467))</f>
      </c>
      <c r="Q467" s="0">
        <f>IF(B467="","",SUMIFS('PEGAR'!$Z$13:$Z$512,'PEGAR'!$O$13:$O$512,B467))</f>
      </c>
      <c r="R467" s="0" t="n">
        <f>IF(OR(B467="",D467=""),0,SUMPRODUCT(--($B$13:$B$512&lt;&gt;""),--($D$13:$D$512=D467),--($C$13:$C$512=C467))-1)</f>
        <v>0</v>
      </c>
      <c r="S467" s="0" t="n">
        <f>IF(OR(B467="",D467=""),0,SUMPRODUCT(--($B$13:$B$512&lt;&gt;""),--($D$13:$D$512=D467),--($C$13:$C$512&lt;&gt;C467)))</f>
        <v>0</v>
      </c>
      <c r="T467" s="0" t="n">
        <f>IF(OR(B467="",D467=""),0,SUMPRODUCT(--($B$13:$B$512&lt;&gt;""),--($D$13:$D$512=D467),--($E$13:$E$512&lt;&gt;E467)))</f>
        <v>0</v>
      </c>
      <c r="U467" s="0" t="n">
        <f>IF(B467="",0,IF(SUMPRODUCT(--('LÉEME'!$C$65:$C$86=E467))=0,1,0))</f>
        <v>0</v>
      </c>
      <c r="V467" s="0">
        <f>IF(B467="","",SUMIFS('PEGAR'!$AA$13:$AA$512,'PEGAR'!$O$13:$O$512,B467))</f>
      </c>
      <c r="W467" s="0">
        <f>IF(B467="","",IF(OR(L467=0,N467&gt;0,T467&gt;0,IF(ISNUMBER(H467),ROUND(ABS(H467),8)&gt;$F$6,FALSE)),2,IF(OR(M467=0,O467&gt;0,P467&gt;0,Q467&gt;0,R467&gt;0,S467&gt;0,U467&gt;0,V467&gt;0),1,0)))</f>
      </c>
      <c r="X467" s="0">
        <f>IF(B467="","",IF(ISNUMBER(G467),1,0))</f>
      </c>
      <c r="AB467" s="0">
        <f>IF(AND(ISNUMBER(W467),W467&gt;0),"ID "&amp;B467,"")</f>
      </c>
      <c r="AC467" s="0">
        <f>IF(AND(ISNUMBER(W467),W467&gt;0),C467,"")</f>
      </c>
      <c r="AD467" s="0">
        <f>IF(AND(ISNUMBER(W467),W467&gt;0),D467,"")</f>
      </c>
      <c r="AE467" s="0">
        <f>IF(AND(ISNUMBER(W467),W467&gt;0),IF(INDEX('PEGAR'!$D$13:$D$512,IF(L467&gt;0,L467,K467))="","Sin descripción",INDEX('PEGAR'!$D$13:$D$512,IF(L467&gt;0,L467,K467))),"")</f>
      </c>
      <c r="AF467" s="0">
        <f>IF(AND(ISNUMBER(W467),W467&gt;0),J467,"")</f>
      </c>
      <c r="AG467" s="0" t="n">
        <f>IF(AND(ISNUMBER(W467),W467&gt;0),W467,0)</f>
        <v>0</v>
      </c>
      <c r="AH467" s="0">
        <f>IF(AG467&gt;0,COUNTIFS($AG$13:AG467,"&gt;0"),"")</f>
      </c>
    </row>
    <row r="468" ht="22" customHeight="1">
      <c r="B468" s="27">
        <f>IF(K468="","",INDEX('PEGAR'!$O$13:$O$512,K468))</f>
      </c>
      <c r="C468" s="30">
        <f>IF(B468="","",IF(LEN(TRIM(INDEX('PEGAR'!$B$13:$B$512,IF(L468&gt;0,L468,K468))&amp;""))=0,"Sin capítulo",TRIM(INDEX('PEGAR'!$B$13:$B$512,IF(L468&gt;0,L468,K468))&amp;"")))</f>
      </c>
      <c r="D468" s="27">
        <f>IF(B468="","",IF(LEN(TRIM(INDEX('PEGAR'!$C$13:$C$512,IF(L468&gt;0,L468,K468))&amp;""))=0,"",TRIM(INDEX('PEGAR'!$C$13:$C$512,IF(L468&gt;0,L468,K468))&amp;"")))</f>
      </c>
      <c r="E468" s="27">
        <f>IF(B468="","",INDEX('PEGAR'!$S$13:$S$512,IF(L468&gt;0,L468,K468)))</f>
      </c>
      <c r="F468" s="39">
        <f>IF(B468="","",IF(L468&gt;0,INDEX('PEGAR'!$F$13:$F$512,L468),""))</f>
      </c>
      <c r="G468" s="39">
        <f>IF(B468="","",IF(OR(M468=0,N468&gt;0,O468&gt;0),"",SUMIFS('PEGAR'!$M$13:$M$512,'PEGAR'!$O$13:$O$512,B468)))</f>
      </c>
      <c r="H468" s="39">
        <f>IF(AND(ISNUMBER(F468),ISNUMBER(G468)),G468-F468,"")</f>
      </c>
      <c r="I468" s="27">
        <f>IF(B468="","",IF(W468=2,"ROJO",IF(W468=1,"ÁMBAR","VERDE")))</f>
      </c>
      <c r="J468" s="30">
        <f>IF(B468="","",IF(W468=0,"Sin avisos numéricos. Revisamos el alcance aparte.",IF(L468=0,"Faltan datos completos de partida; no elegimos un total por suposición."&amp;CHAR(10),"")&amp;IF(N468&gt;0,"Hay filas incompletas o contradictorias; las revisamos en PEGAR."&amp;CHAR(10),"")&amp;IF(O468&gt;0,"Faltan las medidas de alguna fila; no cerramos la suma."&amp;CHAR(10),"")&amp;IF(M468=0,"No constan líneas de medición."&amp;CHAR(10),"")&amp;IF(IF(ISNUMBER(H468),ROUND(ABS(H468),8)&gt;$F$6,FALSE),"Las líneas difieren del total en más de 0,01; confirmamos cantidad o exclusión."&amp;CHAR(10),"")&amp;IF(P468&gt;0,"Parece m³: encontramos tres dimensiones bajo m²."&amp;CHAR(10),"")&amp;IF(R468&gt;0,"Código repetido dentro del capítulo; mantenemos sus ID separados."&amp;CHAR(10),"")&amp;IF(S468&gt;0,"Código repetido en otro capítulo; no unimos las partidas."&amp;CHAR(10),"")&amp;IF(T468&gt;0,"Mismo código con unidades distintas; pedimos aclaración."&amp;CHAR(10),"")&amp;IF(Q468&gt;0,"Hay más precisión que los decimales indicados; cotejamos el formato original."&amp;CHAR(10),"")&amp;IF(U468&gt;0,"Unidad sin normalizar; cotejamos su significado antes de sumar unidades."&amp;CHAR(10),"")&amp;IF(V468&gt;0,"Revisamos dimensiones, cantidades directas, ceros o deducciones en PEGAR."&amp;CHAR(10),"")))</f>
      </c>
      <c r="K468" s="0">
        <f>IF(456&gt;'RESUMEN'!$E$6,"",MATCH(456,'PEGAR'!$W$13:$W$512,0))</f>
      </c>
      <c r="L468" s="0">
        <f>IF(K468="","",INDEX('PEGAR'!$R$13:$R$512,K468))</f>
      </c>
      <c r="M468" s="0">
        <f>IF(B468="","",COUNTIFS('PEGAR'!$O$13:$O$512,B468,'PEGAR'!$P$13:$P$512,"DIMENSIONES")+COUNTIFS('PEGAR'!$O$13:$O$512,B468,'PEGAR'!$P$13:$P$512,"DIRECTA"))</f>
      </c>
      <c r="N468" s="0">
        <f>IF(B468="","",COUNTIFS('PEGAR'!$O$13:$O$512,B468,'PEGAR'!$X$13:$X$512,2))</f>
      </c>
      <c r="O468" s="0">
        <f>IF(B468="","",COUNTIFS('PEGAR'!$O$13:$O$512,B468,'PEGAR'!$P$13:$P$512,"SIN LÍNEAS"))</f>
      </c>
      <c r="P468" s="0">
        <f>IF(B468="","",SUMIFS('PEGAR'!$Y$13:$Y$512,'PEGAR'!$O$13:$O$512,B468))</f>
      </c>
      <c r="Q468" s="0">
        <f>IF(B468="","",SUMIFS('PEGAR'!$Z$13:$Z$512,'PEGAR'!$O$13:$O$512,B468))</f>
      </c>
      <c r="R468" s="0" t="n">
        <f>IF(OR(B468="",D468=""),0,SUMPRODUCT(--($B$13:$B$512&lt;&gt;""),--($D$13:$D$512=D468),--($C$13:$C$512=C468))-1)</f>
        <v>0</v>
      </c>
      <c r="S468" s="0" t="n">
        <f>IF(OR(B468="",D468=""),0,SUMPRODUCT(--($B$13:$B$512&lt;&gt;""),--($D$13:$D$512=D468),--($C$13:$C$512&lt;&gt;C468)))</f>
        <v>0</v>
      </c>
      <c r="T468" s="0" t="n">
        <f>IF(OR(B468="",D468=""),0,SUMPRODUCT(--($B$13:$B$512&lt;&gt;""),--($D$13:$D$512=D468),--($E$13:$E$512&lt;&gt;E468)))</f>
        <v>0</v>
      </c>
      <c r="U468" s="0" t="n">
        <f>IF(B468="",0,IF(SUMPRODUCT(--('LÉEME'!$C$65:$C$86=E468))=0,1,0))</f>
        <v>0</v>
      </c>
      <c r="V468" s="0">
        <f>IF(B468="","",SUMIFS('PEGAR'!$AA$13:$AA$512,'PEGAR'!$O$13:$O$512,B468))</f>
      </c>
      <c r="W468" s="0">
        <f>IF(B468="","",IF(OR(L468=0,N468&gt;0,T468&gt;0,IF(ISNUMBER(H468),ROUND(ABS(H468),8)&gt;$F$6,FALSE)),2,IF(OR(M468=0,O468&gt;0,P468&gt;0,Q468&gt;0,R468&gt;0,S468&gt;0,U468&gt;0,V468&gt;0),1,0)))</f>
      </c>
      <c r="X468" s="0">
        <f>IF(B468="","",IF(ISNUMBER(G468),1,0))</f>
      </c>
      <c r="AB468" s="0">
        <f>IF(AND(ISNUMBER(W468),W468&gt;0),"ID "&amp;B468,"")</f>
      </c>
      <c r="AC468" s="0">
        <f>IF(AND(ISNUMBER(W468),W468&gt;0),C468,"")</f>
      </c>
      <c r="AD468" s="0">
        <f>IF(AND(ISNUMBER(W468),W468&gt;0),D468,"")</f>
      </c>
      <c r="AE468" s="0">
        <f>IF(AND(ISNUMBER(W468),W468&gt;0),IF(INDEX('PEGAR'!$D$13:$D$512,IF(L468&gt;0,L468,K468))="","Sin descripción",INDEX('PEGAR'!$D$13:$D$512,IF(L468&gt;0,L468,K468))),"")</f>
      </c>
      <c r="AF468" s="0">
        <f>IF(AND(ISNUMBER(W468),W468&gt;0),J468,"")</f>
      </c>
      <c r="AG468" s="0" t="n">
        <f>IF(AND(ISNUMBER(W468),W468&gt;0),W468,0)</f>
        <v>0</v>
      </c>
      <c r="AH468" s="0">
        <f>IF(AG468&gt;0,COUNTIFS($AG$13:AG468,"&gt;0"),"")</f>
      </c>
    </row>
    <row r="469" ht="22" customHeight="1">
      <c r="B469" s="27">
        <f>IF(K469="","",INDEX('PEGAR'!$O$13:$O$512,K469))</f>
      </c>
      <c r="C469" s="30">
        <f>IF(B469="","",IF(LEN(TRIM(INDEX('PEGAR'!$B$13:$B$512,IF(L469&gt;0,L469,K469))&amp;""))=0,"Sin capítulo",TRIM(INDEX('PEGAR'!$B$13:$B$512,IF(L469&gt;0,L469,K469))&amp;"")))</f>
      </c>
      <c r="D469" s="27">
        <f>IF(B469="","",IF(LEN(TRIM(INDEX('PEGAR'!$C$13:$C$512,IF(L469&gt;0,L469,K469))&amp;""))=0,"",TRIM(INDEX('PEGAR'!$C$13:$C$512,IF(L469&gt;0,L469,K469))&amp;"")))</f>
      </c>
      <c r="E469" s="27">
        <f>IF(B469="","",INDEX('PEGAR'!$S$13:$S$512,IF(L469&gt;0,L469,K469)))</f>
      </c>
      <c r="F469" s="39">
        <f>IF(B469="","",IF(L469&gt;0,INDEX('PEGAR'!$F$13:$F$512,L469),""))</f>
      </c>
      <c r="G469" s="39">
        <f>IF(B469="","",IF(OR(M469=0,N469&gt;0,O469&gt;0),"",SUMIFS('PEGAR'!$M$13:$M$512,'PEGAR'!$O$13:$O$512,B469)))</f>
      </c>
      <c r="H469" s="39">
        <f>IF(AND(ISNUMBER(F469),ISNUMBER(G469)),G469-F469,"")</f>
      </c>
      <c r="I469" s="27">
        <f>IF(B469="","",IF(W469=2,"ROJO",IF(W469=1,"ÁMBAR","VERDE")))</f>
      </c>
      <c r="J469" s="30">
        <f>IF(B469="","",IF(W469=0,"Sin avisos numéricos. Revisamos el alcance aparte.",IF(L469=0,"Faltan datos completos de partida; no elegimos un total por suposición."&amp;CHAR(10),"")&amp;IF(N469&gt;0,"Hay filas incompletas o contradictorias; las revisamos en PEGAR."&amp;CHAR(10),"")&amp;IF(O469&gt;0,"Faltan las medidas de alguna fila; no cerramos la suma."&amp;CHAR(10),"")&amp;IF(M469=0,"No constan líneas de medición."&amp;CHAR(10),"")&amp;IF(IF(ISNUMBER(H469),ROUND(ABS(H469),8)&gt;$F$6,FALSE),"Las líneas difieren del total en más de 0,01; confirmamos cantidad o exclusión."&amp;CHAR(10),"")&amp;IF(P469&gt;0,"Parece m³: encontramos tres dimensiones bajo m²."&amp;CHAR(10),"")&amp;IF(R469&gt;0,"Código repetido dentro del capítulo; mantenemos sus ID separados."&amp;CHAR(10),"")&amp;IF(S469&gt;0,"Código repetido en otro capítulo; no unimos las partidas."&amp;CHAR(10),"")&amp;IF(T469&gt;0,"Mismo código con unidades distintas; pedimos aclaración."&amp;CHAR(10),"")&amp;IF(Q469&gt;0,"Hay más precisión que los decimales indicados; cotejamos el formato original."&amp;CHAR(10),"")&amp;IF(U469&gt;0,"Unidad sin normalizar; cotejamos su significado antes de sumar unidades."&amp;CHAR(10),"")&amp;IF(V469&gt;0,"Revisamos dimensiones, cantidades directas, ceros o deducciones en PEGAR."&amp;CHAR(10),"")))</f>
      </c>
      <c r="K469" s="0">
        <f>IF(457&gt;'RESUMEN'!$E$6,"",MATCH(457,'PEGAR'!$W$13:$W$512,0))</f>
      </c>
      <c r="L469" s="0">
        <f>IF(K469="","",INDEX('PEGAR'!$R$13:$R$512,K469))</f>
      </c>
      <c r="M469" s="0">
        <f>IF(B469="","",COUNTIFS('PEGAR'!$O$13:$O$512,B469,'PEGAR'!$P$13:$P$512,"DIMENSIONES")+COUNTIFS('PEGAR'!$O$13:$O$512,B469,'PEGAR'!$P$13:$P$512,"DIRECTA"))</f>
      </c>
      <c r="N469" s="0">
        <f>IF(B469="","",COUNTIFS('PEGAR'!$O$13:$O$512,B469,'PEGAR'!$X$13:$X$512,2))</f>
      </c>
      <c r="O469" s="0">
        <f>IF(B469="","",COUNTIFS('PEGAR'!$O$13:$O$512,B469,'PEGAR'!$P$13:$P$512,"SIN LÍNEAS"))</f>
      </c>
      <c r="P469" s="0">
        <f>IF(B469="","",SUMIFS('PEGAR'!$Y$13:$Y$512,'PEGAR'!$O$13:$O$512,B469))</f>
      </c>
      <c r="Q469" s="0">
        <f>IF(B469="","",SUMIFS('PEGAR'!$Z$13:$Z$512,'PEGAR'!$O$13:$O$512,B469))</f>
      </c>
      <c r="R469" s="0" t="n">
        <f>IF(OR(B469="",D469=""),0,SUMPRODUCT(--($B$13:$B$512&lt;&gt;""),--($D$13:$D$512=D469),--($C$13:$C$512=C469))-1)</f>
        <v>0</v>
      </c>
      <c r="S469" s="0" t="n">
        <f>IF(OR(B469="",D469=""),0,SUMPRODUCT(--($B$13:$B$512&lt;&gt;""),--($D$13:$D$512=D469),--($C$13:$C$512&lt;&gt;C469)))</f>
        <v>0</v>
      </c>
      <c r="T469" s="0" t="n">
        <f>IF(OR(B469="",D469=""),0,SUMPRODUCT(--($B$13:$B$512&lt;&gt;""),--($D$13:$D$512=D469),--($E$13:$E$512&lt;&gt;E469)))</f>
        <v>0</v>
      </c>
      <c r="U469" s="0" t="n">
        <f>IF(B469="",0,IF(SUMPRODUCT(--('LÉEME'!$C$65:$C$86=E469))=0,1,0))</f>
        <v>0</v>
      </c>
      <c r="V469" s="0">
        <f>IF(B469="","",SUMIFS('PEGAR'!$AA$13:$AA$512,'PEGAR'!$O$13:$O$512,B469))</f>
      </c>
      <c r="W469" s="0">
        <f>IF(B469="","",IF(OR(L469=0,N469&gt;0,T469&gt;0,IF(ISNUMBER(H469),ROUND(ABS(H469),8)&gt;$F$6,FALSE)),2,IF(OR(M469=0,O469&gt;0,P469&gt;0,Q469&gt;0,R469&gt;0,S469&gt;0,U469&gt;0,V469&gt;0),1,0)))</f>
      </c>
      <c r="X469" s="0">
        <f>IF(B469="","",IF(ISNUMBER(G469),1,0))</f>
      </c>
      <c r="AB469" s="0">
        <f>IF(AND(ISNUMBER(W469),W469&gt;0),"ID "&amp;B469,"")</f>
      </c>
      <c r="AC469" s="0">
        <f>IF(AND(ISNUMBER(W469),W469&gt;0),C469,"")</f>
      </c>
      <c r="AD469" s="0">
        <f>IF(AND(ISNUMBER(W469),W469&gt;0),D469,"")</f>
      </c>
      <c r="AE469" s="0">
        <f>IF(AND(ISNUMBER(W469),W469&gt;0),IF(INDEX('PEGAR'!$D$13:$D$512,IF(L469&gt;0,L469,K469))="","Sin descripción",INDEX('PEGAR'!$D$13:$D$512,IF(L469&gt;0,L469,K469))),"")</f>
      </c>
      <c r="AF469" s="0">
        <f>IF(AND(ISNUMBER(W469),W469&gt;0),J469,"")</f>
      </c>
      <c r="AG469" s="0" t="n">
        <f>IF(AND(ISNUMBER(W469),W469&gt;0),W469,0)</f>
        <v>0</v>
      </c>
      <c r="AH469" s="0">
        <f>IF(AG469&gt;0,COUNTIFS($AG$13:AG469,"&gt;0"),"")</f>
      </c>
    </row>
    <row r="470" ht="22" customHeight="1">
      <c r="B470" s="27">
        <f>IF(K470="","",INDEX('PEGAR'!$O$13:$O$512,K470))</f>
      </c>
      <c r="C470" s="30">
        <f>IF(B470="","",IF(LEN(TRIM(INDEX('PEGAR'!$B$13:$B$512,IF(L470&gt;0,L470,K470))&amp;""))=0,"Sin capítulo",TRIM(INDEX('PEGAR'!$B$13:$B$512,IF(L470&gt;0,L470,K470))&amp;"")))</f>
      </c>
      <c r="D470" s="27">
        <f>IF(B470="","",IF(LEN(TRIM(INDEX('PEGAR'!$C$13:$C$512,IF(L470&gt;0,L470,K470))&amp;""))=0,"",TRIM(INDEX('PEGAR'!$C$13:$C$512,IF(L470&gt;0,L470,K470))&amp;"")))</f>
      </c>
      <c r="E470" s="27">
        <f>IF(B470="","",INDEX('PEGAR'!$S$13:$S$512,IF(L470&gt;0,L470,K470)))</f>
      </c>
      <c r="F470" s="39">
        <f>IF(B470="","",IF(L470&gt;0,INDEX('PEGAR'!$F$13:$F$512,L470),""))</f>
      </c>
      <c r="G470" s="39">
        <f>IF(B470="","",IF(OR(M470=0,N470&gt;0,O470&gt;0),"",SUMIFS('PEGAR'!$M$13:$M$512,'PEGAR'!$O$13:$O$512,B470)))</f>
      </c>
      <c r="H470" s="39">
        <f>IF(AND(ISNUMBER(F470),ISNUMBER(G470)),G470-F470,"")</f>
      </c>
      <c r="I470" s="27">
        <f>IF(B470="","",IF(W470=2,"ROJO",IF(W470=1,"ÁMBAR","VERDE")))</f>
      </c>
      <c r="J470" s="30">
        <f>IF(B470="","",IF(W470=0,"Sin avisos numéricos. Revisamos el alcance aparte.",IF(L470=0,"Faltan datos completos de partida; no elegimos un total por suposición."&amp;CHAR(10),"")&amp;IF(N470&gt;0,"Hay filas incompletas o contradictorias; las revisamos en PEGAR."&amp;CHAR(10),"")&amp;IF(O470&gt;0,"Faltan las medidas de alguna fila; no cerramos la suma."&amp;CHAR(10),"")&amp;IF(M470=0,"No constan líneas de medición."&amp;CHAR(10),"")&amp;IF(IF(ISNUMBER(H470),ROUND(ABS(H470),8)&gt;$F$6,FALSE),"Las líneas difieren del total en más de 0,01; confirmamos cantidad o exclusión."&amp;CHAR(10),"")&amp;IF(P470&gt;0,"Parece m³: encontramos tres dimensiones bajo m²."&amp;CHAR(10),"")&amp;IF(R470&gt;0,"Código repetido dentro del capítulo; mantenemos sus ID separados."&amp;CHAR(10),"")&amp;IF(S470&gt;0,"Código repetido en otro capítulo; no unimos las partidas."&amp;CHAR(10),"")&amp;IF(T470&gt;0,"Mismo código con unidades distintas; pedimos aclaración."&amp;CHAR(10),"")&amp;IF(Q470&gt;0,"Hay más precisión que los decimales indicados; cotejamos el formato original."&amp;CHAR(10),"")&amp;IF(U470&gt;0,"Unidad sin normalizar; cotejamos su significado antes de sumar unidades."&amp;CHAR(10),"")&amp;IF(V470&gt;0,"Revisamos dimensiones, cantidades directas, ceros o deducciones en PEGAR."&amp;CHAR(10),"")))</f>
      </c>
      <c r="K470" s="0">
        <f>IF(458&gt;'RESUMEN'!$E$6,"",MATCH(458,'PEGAR'!$W$13:$W$512,0))</f>
      </c>
      <c r="L470" s="0">
        <f>IF(K470="","",INDEX('PEGAR'!$R$13:$R$512,K470))</f>
      </c>
      <c r="M470" s="0">
        <f>IF(B470="","",COUNTIFS('PEGAR'!$O$13:$O$512,B470,'PEGAR'!$P$13:$P$512,"DIMENSIONES")+COUNTIFS('PEGAR'!$O$13:$O$512,B470,'PEGAR'!$P$13:$P$512,"DIRECTA"))</f>
      </c>
      <c r="N470" s="0">
        <f>IF(B470="","",COUNTIFS('PEGAR'!$O$13:$O$512,B470,'PEGAR'!$X$13:$X$512,2))</f>
      </c>
      <c r="O470" s="0">
        <f>IF(B470="","",COUNTIFS('PEGAR'!$O$13:$O$512,B470,'PEGAR'!$P$13:$P$512,"SIN LÍNEAS"))</f>
      </c>
      <c r="P470" s="0">
        <f>IF(B470="","",SUMIFS('PEGAR'!$Y$13:$Y$512,'PEGAR'!$O$13:$O$512,B470))</f>
      </c>
      <c r="Q470" s="0">
        <f>IF(B470="","",SUMIFS('PEGAR'!$Z$13:$Z$512,'PEGAR'!$O$13:$O$512,B470))</f>
      </c>
      <c r="R470" s="0" t="n">
        <f>IF(OR(B470="",D470=""),0,SUMPRODUCT(--($B$13:$B$512&lt;&gt;""),--($D$13:$D$512=D470),--($C$13:$C$512=C470))-1)</f>
        <v>0</v>
      </c>
      <c r="S470" s="0" t="n">
        <f>IF(OR(B470="",D470=""),0,SUMPRODUCT(--($B$13:$B$512&lt;&gt;""),--($D$13:$D$512=D470),--($C$13:$C$512&lt;&gt;C470)))</f>
        <v>0</v>
      </c>
      <c r="T470" s="0" t="n">
        <f>IF(OR(B470="",D470=""),0,SUMPRODUCT(--($B$13:$B$512&lt;&gt;""),--($D$13:$D$512=D470),--($E$13:$E$512&lt;&gt;E470)))</f>
        <v>0</v>
      </c>
      <c r="U470" s="0" t="n">
        <f>IF(B470="",0,IF(SUMPRODUCT(--('LÉEME'!$C$65:$C$86=E470))=0,1,0))</f>
        <v>0</v>
      </c>
      <c r="V470" s="0">
        <f>IF(B470="","",SUMIFS('PEGAR'!$AA$13:$AA$512,'PEGAR'!$O$13:$O$512,B470))</f>
      </c>
      <c r="W470" s="0">
        <f>IF(B470="","",IF(OR(L470=0,N470&gt;0,T470&gt;0,IF(ISNUMBER(H470),ROUND(ABS(H470),8)&gt;$F$6,FALSE)),2,IF(OR(M470=0,O470&gt;0,P470&gt;0,Q470&gt;0,R470&gt;0,S470&gt;0,U470&gt;0,V470&gt;0),1,0)))</f>
      </c>
      <c r="X470" s="0">
        <f>IF(B470="","",IF(ISNUMBER(G470),1,0))</f>
      </c>
      <c r="AB470" s="0">
        <f>IF(AND(ISNUMBER(W470),W470&gt;0),"ID "&amp;B470,"")</f>
      </c>
      <c r="AC470" s="0">
        <f>IF(AND(ISNUMBER(W470),W470&gt;0),C470,"")</f>
      </c>
      <c r="AD470" s="0">
        <f>IF(AND(ISNUMBER(W470),W470&gt;0),D470,"")</f>
      </c>
      <c r="AE470" s="0">
        <f>IF(AND(ISNUMBER(W470),W470&gt;0),IF(INDEX('PEGAR'!$D$13:$D$512,IF(L470&gt;0,L470,K470))="","Sin descripción",INDEX('PEGAR'!$D$13:$D$512,IF(L470&gt;0,L470,K470))),"")</f>
      </c>
      <c r="AF470" s="0">
        <f>IF(AND(ISNUMBER(W470),W470&gt;0),J470,"")</f>
      </c>
      <c r="AG470" s="0" t="n">
        <f>IF(AND(ISNUMBER(W470),W470&gt;0),W470,0)</f>
        <v>0</v>
      </c>
      <c r="AH470" s="0">
        <f>IF(AG470&gt;0,COUNTIFS($AG$13:AG470,"&gt;0"),"")</f>
      </c>
    </row>
    <row r="471" ht="22" customHeight="1">
      <c r="B471" s="27">
        <f>IF(K471="","",INDEX('PEGAR'!$O$13:$O$512,K471))</f>
      </c>
      <c r="C471" s="30">
        <f>IF(B471="","",IF(LEN(TRIM(INDEX('PEGAR'!$B$13:$B$512,IF(L471&gt;0,L471,K471))&amp;""))=0,"Sin capítulo",TRIM(INDEX('PEGAR'!$B$13:$B$512,IF(L471&gt;0,L471,K471))&amp;"")))</f>
      </c>
      <c r="D471" s="27">
        <f>IF(B471="","",IF(LEN(TRIM(INDEX('PEGAR'!$C$13:$C$512,IF(L471&gt;0,L471,K471))&amp;""))=0,"",TRIM(INDEX('PEGAR'!$C$13:$C$512,IF(L471&gt;0,L471,K471))&amp;"")))</f>
      </c>
      <c r="E471" s="27">
        <f>IF(B471="","",INDEX('PEGAR'!$S$13:$S$512,IF(L471&gt;0,L471,K471)))</f>
      </c>
      <c r="F471" s="39">
        <f>IF(B471="","",IF(L471&gt;0,INDEX('PEGAR'!$F$13:$F$512,L471),""))</f>
      </c>
      <c r="G471" s="39">
        <f>IF(B471="","",IF(OR(M471=0,N471&gt;0,O471&gt;0),"",SUMIFS('PEGAR'!$M$13:$M$512,'PEGAR'!$O$13:$O$512,B471)))</f>
      </c>
      <c r="H471" s="39">
        <f>IF(AND(ISNUMBER(F471),ISNUMBER(G471)),G471-F471,"")</f>
      </c>
      <c r="I471" s="27">
        <f>IF(B471="","",IF(W471=2,"ROJO",IF(W471=1,"ÁMBAR","VERDE")))</f>
      </c>
      <c r="J471" s="30">
        <f>IF(B471="","",IF(W471=0,"Sin avisos numéricos. Revisamos el alcance aparte.",IF(L471=0,"Faltan datos completos de partida; no elegimos un total por suposición."&amp;CHAR(10),"")&amp;IF(N471&gt;0,"Hay filas incompletas o contradictorias; las revisamos en PEGAR."&amp;CHAR(10),"")&amp;IF(O471&gt;0,"Faltan las medidas de alguna fila; no cerramos la suma."&amp;CHAR(10),"")&amp;IF(M471=0,"No constan líneas de medición."&amp;CHAR(10),"")&amp;IF(IF(ISNUMBER(H471),ROUND(ABS(H471),8)&gt;$F$6,FALSE),"Las líneas difieren del total en más de 0,01; confirmamos cantidad o exclusión."&amp;CHAR(10),"")&amp;IF(P471&gt;0,"Parece m³: encontramos tres dimensiones bajo m²."&amp;CHAR(10),"")&amp;IF(R471&gt;0,"Código repetido dentro del capítulo; mantenemos sus ID separados."&amp;CHAR(10),"")&amp;IF(S471&gt;0,"Código repetido en otro capítulo; no unimos las partidas."&amp;CHAR(10),"")&amp;IF(T471&gt;0,"Mismo código con unidades distintas; pedimos aclaración."&amp;CHAR(10),"")&amp;IF(Q471&gt;0,"Hay más precisión que los decimales indicados; cotejamos el formato original."&amp;CHAR(10),"")&amp;IF(U471&gt;0,"Unidad sin normalizar; cotejamos su significado antes de sumar unidades."&amp;CHAR(10),"")&amp;IF(V471&gt;0,"Revisamos dimensiones, cantidades directas, ceros o deducciones en PEGAR."&amp;CHAR(10),"")))</f>
      </c>
      <c r="K471" s="0">
        <f>IF(459&gt;'RESUMEN'!$E$6,"",MATCH(459,'PEGAR'!$W$13:$W$512,0))</f>
      </c>
      <c r="L471" s="0">
        <f>IF(K471="","",INDEX('PEGAR'!$R$13:$R$512,K471))</f>
      </c>
      <c r="M471" s="0">
        <f>IF(B471="","",COUNTIFS('PEGAR'!$O$13:$O$512,B471,'PEGAR'!$P$13:$P$512,"DIMENSIONES")+COUNTIFS('PEGAR'!$O$13:$O$512,B471,'PEGAR'!$P$13:$P$512,"DIRECTA"))</f>
      </c>
      <c r="N471" s="0">
        <f>IF(B471="","",COUNTIFS('PEGAR'!$O$13:$O$512,B471,'PEGAR'!$X$13:$X$512,2))</f>
      </c>
      <c r="O471" s="0">
        <f>IF(B471="","",COUNTIFS('PEGAR'!$O$13:$O$512,B471,'PEGAR'!$P$13:$P$512,"SIN LÍNEAS"))</f>
      </c>
      <c r="P471" s="0">
        <f>IF(B471="","",SUMIFS('PEGAR'!$Y$13:$Y$512,'PEGAR'!$O$13:$O$512,B471))</f>
      </c>
      <c r="Q471" s="0">
        <f>IF(B471="","",SUMIFS('PEGAR'!$Z$13:$Z$512,'PEGAR'!$O$13:$O$512,B471))</f>
      </c>
      <c r="R471" s="0" t="n">
        <f>IF(OR(B471="",D471=""),0,SUMPRODUCT(--($B$13:$B$512&lt;&gt;""),--($D$13:$D$512=D471),--($C$13:$C$512=C471))-1)</f>
        <v>0</v>
      </c>
      <c r="S471" s="0" t="n">
        <f>IF(OR(B471="",D471=""),0,SUMPRODUCT(--($B$13:$B$512&lt;&gt;""),--($D$13:$D$512=D471),--($C$13:$C$512&lt;&gt;C471)))</f>
        <v>0</v>
      </c>
      <c r="T471" s="0" t="n">
        <f>IF(OR(B471="",D471=""),0,SUMPRODUCT(--($B$13:$B$512&lt;&gt;""),--($D$13:$D$512=D471),--($E$13:$E$512&lt;&gt;E471)))</f>
        <v>0</v>
      </c>
      <c r="U471" s="0" t="n">
        <f>IF(B471="",0,IF(SUMPRODUCT(--('LÉEME'!$C$65:$C$86=E471))=0,1,0))</f>
        <v>0</v>
      </c>
      <c r="V471" s="0">
        <f>IF(B471="","",SUMIFS('PEGAR'!$AA$13:$AA$512,'PEGAR'!$O$13:$O$512,B471))</f>
      </c>
      <c r="W471" s="0">
        <f>IF(B471="","",IF(OR(L471=0,N471&gt;0,T471&gt;0,IF(ISNUMBER(H471),ROUND(ABS(H471),8)&gt;$F$6,FALSE)),2,IF(OR(M471=0,O471&gt;0,P471&gt;0,Q471&gt;0,R471&gt;0,S471&gt;0,U471&gt;0,V471&gt;0),1,0)))</f>
      </c>
      <c r="X471" s="0">
        <f>IF(B471="","",IF(ISNUMBER(G471),1,0))</f>
      </c>
      <c r="AB471" s="0">
        <f>IF(AND(ISNUMBER(W471),W471&gt;0),"ID "&amp;B471,"")</f>
      </c>
      <c r="AC471" s="0">
        <f>IF(AND(ISNUMBER(W471),W471&gt;0),C471,"")</f>
      </c>
      <c r="AD471" s="0">
        <f>IF(AND(ISNUMBER(W471),W471&gt;0),D471,"")</f>
      </c>
      <c r="AE471" s="0">
        <f>IF(AND(ISNUMBER(W471),W471&gt;0),IF(INDEX('PEGAR'!$D$13:$D$512,IF(L471&gt;0,L471,K471))="","Sin descripción",INDEX('PEGAR'!$D$13:$D$512,IF(L471&gt;0,L471,K471))),"")</f>
      </c>
      <c r="AF471" s="0">
        <f>IF(AND(ISNUMBER(W471),W471&gt;0),J471,"")</f>
      </c>
      <c r="AG471" s="0" t="n">
        <f>IF(AND(ISNUMBER(W471),W471&gt;0),W471,0)</f>
        <v>0</v>
      </c>
      <c r="AH471" s="0">
        <f>IF(AG471&gt;0,COUNTIFS($AG$13:AG471,"&gt;0"),"")</f>
      </c>
    </row>
    <row r="472" ht="22" customHeight="1">
      <c r="B472" s="27">
        <f>IF(K472="","",INDEX('PEGAR'!$O$13:$O$512,K472))</f>
      </c>
      <c r="C472" s="30">
        <f>IF(B472="","",IF(LEN(TRIM(INDEX('PEGAR'!$B$13:$B$512,IF(L472&gt;0,L472,K472))&amp;""))=0,"Sin capítulo",TRIM(INDEX('PEGAR'!$B$13:$B$512,IF(L472&gt;0,L472,K472))&amp;"")))</f>
      </c>
      <c r="D472" s="27">
        <f>IF(B472="","",IF(LEN(TRIM(INDEX('PEGAR'!$C$13:$C$512,IF(L472&gt;0,L472,K472))&amp;""))=0,"",TRIM(INDEX('PEGAR'!$C$13:$C$512,IF(L472&gt;0,L472,K472))&amp;"")))</f>
      </c>
      <c r="E472" s="27">
        <f>IF(B472="","",INDEX('PEGAR'!$S$13:$S$512,IF(L472&gt;0,L472,K472)))</f>
      </c>
      <c r="F472" s="39">
        <f>IF(B472="","",IF(L472&gt;0,INDEX('PEGAR'!$F$13:$F$512,L472),""))</f>
      </c>
      <c r="G472" s="39">
        <f>IF(B472="","",IF(OR(M472=0,N472&gt;0,O472&gt;0),"",SUMIFS('PEGAR'!$M$13:$M$512,'PEGAR'!$O$13:$O$512,B472)))</f>
      </c>
      <c r="H472" s="39">
        <f>IF(AND(ISNUMBER(F472),ISNUMBER(G472)),G472-F472,"")</f>
      </c>
      <c r="I472" s="27">
        <f>IF(B472="","",IF(W472=2,"ROJO",IF(W472=1,"ÁMBAR","VERDE")))</f>
      </c>
      <c r="J472" s="30">
        <f>IF(B472="","",IF(W472=0,"Sin avisos numéricos. Revisamos el alcance aparte.",IF(L472=0,"Faltan datos completos de partida; no elegimos un total por suposición."&amp;CHAR(10),"")&amp;IF(N472&gt;0,"Hay filas incompletas o contradictorias; las revisamos en PEGAR."&amp;CHAR(10),"")&amp;IF(O472&gt;0,"Faltan las medidas de alguna fila; no cerramos la suma."&amp;CHAR(10),"")&amp;IF(M472=0,"No constan líneas de medición."&amp;CHAR(10),"")&amp;IF(IF(ISNUMBER(H472),ROUND(ABS(H472),8)&gt;$F$6,FALSE),"Las líneas difieren del total en más de 0,01; confirmamos cantidad o exclusión."&amp;CHAR(10),"")&amp;IF(P472&gt;0,"Parece m³: encontramos tres dimensiones bajo m²."&amp;CHAR(10),"")&amp;IF(R472&gt;0,"Código repetido dentro del capítulo; mantenemos sus ID separados."&amp;CHAR(10),"")&amp;IF(S472&gt;0,"Código repetido en otro capítulo; no unimos las partidas."&amp;CHAR(10),"")&amp;IF(T472&gt;0,"Mismo código con unidades distintas; pedimos aclaración."&amp;CHAR(10),"")&amp;IF(Q472&gt;0,"Hay más precisión que los decimales indicados; cotejamos el formato original."&amp;CHAR(10),"")&amp;IF(U472&gt;0,"Unidad sin normalizar; cotejamos su significado antes de sumar unidades."&amp;CHAR(10),"")&amp;IF(V472&gt;0,"Revisamos dimensiones, cantidades directas, ceros o deducciones en PEGAR."&amp;CHAR(10),"")))</f>
      </c>
      <c r="K472" s="0">
        <f>IF(460&gt;'RESUMEN'!$E$6,"",MATCH(460,'PEGAR'!$W$13:$W$512,0))</f>
      </c>
      <c r="L472" s="0">
        <f>IF(K472="","",INDEX('PEGAR'!$R$13:$R$512,K472))</f>
      </c>
      <c r="M472" s="0">
        <f>IF(B472="","",COUNTIFS('PEGAR'!$O$13:$O$512,B472,'PEGAR'!$P$13:$P$512,"DIMENSIONES")+COUNTIFS('PEGAR'!$O$13:$O$512,B472,'PEGAR'!$P$13:$P$512,"DIRECTA"))</f>
      </c>
      <c r="N472" s="0">
        <f>IF(B472="","",COUNTIFS('PEGAR'!$O$13:$O$512,B472,'PEGAR'!$X$13:$X$512,2))</f>
      </c>
      <c r="O472" s="0">
        <f>IF(B472="","",COUNTIFS('PEGAR'!$O$13:$O$512,B472,'PEGAR'!$P$13:$P$512,"SIN LÍNEAS"))</f>
      </c>
      <c r="P472" s="0">
        <f>IF(B472="","",SUMIFS('PEGAR'!$Y$13:$Y$512,'PEGAR'!$O$13:$O$512,B472))</f>
      </c>
      <c r="Q472" s="0">
        <f>IF(B472="","",SUMIFS('PEGAR'!$Z$13:$Z$512,'PEGAR'!$O$13:$O$512,B472))</f>
      </c>
      <c r="R472" s="0" t="n">
        <f>IF(OR(B472="",D472=""),0,SUMPRODUCT(--($B$13:$B$512&lt;&gt;""),--($D$13:$D$512=D472),--($C$13:$C$512=C472))-1)</f>
        <v>0</v>
      </c>
      <c r="S472" s="0" t="n">
        <f>IF(OR(B472="",D472=""),0,SUMPRODUCT(--($B$13:$B$512&lt;&gt;""),--($D$13:$D$512=D472),--($C$13:$C$512&lt;&gt;C472)))</f>
        <v>0</v>
      </c>
      <c r="T472" s="0" t="n">
        <f>IF(OR(B472="",D472=""),0,SUMPRODUCT(--($B$13:$B$512&lt;&gt;""),--($D$13:$D$512=D472),--($E$13:$E$512&lt;&gt;E472)))</f>
        <v>0</v>
      </c>
      <c r="U472" s="0" t="n">
        <f>IF(B472="",0,IF(SUMPRODUCT(--('LÉEME'!$C$65:$C$86=E472))=0,1,0))</f>
        <v>0</v>
      </c>
      <c r="V472" s="0">
        <f>IF(B472="","",SUMIFS('PEGAR'!$AA$13:$AA$512,'PEGAR'!$O$13:$O$512,B472))</f>
      </c>
      <c r="W472" s="0">
        <f>IF(B472="","",IF(OR(L472=0,N472&gt;0,T472&gt;0,IF(ISNUMBER(H472),ROUND(ABS(H472),8)&gt;$F$6,FALSE)),2,IF(OR(M472=0,O472&gt;0,P472&gt;0,Q472&gt;0,R472&gt;0,S472&gt;0,U472&gt;0,V472&gt;0),1,0)))</f>
      </c>
      <c r="X472" s="0">
        <f>IF(B472="","",IF(ISNUMBER(G472),1,0))</f>
      </c>
      <c r="AB472" s="0">
        <f>IF(AND(ISNUMBER(W472),W472&gt;0),"ID "&amp;B472,"")</f>
      </c>
      <c r="AC472" s="0">
        <f>IF(AND(ISNUMBER(W472),W472&gt;0),C472,"")</f>
      </c>
      <c r="AD472" s="0">
        <f>IF(AND(ISNUMBER(W472),W472&gt;0),D472,"")</f>
      </c>
      <c r="AE472" s="0">
        <f>IF(AND(ISNUMBER(W472),W472&gt;0),IF(INDEX('PEGAR'!$D$13:$D$512,IF(L472&gt;0,L472,K472))="","Sin descripción",INDEX('PEGAR'!$D$13:$D$512,IF(L472&gt;0,L472,K472))),"")</f>
      </c>
      <c r="AF472" s="0">
        <f>IF(AND(ISNUMBER(W472),W472&gt;0),J472,"")</f>
      </c>
      <c r="AG472" s="0" t="n">
        <f>IF(AND(ISNUMBER(W472),W472&gt;0),W472,0)</f>
        <v>0</v>
      </c>
      <c r="AH472" s="0">
        <f>IF(AG472&gt;0,COUNTIFS($AG$13:AG472,"&gt;0"),"")</f>
      </c>
    </row>
    <row r="473" ht="22" customHeight="1">
      <c r="B473" s="27">
        <f>IF(K473="","",INDEX('PEGAR'!$O$13:$O$512,K473))</f>
      </c>
      <c r="C473" s="30">
        <f>IF(B473="","",IF(LEN(TRIM(INDEX('PEGAR'!$B$13:$B$512,IF(L473&gt;0,L473,K473))&amp;""))=0,"Sin capítulo",TRIM(INDEX('PEGAR'!$B$13:$B$512,IF(L473&gt;0,L473,K473))&amp;"")))</f>
      </c>
      <c r="D473" s="27">
        <f>IF(B473="","",IF(LEN(TRIM(INDEX('PEGAR'!$C$13:$C$512,IF(L473&gt;0,L473,K473))&amp;""))=0,"",TRIM(INDEX('PEGAR'!$C$13:$C$512,IF(L473&gt;0,L473,K473))&amp;"")))</f>
      </c>
      <c r="E473" s="27">
        <f>IF(B473="","",INDEX('PEGAR'!$S$13:$S$512,IF(L473&gt;0,L473,K473)))</f>
      </c>
      <c r="F473" s="39">
        <f>IF(B473="","",IF(L473&gt;0,INDEX('PEGAR'!$F$13:$F$512,L473),""))</f>
      </c>
      <c r="G473" s="39">
        <f>IF(B473="","",IF(OR(M473=0,N473&gt;0,O473&gt;0),"",SUMIFS('PEGAR'!$M$13:$M$512,'PEGAR'!$O$13:$O$512,B473)))</f>
      </c>
      <c r="H473" s="39">
        <f>IF(AND(ISNUMBER(F473),ISNUMBER(G473)),G473-F473,"")</f>
      </c>
      <c r="I473" s="27">
        <f>IF(B473="","",IF(W473=2,"ROJO",IF(W473=1,"ÁMBAR","VERDE")))</f>
      </c>
      <c r="J473" s="30">
        <f>IF(B473="","",IF(W473=0,"Sin avisos numéricos. Revisamos el alcance aparte.",IF(L473=0,"Faltan datos completos de partida; no elegimos un total por suposición."&amp;CHAR(10),"")&amp;IF(N473&gt;0,"Hay filas incompletas o contradictorias; las revisamos en PEGAR."&amp;CHAR(10),"")&amp;IF(O473&gt;0,"Faltan las medidas de alguna fila; no cerramos la suma."&amp;CHAR(10),"")&amp;IF(M473=0,"No constan líneas de medición."&amp;CHAR(10),"")&amp;IF(IF(ISNUMBER(H473),ROUND(ABS(H473),8)&gt;$F$6,FALSE),"Las líneas difieren del total en más de 0,01; confirmamos cantidad o exclusión."&amp;CHAR(10),"")&amp;IF(P473&gt;0,"Parece m³: encontramos tres dimensiones bajo m²."&amp;CHAR(10),"")&amp;IF(R473&gt;0,"Código repetido dentro del capítulo; mantenemos sus ID separados."&amp;CHAR(10),"")&amp;IF(S473&gt;0,"Código repetido en otro capítulo; no unimos las partidas."&amp;CHAR(10),"")&amp;IF(T473&gt;0,"Mismo código con unidades distintas; pedimos aclaración."&amp;CHAR(10),"")&amp;IF(Q473&gt;0,"Hay más precisión que los decimales indicados; cotejamos el formato original."&amp;CHAR(10),"")&amp;IF(U473&gt;0,"Unidad sin normalizar; cotejamos su significado antes de sumar unidades."&amp;CHAR(10),"")&amp;IF(V473&gt;0,"Revisamos dimensiones, cantidades directas, ceros o deducciones en PEGAR."&amp;CHAR(10),"")))</f>
      </c>
      <c r="K473" s="0">
        <f>IF(461&gt;'RESUMEN'!$E$6,"",MATCH(461,'PEGAR'!$W$13:$W$512,0))</f>
      </c>
      <c r="L473" s="0">
        <f>IF(K473="","",INDEX('PEGAR'!$R$13:$R$512,K473))</f>
      </c>
      <c r="M473" s="0">
        <f>IF(B473="","",COUNTIFS('PEGAR'!$O$13:$O$512,B473,'PEGAR'!$P$13:$P$512,"DIMENSIONES")+COUNTIFS('PEGAR'!$O$13:$O$512,B473,'PEGAR'!$P$13:$P$512,"DIRECTA"))</f>
      </c>
      <c r="N473" s="0">
        <f>IF(B473="","",COUNTIFS('PEGAR'!$O$13:$O$512,B473,'PEGAR'!$X$13:$X$512,2))</f>
      </c>
      <c r="O473" s="0">
        <f>IF(B473="","",COUNTIFS('PEGAR'!$O$13:$O$512,B473,'PEGAR'!$P$13:$P$512,"SIN LÍNEAS"))</f>
      </c>
      <c r="P473" s="0">
        <f>IF(B473="","",SUMIFS('PEGAR'!$Y$13:$Y$512,'PEGAR'!$O$13:$O$512,B473))</f>
      </c>
      <c r="Q473" s="0">
        <f>IF(B473="","",SUMIFS('PEGAR'!$Z$13:$Z$512,'PEGAR'!$O$13:$O$512,B473))</f>
      </c>
      <c r="R473" s="0" t="n">
        <f>IF(OR(B473="",D473=""),0,SUMPRODUCT(--($B$13:$B$512&lt;&gt;""),--($D$13:$D$512=D473),--($C$13:$C$512=C473))-1)</f>
        <v>0</v>
      </c>
      <c r="S473" s="0" t="n">
        <f>IF(OR(B473="",D473=""),0,SUMPRODUCT(--($B$13:$B$512&lt;&gt;""),--($D$13:$D$512=D473),--($C$13:$C$512&lt;&gt;C473)))</f>
        <v>0</v>
      </c>
      <c r="T473" s="0" t="n">
        <f>IF(OR(B473="",D473=""),0,SUMPRODUCT(--($B$13:$B$512&lt;&gt;""),--($D$13:$D$512=D473),--($E$13:$E$512&lt;&gt;E473)))</f>
        <v>0</v>
      </c>
      <c r="U473" s="0" t="n">
        <f>IF(B473="",0,IF(SUMPRODUCT(--('LÉEME'!$C$65:$C$86=E473))=0,1,0))</f>
        <v>0</v>
      </c>
      <c r="V473" s="0">
        <f>IF(B473="","",SUMIFS('PEGAR'!$AA$13:$AA$512,'PEGAR'!$O$13:$O$512,B473))</f>
      </c>
      <c r="W473" s="0">
        <f>IF(B473="","",IF(OR(L473=0,N473&gt;0,T473&gt;0,IF(ISNUMBER(H473),ROUND(ABS(H473),8)&gt;$F$6,FALSE)),2,IF(OR(M473=0,O473&gt;0,P473&gt;0,Q473&gt;0,R473&gt;0,S473&gt;0,U473&gt;0,V473&gt;0),1,0)))</f>
      </c>
      <c r="X473" s="0">
        <f>IF(B473="","",IF(ISNUMBER(G473),1,0))</f>
      </c>
      <c r="AB473" s="0">
        <f>IF(AND(ISNUMBER(W473),W473&gt;0),"ID "&amp;B473,"")</f>
      </c>
      <c r="AC473" s="0">
        <f>IF(AND(ISNUMBER(W473),W473&gt;0),C473,"")</f>
      </c>
      <c r="AD473" s="0">
        <f>IF(AND(ISNUMBER(W473),W473&gt;0),D473,"")</f>
      </c>
      <c r="AE473" s="0">
        <f>IF(AND(ISNUMBER(W473),W473&gt;0),IF(INDEX('PEGAR'!$D$13:$D$512,IF(L473&gt;0,L473,K473))="","Sin descripción",INDEX('PEGAR'!$D$13:$D$512,IF(L473&gt;0,L473,K473))),"")</f>
      </c>
      <c r="AF473" s="0">
        <f>IF(AND(ISNUMBER(W473),W473&gt;0),J473,"")</f>
      </c>
      <c r="AG473" s="0" t="n">
        <f>IF(AND(ISNUMBER(W473),W473&gt;0),W473,0)</f>
        <v>0</v>
      </c>
      <c r="AH473" s="0">
        <f>IF(AG473&gt;0,COUNTIFS($AG$13:AG473,"&gt;0"),"")</f>
      </c>
    </row>
    <row r="474" ht="22" customHeight="1">
      <c r="B474" s="27">
        <f>IF(K474="","",INDEX('PEGAR'!$O$13:$O$512,K474))</f>
      </c>
      <c r="C474" s="30">
        <f>IF(B474="","",IF(LEN(TRIM(INDEX('PEGAR'!$B$13:$B$512,IF(L474&gt;0,L474,K474))&amp;""))=0,"Sin capítulo",TRIM(INDEX('PEGAR'!$B$13:$B$512,IF(L474&gt;0,L474,K474))&amp;"")))</f>
      </c>
      <c r="D474" s="27">
        <f>IF(B474="","",IF(LEN(TRIM(INDEX('PEGAR'!$C$13:$C$512,IF(L474&gt;0,L474,K474))&amp;""))=0,"",TRIM(INDEX('PEGAR'!$C$13:$C$512,IF(L474&gt;0,L474,K474))&amp;"")))</f>
      </c>
      <c r="E474" s="27">
        <f>IF(B474="","",INDEX('PEGAR'!$S$13:$S$512,IF(L474&gt;0,L474,K474)))</f>
      </c>
      <c r="F474" s="39">
        <f>IF(B474="","",IF(L474&gt;0,INDEX('PEGAR'!$F$13:$F$512,L474),""))</f>
      </c>
      <c r="G474" s="39">
        <f>IF(B474="","",IF(OR(M474=0,N474&gt;0,O474&gt;0),"",SUMIFS('PEGAR'!$M$13:$M$512,'PEGAR'!$O$13:$O$512,B474)))</f>
      </c>
      <c r="H474" s="39">
        <f>IF(AND(ISNUMBER(F474),ISNUMBER(G474)),G474-F474,"")</f>
      </c>
      <c r="I474" s="27">
        <f>IF(B474="","",IF(W474=2,"ROJO",IF(W474=1,"ÁMBAR","VERDE")))</f>
      </c>
      <c r="J474" s="30">
        <f>IF(B474="","",IF(W474=0,"Sin avisos numéricos. Revisamos el alcance aparte.",IF(L474=0,"Faltan datos completos de partida; no elegimos un total por suposición."&amp;CHAR(10),"")&amp;IF(N474&gt;0,"Hay filas incompletas o contradictorias; las revisamos en PEGAR."&amp;CHAR(10),"")&amp;IF(O474&gt;0,"Faltan las medidas de alguna fila; no cerramos la suma."&amp;CHAR(10),"")&amp;IF(M474=0,"No constan líneas de medición."&amp;CHAR(10),"")&amp;IF(IF(ISNUMBER(H474),ROUND(ABS(H474),8)&gt;$F$6,FALSE),"Las líneas difieren del total en más de 0,01; confirmamos cantidad o exclusión."&amp;CHAR(10),"")&amp;IF(P474&gt;0,"Parece m³: encontramos tres dimensiones bajo m²."&amp;CHAR(10),"")&amp;IF(R474&gt;0,"Código repetido dentro del capítulo; mantenemos sus ID separados."&amp;CHAR(10),"")&amp;IF(S474&gt;0,"Código repetido en otro capítulo; no unimos las partidas."&amp;CHAR(10),"")&amp;IF(T474&gt;0,"Mismo código con unidades distintas; pedimos aclaración."&amp;CHAR(10),"")&amp;IF(Q474&gt;0,"Hay más precisión que los decimales indicados; cotejamos el formato original."&amp;CHAR(10),"")&amp;IF(U474&gt;0,"Unidad sin normalizar; cotejamos su significado antes de sumar unidades."&amp;CHAR(10),"")&amp;IF(V474&gt;0,"Revisamos dimensiones, cantidades directas, ceros o deducciones en PEGAR."&amp;CHAR(10),"")))</f>
      </c>
      <c r="K474" s="0">
        <f>IF(462&gt;'RESUMEN'!$E$6,"",MATCH(462,'PEGAR'!$W$13:$W$512,0))</f>
      </c>
      <c r="L474" s="0">
        <f>IF(K474="","",INDEX('PEGAR'!$R$13:$R$512,K474))</f>
      </c>
      <c r="M474" s="0">
        <f>IF(B474="","",COUNTIFS('PEGAR'!$O$13:$O$512,B474,'PEGAR'!$P$13:$P$512,"DIMENSIONES")+COUNTIFS('PEGAR'!$O$13:$O$512,B474,'PEGAR'!$P$13:$P$512,"DIRECTA"))</f>
      </c>
      <c r="N474" s="0">
        <f>IF(B474="","",COUNTIFS('PEGAR'!$O$13:$O$512,B474,'PEGAR'!$X$13:$X$512,2))</f>
      </c>
      <c r="O474" s="0">
        <f>IF(B474="","",COUNTIFS('PEGAR'!$O$13:$O$512,B474,'PEGAR'!$P$13:$P$512,"SIN LÍNEAS"))</f>
      </c>
      <c r="P474" s="0">
        <f>IF(B474="","",SUMIFS('PEGAR'!$Y$13:$Y$512,'PEGAR'!$O$13:$O$512,B474))</f>
      </c>
      <c r="Q474" s="0">
        <f>IF(B474="","",SUMIFS('PEGAR'!$Z$13:$Z$512,'PEGAR'!$O$13:$O$512,B474))</f>
      </c>
      <c r="R474" s="0" t="n">
        <f>IF(OR(B474="",D474=""),0,SUMPRODUCT(--($B$13:$B$512&lt;&gt;""),--($D$13:$D$512=D474),--($C$13:$C$512=C474))-1)</f>
        <v>0</v>
      </c>
      <c r="S474" s="0" t="n">
        <f>IF(OR(B474="",D474=""),0,SUMPRODUCT(--($B$13:$B$512&lt;&gt;""),--($D$13:$D$512=D474),--($C$13:$C$512&lt;&gt;C474)))</f>
        <v>0</v>
      </c>
      <c r="T474" s="0" t="n">
        <f>IF(OR(B474="",D474=""),0,SUMPRODUCT(--($B$13:$B$512&lt;&gt;""),--($D$13:$D$512=D474),--($E$13:$E$512&lt;&gt;E474)))</f>
        <v>0</v>
      </c>
      <c r="U474" s="0" t="n">
        <f>IF(B474="",0,IF(SUMPRODUCT(--('LÉEME'!$C$65:$C$86=E474))=0,1,0))</f>
        <v>0</v>
      </c>
      <c r="V474" s="0">
        <f>IF(B474="","",SUMIFS('PEGAR'!$AA$13:$AA$512,'PEGAR'!$O$13:$O$512,B474))</f>
      </c>
      <c r="W474" s="0">
        <f>IF(B474="","",IF(OR(L474=0,N474&gt;0,T474&gt;0,IF(ISNUMBER(H474),ROUND(ABS(H474),8)&gt;$F$6,FALSE)),2,IF(OR(M474=0,O474&gt;0,P474&gt;0,Q474&gt;0,R474&gt;0,S474&gt;0,U474&gt;0,V474&gt;0),1,0)))</f>
      </c>
      <c r="X474" s="0">
        <f>IF(B474="","",IF(ISNUMBER(G474),1,0))</f>
      </c>
      <c r="AB474" s="0">
        <f>IF(AND(ISNUMBER(W474),W474&gt;0),"ID "&amp;B474,"")</f>
      </c>
      <c r="AC474" s="0">
        <f>IF(AND(ISNUMBER(W474),W474&gt;0),C474,"")</f>
      </c>
      <c r="AD474" s="0">
        <f>IF(AND(ISNUMBER(W474),W474&gt;0),D474,"")</f>
      </c>
      <c r="AE474" s="0">
        <f>IF(AND(ISNUMBER(W474),W474&gt;0),IF(INDEX('PEGAR'!$D$13:$D$512,IF(L474&gt;0,L474,K474))="","Sin descripción",INDEX('PEGAR'!$D$13:$D$512,IF(L474&gt;0,L474,K474))),"")</f>
      </c>
      <c r="AF474" s="0">
        <f>IF(AND(ISNUMBER(W474),W474&gt;0),J474,"")</f>
      </c>
      <c r="AG474" s="0" t="n">
        <f>IF(AND(ISNUMBER(W474),W474&gt;0),W474,0)</f>
        <v>0</v>
      </c>
      <c r="AH474" s="0">
        <f>IF(AG474&gt;0,COUNTIFS($AG$13:AG474,"&gt;0"),"")</f>
      </c>
    </row>
    <row r="475" ht="22" customHeight="1">
      <c r="B475" s="27">
        <f>IF(K475="","",INDEX('PEGAR'!$O$13:$O$512,K475))</f>
      </c>
      <c r="C475" s="30">
        <f>IF(B475="","",IF(LEN(TRIM(INDEX('PEGAR'!$B$13:$B$512,IF(L475&gt;0,L475,K475))&amp;""))=0,"Sin capítulo",TRIM(INDEX('PEGAR'!$B$13:$B$512,IF(L475&gt;0,L475,K475))&amp;"")))</f>
      </c>
      <c r="D475" s="27">
        <f>IF(B475="","",IF(LEN(TRIM(INDEX('PEGAR'!$C$13:$C$512,IF(L475&gt;0,L475,K475))&amp;""))=0,"",TRIM(INDEX('PEGAR'!$C$13:$C$512,IF(L475&gt;0,L475,K475))&amp;"")))</f>
      </c>
      <c r="E475" s="27">
        <f>IF(B475="","",INDEX('PEGAR'!$S$13:$S$512,IF(L475&gt;0,L475,K475)))</f>
      </c>
      <c r="F475" s="39">
        <f>IF(B475="","",IF(L475&gt;0,INDEX('PEGAR'!$F$13:$F$512,L475),""))</f>
      </c>
      <c r="G475" s="39">
        <f>IF(B475="","",IF(OR(M475=0,N475&gt;0,O475&gt;0),"",SUMIFS('PEGAR'!$M$13:$M$512,'PEGAR'!$O$13:$O$512,B475)))</f>
      </c>
      <c r="H475" s="39">
        <f>IF(AND(ISNUMBER(F475),ISNUMBER(G475)),G475-F475,"")</f>
      </c>
      <c r="I475" s="27">
        <f>IF(B475="","",IF(W475=2,"ROJO",IF(W475=1,"ÁMBAR","VERDE")))</f>
      </c>
      <c r="J475" s="30">
        <f>IF(B475="","",IF(W475=0,"Sin avisos numéricos. Revisamos el alcance aparte.",IF(L475=0,"Faltan datos completos de partida; no elegimos un total por suposición."&amp;CHAR(10),"")&amp;IF(N475&gt;0,"Hay filas incompletas o contradictorias; las revisamos en PEGAR."&amp;CHAR(10),"")&amp;IF(O475&gt;0,"Faltan las medidas de alguna fila; no cerramos la suma."&amp;CHAR(10),"")&amp;IF(M475=0,"No constan líneas de medición."&amp;CHAR(10),"")&amp;IF(IF(ISNUMBER(H475),ROUND(ABS(H475),8)&gt;$F$6,FALSE),"Las líneas difieren del total en más de 0,01; confirmamos cantidad o exclusión."&amp;CHAR(10),"")&amp;IF(P475&gt;0,"Parece m³: encontramos tres dimensiones bajo m²."&amp;CHAR(10),"")&amp;IF(R475&gt;0,"Código repetido dentro del capítulo; mantenemos sus ID separados."&amp;CHAR(10),"")&amp;IF(S475&gt;0,"Código repetido en otro capítulo; no unimos las partidas."&amp;CHAR(10),"")&amp;IF(T475&gt;0,"Mismo código con unidades distintas; pedimos aclaración."&amp;CHAR(10),"")&amp;IF(Q475&gt;0,"Hay más precisión que los decimales indicados; cotejamos el formato original."&amp;CHAR(10),"")&amp;IF(U475&gt;0,"Unidad sin normalizar; cotejamos su significado antes de sumar unidades."&amp;CHAR(10),"")&amp;IF(V475&gt;0,"Revisamos dimensiones, cantidades directas, ceros o deducciones en PEGAR."&amp;CHAR(10),"")))</f>
      </c>
      <c r="K475" s="0">
        <f>IF(463&gt;'RESUMEN'!$E$6,"",MATCH(463,'PEGAR'!$W$13:$W$512,0))</f>
      </c>
      <c r="L475" s="0">
        <f>IF(K475="","",INDEX('PEGAR'!$R$13:$R$512,K475))</f>
      </c>
      <c r="M475" s="0">
        <f>IF(B475="","",COUNTIFS('PEGAR'!$O$13:$O$512,B475,'PEGAR'!$P$13:$P$512,"DIMENSIONES")+COUNTIFS('PEGAR'!$O$13:$O$512,B475,'PEGAR'!$P$13:$P$512,"DIRECTA"))</f>
      </c>
      <c r="N475" s="0">
        <f>IF(B475="","",COUNTIFS('PEGAR'!$O$13:$O$512,B475,'PEGAR'!$X$13:$X$512,2))</f>
      </c>
      <c r="O475" s="0">
        <f>IF(B475="","",COUNTIFS('PEGAR'!$O$13:$O$512,B475,'PEGAR'!$P$13:$P$512,"SIN LÍNEAS"))</f>
      </c>
      <c r="P475" s="0">
        <f>IF(B475="","",SUMIFS('PEGAR'!$Y$13:$Y$512,'PEGAR'!$O$13:$O$512,B475))</f>
      </c>
      <c r="Q475" s="0">
        <f>IF(B475="","",SUMIFS('PEGAR'!$Z$13:$Z$512,'PEGAR'!$O$13:$O$512,B475))</f>
      </c>
      <c r="R475" s="0" t="n">
        <f>IF(OR(B475="",D475=""),0,SUMPRODUCT(--($B$13:$B$512&lt;&gt;""),--($D$13:$D$512=D475),--($C$13:$C$512=C475))-1)</f>
        <v>0</v>
      </c>
      <c r="S475" s="0" t="n">
        <f>IF(OR(B475="",D475=""),0,SUMPRODUCT(--($B$13:$B$512&lt;&gt;""),--($D$13:$D$512=D475),--($C$13:$C$512&lt;&gt;C475)))</f>
        <v>0</v>
      </c>
      <c r="T475" s="0" t="n">
        <f>IF(OR(B475="",D475=""),0,SUMPRODUCT(--($B$13:$B$512&lt;&gt;""),--($D$13:$D$512=D475),--($E$13:$E$512&lt;&gt;E475)))</f>
        <v>0</v>
      </c>
      <c r="U475" s="0" t="n">
        <f>IF(B475="",0,IF(SUMPRODUCT(--('LÉEME'!$C$65:$C$86=E475))=0,1,0))</f>
        <v>0</v>
      </c>
      <c r="V475" s="0">
        <f>IF(B475="","",SUMIFS('PEGAR'!$AA$13:$AA$512,'PEGAR'!$O$13:$O$512,B475))</f>
      </c>
      <c r="W475" s="0">
        <f>IF(B475="","",IF(OR(L475=0,N475&gt;0,T475&gt;0,IF(ISNUMBER(H475),ROUND(ABS(H475),8)&gt;$F$6,FALSE)),2,IF(OR(M475=0,O475&gt;0,P475&gt;0,Q475&gt;0,R475&gt;0,S475&gt;0,U475&gt;0,V475&gt;0),1,0)))</f>
      </c>
      <c r="X475" s="0">
        <f>IF(B475="","",IF(ISNUMBER(G475),1,0))</f>
      </c>
      <c r="AB475" s="0">
        <f>IF(AND(ISNUMBER(W475),W475&gt;0),"ID "&amp;B475,"")</f>
      </c>
      <c r="AC475" s="0">
        <f>IF(AND(ISNUMBER(W475),W475&gt;0),C475,"")</f>
      </c>
      <c r="AD475" s="0">
        <f>IF(AND(ISNUMBER(W475),W475&gt;0),D475,"")</f>
      </c>
      <c r="AE475" s="0">
        <f>IF(AND(ISNUMBER(W475),W475&gt;0),IF(INDEX('PEGAR'!$D$13:$D$512,IF(L475&gt;0,L475,K475))="","Sin descripción",INDEX('PEGAR'!$D$13:$D$512,IF(L475&gt;0,L475,K475))),"")</f>
      </c>
      <c r="AF475" s="0">
        <f>IF(AND(ISNUMBER(W475),W475&gt;0),J475,"")</f>
      </c>
      <c r="AG475" s="0" t="n">
        <f>IF(AND(ISNUMBER(W475),W475&gt;0),W475,0)</f>
        <v>0</v>
      </c>
      <c r="AH475" s="0">
        <f>IF(AG475&gt;0,COUNTIFS($AG$13:AG475,"&gt;0"),"")</f>
      </c>
    </row>
    <row r="476" ht="22" customHeight="1">
      <c r="B476" s="27">
        <f>IF(K476="","",INDEX('PEGAR'!$O$13:$O$512,K476))</f>
      </c>
      <c r="C476" s="30">
        <f>IF(B476="","",IF(LEN(TRIM(INDEX('PEGAR'!$B$13:$B$512,IF(L476&gt;0,L476,K476))&amp;""))=0,"Sin capítulo",TRIM(INDEX('PEGAR'!$B$13:$B$512,IF(L476&gt;0,L476,K476))&amp;"")))</f>
      </c>
      <c r="D476" s="27">
        <f>IF(B476="","",IF(LEN(TRIM(INDEX('PEGAR'!$C$13:$C$512,IF(L476&gt;0,L476,K476))&amp;""))=0,"",TRIM(INDEX('PEGAR'!$C$13:$C$512,IF(L476&gt;0,L476,K476))&amp;"")))</f>
      </c>
      <c r="E476" s="27">
        <f>IF(B476="","",INDEX('PEGAR'!$S$13:$S$512,IF(L476&gt;0,L476,K476)))</f>
      </c>
      <c r="F476" s="39">
        <f>IF(B476="","",IF(L476&gt;0,INDEX('PEGAR'!$F$13:$F$512,L476),""))</f>
      </c>
      <c r="G476" s="39">
        <f>IF(B476="","",IF(OR(M476=0,N476&gt;0,O476&gt;0),"",SUMIFS('PEGAR'!$M$13:$M$512,'PEGAR'!$O$13:$O$512,B476)))</f>
      </c>
      <c r="H476" s="39">
        <f>IF(AND(ISNUMBER(F476),ISNUMBER(G476)),G476-F476,"")</f>
      </c>
      <c r="I476" s="27">
        <f>IF(B476="","",IF(W476=2,"ROJO",IF(W476=1,"ÁMBAR","VERDE")))</f>
      </c>
      <c r="J476" s="30">
        <f>IF(B476="","",IF(W476=0,"Sin avisos numéricos. Revisamos el alcance aparte.",IF(L476=0,"Faltan datos completos de partida; no elegimos un total por suposición."&amp;CHAR(10),"")&amp;IF(N476&gt;0,"Hay filas incompletas o contradictorias; las revisamos en PEGAR."&amp;CHAR(10),"")&amp;IF(O476&gt;0,"Faltan las medidas de alguna fila; no cerramos la suma."&amp;CHAR(10),"")&amp;IF(M476=0,"No constan líneas de medición."&amp;CHAR(10),"")&amp;IF(IF(ISNUMBER(H476),ROUND(ABS(H476),8)&gt;$F$6,FALSE),"Las líneas difieren del total en más de 0,01; confirmamos cantidad o exclusión."&amp;CHAR(10),"")&amp;IF(P476&gt;0,"Parece m³: encontramos tres dimensiones bajo m²."&amp;CHAR(10),"")&amp;IF(R476&gt;0,"Código repetido dentro del capítulo; mantenemos sus ID separados."&amp;CHAR(10),"")&amp;IF(S476&gt;0,"Código repetido en otro capítulo; no unimos las partidas."&amp;CHAR(10),"")&amp;IF(T476&gt;0,"Mismo código con unidades distintas; pedimos aclaración."&amp;CHAR(10),"")&amp;IF(Q476&gt;0,"Hay más precisión que los decimales indicados; cotejamos el formato original."&amp;CHAR(10),"")&amp;IF(U476&gt;0,"Unidad sin normalizar; cotejamos su significado antes de sumar unidades."&amp;CHAR(10),"")&amp;IF(V476&gt;0,"Revisamos dimensiones, cantidades directas, ceros o deducciones en PEGAR."&amp;CHAR(10),"")))</f>
      </c>
      <c r="K476" s="0">
        <f>IF(464&gt;'RESUMEN'!$E$6,"",MATCH(464,'PEGAR'!$W$13:$W$512,0))</f>
      </c>
      <c r="L476" s="0">
        <f>IF(K476="","",INDEX('PEGAR'!$R$13:$R$512,K476))</f>
      </c>
      <c r="M476" s="0">
        <f>IF(B476="","",COUNTIFS('PEGAR'!$O$13:$O$512,B476,'PEGAR'!$P$13:$P$512,"DIMENSIONES")+COUNTIFS('PEGAR'!$O$13:$O$512,B476,'PEGAR'!$P$13:$P$512,"DIRECTA"))</f>
      </c>
      <c r="N476" s="0">
        <f>IF(B476="","",COUNTIFS('PEGAR'!$O$13:$O$512,B476,'PEGAR'!$X$13:$X$512,2))</f>
      </c>
      <c r="O476" s="0">
        <f>IF(B476="","",COUNTIFS('PEGAR'!$O$13:$O$512,B476,'PEGAR'!$P$13:$P$512,"SIN LÍNEAS"))</f>
      </c>
      <c r="P476" s="0">
        <f>IF(B476="","",SUMIFS('PEGAR'!$Y$13:$Y$512,'PEGAR'!$O$13:$O$512,B476))</f>
      </c>
      <c r="Q476" s="0">
        <f>IF(B476="","",SUMIFS('PEGAR'!$Z$13:$Z$512,'PEGAR'!$O$13:$O$512,B476))</f>
      </c>
      <c r="R476" s="0" t="n">
        <f>IF(OR(B476="",D476=""),0,SUMPRODUCT(--($B$13:$B$512&lt;&gt;""),--($D$13:$D$512=D476),--($C$13:$C$512=C476))-1)</f>
        <v>0</v>
      </c>
      <c r="S476" s="0" t="n">
        <f>IF(OR(B476="",D476=""),0,SUMPRODUCT(--($B$13:$B$512&lt;&gt;""),--($D$13:$D$512=D476),--($C$13:$C$512&lt;&gt;C476)))</f>
        <v>0</v>
      </c>
      <c r="T476" s="0" t="n">
        <f>IF(OR(B476="",D476=""),0,SUMPRODUCT(--($B$13:$B$512&lt;&gt;""),--($D$13:$D$512=D476),--($E$13:$E$512&lt;&gt;E476)))</f>
        <v>0</v>
      </c>
      <c r="U476" s="0" t="n">
        <f>IF(B476="",0,IF(SUMPRODUCT(--('LÉEME'!$C$65:$C$86=E476))=0,1,0))</f>
        <v>0</v>
      </c>
      <c r="V476" s="0">
        <f>IF(B476="","",SUMIFS('PEGAR'!$AA$13:$AA$512,'PEGAR'!$O$13:$O$512,B476))</f>
      </c>
      <c r="W476" s="0">
        <f>IF(B476="","",IF(OR(L476=0,N476&gt;0,T476&gt;0,IF(ISNUMBER(H476),ROUND(ABS(H476),8)&gt;$F$6,FALSE)),2,IF(OR(M476=0,O476&gt;0,P476&gt;0,Q476&gt;0,R476&gt;0,S476&gt;0,U476&gt;0,V476&gt;0),1,0)))</f>
      </c>
      <c r="X476" s="0">
        <f>IF(B476="","",IF(ISNUMBER(G476),1,0))</f>
      </c>
      <c r="AB476" s="0">
        <f>IF(AND(ISNUMBER(W476),W476&gt;0),"ID "&amp;B476,"")</f>
      </c>
      <c r="AC476" s="0">
        <f>IF(AND(ISNUMBER(W476),W476&gt;0),C476,"")</f>
      </c>
      <c r="AD476" s="0">
        <f>IF(AND(ISNUMBER(W476),W476&gt;0),D476,"")</f>
      </c>
      <c r="AE476" s="0">
        <f>IF(AND(ISNUMBER(W476),W476&gt;0),IF(INDEX('PEGAR'!$D$13:$D$512,IF(L476&gt;0,L476,K476))="","Sin descripción",INDEX('PEGAR'!$D$13:$D$512,IF(L476&gt;0,L476,K476))),"")</f>
      </c>
      <c r="AF476" s="0">
        <f>IF(AND(ISNUMBER(W476),W476&gt;0),J476,"")</f>
      </c>
      <c r="AG476" s="0" t="n">
        <f>IF(AND(ISNUMBER(W476),W476&gt;0),W476,0)</f>
        <v>0</v>
      </c>
      <c r="AH476" s="0">
        <f>IF(AG476&gt;0,COUNTIFS($AG$13:AG476,"&gt;0"),"")</f>
      </c>
    </row>
    <row r="477" ht="22" customHeight="1">
      <c r="B477" s="27">
        <f>IF(K477="","",INDEX('PEGAR'!$O$13:$O$512,K477))</f>
      </c>
      <c r="C477" s="30">
        <f>IF(B477="","",IF(LEN(TRIM(INDEX('PEGAR'!$B$13:$B$512,IF(L477&gt;0,L477,K477))&amp;""))=0,"Sin capítulo",TRIM(INDEX('PEGAR'!$B$13:$B$512,IF(L477&gt;0,L477,K477))&amp;"")))</f>
      </c>
      <c r="D477" s="27">
        <f>IF(B477="","",IF(LEN(TRIM(INDEX('PEGAR'!$C$13:$C$512,IF(L477&gt;0,L477,K477))&amp;""))=0,"",TRIM(INDEX('PEGAR'!$C$13:$C$512,IF(L477&gt;0,L477,K477))&amp;"")))</f>
      </c>
      <c r="E477" s="27">
        <f>IF(B477="","",INDEX('PEGAR'!$S$13:$S$512,IF(L477&gt;0,L477,K477)))</f>
      </c>
      <c r="F477" s="39">
        <f>IF(B477="","",IF(L477&gt;0,INDEX('PEGAR'!$F$13:$F$512,L477),""))</f>
      </c>
      <c r="G477" s="39">
        <f>IF(B477="","",IF(OR(M477=0,N477&gt;0,O477&gt;0),"",SUMIFS('PEGAR'!$M$13:$M$512,'PEGAR'!$O$13:$O$512,B477)))</f>
      </c>
      <c r="H477" s="39">
        <f>IF(AND(ISNUMBER(F477),ISNUMBER(G477)),G477-F477,"")</f>
      </c>
      <c r="I477" s="27">
        <f>IF(B477="","",IF(W477=2,"ROJO",IF(W477=1,"ÁMBAR","VERDE")))</f>
      </c>
      <c r="J477" s="30">
        <f>IF(B477="","",IF(W477=0,"Sin avisos numéricos. Revisamos el alcance aparte.",IF(L477=0,"Faltan datos completos de partida; no elegimos un total por suposición."&amp;CHAR(10),"")&amp;IF(N477&gt;0,"Hay filas incompletas o contradictorias; las revisamos en PEGAR."&amp;CHAR(10),"")&amp;IF(O477&gt;0,"Faltan las medidas de alguna fila; no cerramos la suma."&amp;CHAR(10),"")&amp;IF(M477=0,"No constan líneas de medición."&amp;CHAR(10),"")&amp;IF(IF(ISNUMBER(H477),ROUND(ABS(H477),8)&gt;$F$6,FALSE),"Las líneas difieren del total en más de 0,01; confirmamos cantidad o exclusión."&amp;CHAR(10),"")&amp;IF(P477&gt;0,"Parece m³: encontramos tres dimensiones bajo m²."&amp;CHAR(10),"")&amp;IF(R477&gt;0,"Código repetido dentro del capítulo; mantenemos sus ID separados."&amp;CHAR(10),"")&amp;IF(S477&gt;0,"Código repetido en otro capítulo; no unimos las partidas."&amp;CHAR(10),"")&amp;IF(T477&gt;0,"Mismo código con unidades distintas; pedimos aclaración."&amp;CHAR(10),"")&amp;IF(Q477&gt;0,"Hay más precisión que los decimales indicados; cotejamos el formato original."&amp;CHAR(10),"")&amp;IF(U477&gt;0,"Unidad sin normalizar; cotejamos su significado antes de sumar unidades."&amp;CHAR(10),"")&amp;IF(V477&gt;0,"Revisamos dimensiones, cantidades directas, ceros o deducciones en PEGAR."&amp;CHAR(10),"")))</f>
      </c>
      <c r="K477" s="0">
        <f>IF(465&gt;'RESUMEN'!$E$6,"",MATCH(465,'PEGAR'!$W$13:$W$512,0))</f>
      </c>
      <c r="L477" s="0">
        <f>IF(K477="","",INDEX('PEGAR'!$R$13:$R$512,K477))</f>
      </c>
      <c r="M477" s="0">
        <f>IF(B477="","",COUNTIFS('PEGAR'!$O$13:$O$512,B477,'PEGAR'!$P$13:$P$512,"DIMENSIONES")+COUNTIFS('PEGAR'!$O$13:$O$512,B477,'PEGAR'!$P$13:$P$512,"DIRECTA"))</f>
      </c>
      <c r="N477" s="0">
        <f>IF(B477="","",COUNTIFS('PEGAR'!$O$13:$O$512,B477,'PEGAR'!$X$13:$X$512,2))</f>
      </c>
      <c r="O477" s="0">
        <f>IF(B477="","",COUNTIFS('PEGAR'!$O$13:$O$512,B477,'PEGAR'!$P$13:$P$512,"SIN LÍNEAS"))</f>
      </c>
      <c r="P477" s="0">
        <f>IF(B477="","",SUMIFS('PEGAR'!$Y$13:$Y$512,'PEGAR'!$O$13:$O$512,B477))</f>
      </c>
      <c r="Q477" s="0">
        <f>IF(B477="","",SUMIFS('PEGAR'!$Z$13:$Z$512,'PEGAR'!$O$13:$O$512,B477))</f>
      </c>
      <c r="R477" s="0" t="n">
        <f>IF(OR(B477="",D477=""),0,SUMPRODUCT(--($B$13:$B$512&lt;&gt;""),--($D$13:$D$512=D477),--($C$13:$C$512=C477))-1)</f>
        <v>0</v>
      </c>
      <c r="S477" s="0" t="n">
        <f>IF(OR(B477="",D477=""),0,SUMPRODUCT(--($B$13:$B$512&lt;&gt;""),--($D$13:$D$512=D477),--($C$13:$C$512&lt;&gt;C477)))</f>
        <v>0</v>
      </c>
      <c r="T477" s="0" t="n">
        <f>IF(OR(B477="",D477=""),0,SUMPRODUCT(--($B$13:$B$512&lt;&gt;""),--($D$13:$D$512=D477),--($E$13:$E$512&lt;&gt;E477)))</f>
        <v>0</v>
      </c>
      <c r="U477" s="0" t="n">
        <f>IF(B477="",0,IF(SUMPRODUCT(--('LÉEME'!$C$65:$C$86=E477))=0,1,0))</f>
        <v>0</v>
      </c>
      <c r="V477" s="0">
        <f>IF(B477="","",SUMIFS('PEGAR'!$AA$13:$AA$512,'PEGAR'!$O$13:$O$512,B477))</f>
      </c>
      <c r="W477" s="0">
        <f>IF(B477="","",IF(OR(L477=0,N477&gt;0,T477&gt;0,IF(ISNUMBER(H477),ROUND(ABS(H477),8)&gt;$F$6,FALSE)),2,IF(OR(M477=0,O477&gt;0,P477&gt;0,Q477&gt;0,R477&gt;0,S477&gt;0,U477&gt;0,V477&gt;0),1,0)))</f>
      </c>
      <c r="X477" s="0">
        <f>IF(B477="","",IF(ISNUMBER(G477),1,0))</f>
      </c>
      <c r="AB477" s="0">
        <f>IF(AND(ISNUMBER(W477),W477&gt;0),"ID "&amp;B477,"")</f>
      </c>
      <c r="AC477" s="0">
        <f>IF(AND(ISNUMBER(W477),W477&gt;0),C477,"")</f>
      </c>
      <c r="AD477" s="0">
        <f>IF(AND(ISNUMBER(W477),W477&gt;0),D477,"")</f>
      </c>
      <c r="AE477" s="0">
        <f>IF(AND(ISNUMBER(W477),W477&gt;0),IF(INDEX('PEGAR'!$D$13:$D$512,IF(L477&gt;0,L477,K477))="","Sin descripción",INDEX('PEGAR'!$D$13:$D$512,IF(L477&gt;0,L477,K477))),"")</f>
      </c>
      <c r="AF477" s="0">
        <f>IF(AND(ISNUMBER(W477),W477&gt;0),J477,"")</f>
      </c>
      <c r="AG477" s="0" t="n">
        <f>IF(AND(ISNUMBER(W477),W477&gt;0),W477,0)</f>
        <v>0</v>
      </c>
      <c r="AH477" s="0">
        <f>IF(AG477&gt;0,COUNTIFS($AG$13:AG477,"&gt;0"),"")</f>
      </c>
    </row>
    <row r="478" ht="22" customHeight="1">
      <c r="B478" s="27">
        <f>IF(K478="","",INDEX('PEGAR'!$O$13:$O$512,K478))</f>
      </c>
      <c r="C478" s="30">
        <f>IF(B478="","",IF(LEN(TRIM(INDEX('PEGAR'!$B$13:$B$512,IF(L478&gt;0,L478,K478))&amp;""))=0,"Sin capítulo",TRIM(INDEX('PEGAR'!$B$13:$B$512,IF(L478&gt;0,L478,K478))&amp;"")))</f>
      </c>
      <c r="D478" s="27">
        <f>IF(B478="","",IF(LEN(TRIM(INDEX('PEGAR'!$C$13:$C$512,IF(L478&gt;0,L478,K478))&amp;""))=0,"",TRIM(INDEX('PEGAR'!$C$13:$C$512,IF(L478&gt;0,L478,K478))&amp;"")))</f>
      </c>
      <c r="E478" s="27">
        <f>IF(B478="","",INDEX('PEGAR'!$S$13:$S$512,IF(L478&gt;0,L478,K478)))</f>
      </c>
      <c r="F478" s="39">
        <f>IF(B478="","",IF(L478&gt;0,INDEX('PEGAR'!$F$13:$F$512,L478),""))</f>
      </c>
      <c r="G478" s="39">
        <f>IF(B478="","",IF(OR(M478=0,N478&gt;0,O478&gt;0),"",SUMIFS('PEGAR'!$M$13:$M$512,'PEGAR'!$O$13:$O$512,B478)))</f>
      </c>
      <c r="H478" s="39">
        <f>IF(AND(ISNUMBER(F478),ISNUMBER(G478)),G478-F478,"")</f>
      </c>
      <c r="I478" s="27">
        <f>IF(B478="","",IF(W478=2,"ROJO",IF(W478=1,"ÁMBAR","VERDE")))</f>
      </c>
      <c r="J478" s="30">
        <f>IF(B478="","",IF(W478=0,"Sin avisos numéricos. Revisamos el alcance aparte.",IF(L478=0,"Faltan datos completos de partida; no elegimos un total por suposición."&amp;CHAR(10),"")&amp;IF(N478&gt;0,"Hay filas incompletas o contradictorias; las revisamos en PEGAR."&amp;CHAR(10),"")&amp;IF(O478&gt;0,"Faltan las medidas de alguna fila; no cerramos la suma."&amp;CHAR(10),"")&amp;IF(M478=0,"No constan líneas de medición."&amp;CHAR(10),"")&amp;IF(IF(ISNUMBER(H478),ROUND(ABS(H478),8)&gt;$F$6,FALSE),"Las líneas difieren del total en más de 0,01; confirmamos cantidad o exclusión."&amp;CHAR(10),"")&amp;IF(P478&gt;0,"Parece m³: encontramos tres dimensiones bajo m²."&amp;CHAR(10),"")&amp;IF(R478&gt;0,"Código repetido dentro del capítulo; mantenemos sus ID separados."&amp;CHAR(10),"")&amp;IF(S478&gt;0,"Código repetido en otro capítulo; no unimos las partidas."&amp;CHAR(10),"")&amp;IF(T478&gt;0,"Mismo código con unidades distintas; pedimos aclaración."&amp;CHAR(10),"")&amp;IF(Q478&gt;0,"Hay más precisión que los decimales indicados; cotejamos el formato original."&amp;CHAR(10),"")&amp;IF(U478&gt;0,"Unidad sin normalizar; cotejamos su significado antes de sumar unidades."&amp;CHAR(10),"")&amp;IF(V478&gt;0,"Revisamos dimensiones, cantidades directas, ceros o deducciones en PEGAR."&amp;CHAR(10),"")))</f>
      </c>
      <c r="K478" s="0">
        <f>IF(466&gt;'RESUMEN'!$E$6,"",MATCH(466,'PEGAR'!$W$13:$W$512,0))</f>
      </c>
      <c r="L478" s="0">
        <f>IF(K478="","",INDEX('PEGAR'!$R$13:$R$512,K478))</f>
      </c>
      <c r="M478" s="0">
        <f>IF(B478="","",COUNTIFS('PEGAR'!$O$13:$O$512,B478,'PEGAR'!$P$13:$P$512,"DIMENSIONES")+COUNTIFS('PEGAR'!$O$13:$O$512,B478,'PEGAR'!$P$13:$P$512,"DIRECTA"))</f>
      </c>
      <c r="N478" s="0">
        <f>IF(B478="","",COUNTIFS('PEGAR'!$O$13:$O$512,B478,'PEGAR'!$X$13:$X$512,2))</f>
      </c>
      <c r="O478" s="0">
        <f>IF(B478="","",COUNTIFS('PEGAR'!$O$13:$O$512,B478,'PEGAR'!$P$13:$P$512,"SIN LÍNEAS"))</f>
      </c>
      <c r="P478" s="0">
        <f>IF(B478="","",SUMIFS('PEGAR'!$Y$13:$Y$512,'PEGAR'!$O$13:$O$512,B478))</f>
      </c>
      <c r="Q478" s="0">
        <f>IF(B478="","",SUMIFS('PEGAR'!$Z$13:$Z$512,'PEGAR'!$O$13:$O$512,B478))</f>
      </c>
      <c r="R478" s="0" t="n">
        <f>IF(OR(B478="",D478=""),0,SUMPRODUCT(--($B$13:$B$512&lt;&gt;""),--($D$13:$D$512=D478),--($C$13:$C$512=C478))-1)</f>
        <v>0</v>
      </c>
      <c r="S478" s="0" t="n">
        <f>IF(OR(B478="",D478=""),0,SUMPRODUCT(--($B$13:$B$512&lt;&gt;""),--($D$13:$D$512=D478),--($C$13:$C$512&lt;&gt;C478)))</f>
        <v>0</v>
      </c>
      <c r="T478" s="0" t="n">
        <f>IF(OR(B478="",D478=""),0,SUMPRODUCT(--($B$13:$B$512&lt;&gt;""),--($D$13:$D$512=D478),--($E$13:$E$512&lt;&gt;E478)))</f>
        <v>0</v>
      </c>
      <c r="U478" s="0" t="n">
        <f>IF(B478="",0,IF(SUMPRODUCT(--('LÉEME'!$C$65:$C$86=E478))=0,1,0))</f>
        <v>0</v>
      </c>
      <c r="V478" s="0">
        <f>IF(B478="","",SUMIFS('PEGAR'!$AA$13:$AA$512,'PEGAR'!$O$13:$O$512,B478))</f>
      </c>
      <c r="W478" s="0">
        <f>IF(B478="","",IF(OR(L478=0,N478&gt;0,T478&gt;0,IF(ISNUMBER(H478),ROUND(ABS(H478),8)&gt;$F$6,FALSE)),2,IF(OR(M478=0,O478&gt;0,P478&gt;0,Q478&gt;0,R478&gt;0,S478&gt;0,U478&gt;0,V478&gt;0),1,0)))</f>
      </c>
      <c r="X478" s="0">
        <f>IF(B478="","",IF(ISNUMBER(G478),1,0))</f>
      </c>
      <c r="AB478" s="0">
        <f>IF(AND(ISNUMBER(W478),W478&gt;0),"ID "&amp;B478,"")</f>
      </c>
      <c r="AC478" s="0">
        <f>IF(AND(ISNUMBER(W478),W478&gt;0),C478,"")</f>
      </c>
      <c r="AD478" s="0">
        <f>IF(AND(ISNUMBER(W478),W478&gt;0),D478,"")</f>
      </c>
      <c r="AE478" s="0">
        <f>IF(AND(ISNUMBER(W478),W478&gt;0),IF(INDEX('PEGAR'!$D$13:$D$512,IF(L478&gt;0,L478,K478))="","Sin descripción",INDEX('PEGAR'!$D$13:$D$512,IF(L478&gt;0,L478,K478))),"")</f>
      </c>
      <c r="AF478" s="0">
        <f>IF(AND(ISNUMBER(W478),W478&gt;0),J478,"")</f>
      </c>
      <c r="AG478" s="0" t="n">
        <f>IF(AND(ISNUMBER(W478),W478&gt;0),W478,0)</f>
        <v>0</v>
      </c>
      <c r="AH478" s="0">
        <f>IF(AG478&gt;0,COUNTIFS($AG$13:AG478,"&gt;0"),"")</f>
      </c>
    </row>
    <row r="479" ht="22" customHeight="1">
      <c r="B479" s="27">
        <f>IF(K479="","",INDEX('PEGAR'!$O$13:$O$512,K479))</f>
      </c>
      <c r="C479" s="30">
        <f>IF(B479="","",IF(LEN(TRIM(INDEX('PEGAR'!$B$13:$B$512,IF(L479&gt;0,L479,K479))&amp;""))=0,"Sin capítulo",TRIM(INDEX('PEGAR'!$B$13:$B$512,IF(L479&gt;0,L479,K479))&amp;"")))</f>
      </c>
      <c r="D479" s="27">
        <f>IF(B479="","",IF(LEN(TRIM(INDEX('PEGAR'!$C$13:$C$512,IF(L479&gt;0,L479,K479))&amp;""))=0,"",TRIM(INDEX('PEGAR'!$C$13:$C$512,IF(L479&gt;0,L479,K479))&amp;"")))</f>
      </c>
      <c r="E479" s="27">
        <f>IF(B479="","",INDEX('PEGAR'!$S$13:$S$512,IF(L479&gt;0,L479,K479)))</f>
      </c>
      <c r="F479" s="39">
        <f>IF(B479="","",IF(L479&gt;0,INDEX('PEGAR'!$F$13:$F$512,L479),""))</f>
      </c>
      <c r="G479" s="39">
        <f>IF(B479="","",IF(OR(M479=0,N479&gt;0,O479&gt;0),"",SUMIFS('PEGAR'!$M$13:$M$512,'PEGAR'!$O$13:$O$512,B479)))</f>
      </c>
      <c r="H479" s="39">
        <f>IF(AND(ISNUMBER(F479),ISNUMBER(G479)),G479-F479,"")</f>
      </c>
      <c r="I479" s="27">
        <f>IF(B479="","",IF(W479=2,"ROJO",IF(W479=1,"ÁMBAR","VERDE")))</f>
      </c>
      <c r="J479" s="30">
        <f>IF(B479="","",IF(W479=0,"Sin avisos numéricos. Revisamos el alcance aparte.",IF(L479=0,"Faltan datos completos de partida; no elegimos un total por suposición."&amp;CHAR(10),"")&amp;IF(N479&gt;0,"Hay filas incompletas o contradictorias; las revisamos en PEGAR."&amp;CHAR(10),"")&amp;IF(O479&gt;0,"Faltan las medidas de alguna fila; no cerramos la suma."&amp;CHAR(10),"")&amp;IF(M479=0,"No constan líneas de medición."&amp;CHAR(10),"")&amp;IF(IF(ISNUMBER(H479),ROUND(ABS(H479),8)&gt;$F$6,FALSE),"Las líneas difieren del total en más de 0,01; confirmamos cantidad o exclusión."&amp;CHAR(10),"")&amp;IF(P479&gt;0,"Parece m³: encontramos tres dimensiones bajo m²."&amp;CHAR(10),"")&amp;IF(R479&gt;0,"Código repetido dentro del capítulo; mantenemos sus ID separados."&amp;CHAR(10),"")&amp;IF(S479&gt;0,"Código repetido en otro capítulo; no unimos las partidas."&amp;CHAR(10),"")&amp;IF(T479&gt;0,"Mismo código con unidades distintas; pedimos aclaración."&amp;CHAR(10),"")&amp;IF(Q479&gt;0,"Hay más precisión que los decimales indicados; cotejamos el formato original."&amp;CHAR(10),"")&amp;IF(U479&gt;0,"Unidad sin normalizar; cotejamos su significado antes de sumar unidades."&amp;CHAR(10),"")&amp;IF(V479&gt;0,"Revisamos dimensiones, cantidades directas, ceros o deducciones en PEGAR."&amp;CHAR(10),"")))</f>
      </c>
      <c r="K479" s="0">
        <f>IF(467&gt;'RESUMEN'!$E$6,"",MATCH(467,'PEGAR'!$W$13:$W$512,0))</f>
      </c>
      <c r="L479" s="0">
        <f>IF(K479="","",INDEX('PEGAR'!$R$13:$R$512,K479))</f>
      </c>
      <c r="M479" s="0">
        <f>IF(B479="","",COUNTIFS('PEGAR'!$O$13:$O$512,B479,'PEGAR'!$P$13:$P$512,"DIMENSIONES")+COUNTIFS('PEGAR'!$O$13:$O$512,B479,'PEGAR'!$P$13:$P$512,"DIRECTA"))</f>
      </c>
      <c r="N479" s="0">
        <f>IF(B479="","",COUNTIFS('PEGAR'!$O$13:$O$512,B479,'PEGAR'!$X$13:$X$512,2))</f>
      </c>
      <c r="O479" s="0">
        <f>IF(B479="","",COUNTIFS('PEGAR'!$O$13:$O$512,B479,'PEGAR'!$P$13:$P$512,"SIN LÍNEAS"))</f>
      </c>
      <c r="P479" s="0">
        <f>IF(B479="","",SUMIFS('PEGAR'!$Y$13:$Y$512,'PEGAR'!$O$13:$O$512,B479))</f>
      </c>
      <c r="Q479" s="0">
        <f>IF(B479="","",SUMIFS('PEGAR'!$Z$13:$Z$512,'PEGAR'!$O$13:$O$512,B479))</f>
      </c>
      <c r="R479" s="0" t="n">
        <f>IF(OR(B479="",D479=""),0,SUMPRODUCT(--($B$13:$B$512&lt;&gt;""),--($D$13:$D$512=D479),--($C$13:$C$512=C479))-1)</f>
        <v>0</v>
      </c>
      <c r="S479" s="0" t="n">
        <f>IF(OR(B479="",D479=""),0,SUMPRODUCT(--($B$13:$B$512&lt;&gt;""),--($D$13:$D$512=D479),--($C$13:$C$512&lt;&gt;C479)))</f>
        <v>0</v>
      </c>
      <c r="T479" s="0" t="n">
        <f>IF(OR(B479="",D479=""),0,SUMPRODUCT(--($B$13:$B$512&lt;&gt;""),--($D$13:$D$512=D479),--($E$13:$E$512&lt;&gt;E479)))</f>
        <v>0</v>
      </c>
      <c r="U479" s="0" t="n">
        <f>IF(B479="",0,IF(SUMPRODUCT(--('LÉEME'!$C$65:$C$86=E479))=0,1,0))</f>
        <v>0</v>
      </c>
      <c r="V479" s="0">
        <f>IF(B479="","",SUMIFS('PEGAR'!$AA$13:$AA$512,'PEGAR'!$O$13:$O$512,B479))</f>
      </c>
      <c r="W479" s="0">
        <f>IF(B479="","",IF(OR(L479=0,N479&gt;0,T479&gt;0,IF(ISNUMBER(H479),ROUND(ABS(H479),8)&gt;$F$6,FALSE)),2,IF(OR(M479=0,O479&gt;0,P479&gt;0,Q479&gt;0,R479&gt;0,S479&gt;0,U479&gt;0,V479&gt;0),1,0)))</f>
      </c>
      <c r="X479" s="0">
        <f>IF(B479="","",IF(ISNUMBER(G479),1,0))</f>
      </c>
      <c r="AB479" s="0">
        <f>IF(AND(ISNUMBER(W479),W479&gt;0),"ID "&amp;B479,"")</f>
      </c>
      <c r="AC479" s="0">
        <f>IF(AND(ISNUMBER(W479),W479&gt;0),C479,"")</f>
      </c>
      <c r="AD479" s="0">
        <f>IF(AND(ISNUMBER(W479),W479&gt;0),D479,"")</f>
      </c>
      <c r="AE479" s="0">
        <f>IF(AND(ISNUMBER(W479),W479&gt;0),IF(INDEX('PEGAR'!$D$13:$D$512,IF(L479&gt;0,L479,K479))="","Sin descripción",INDEX('PEGAR'!$D$13:$D$512,IF(L479&gt;0,L479,K479))),"")</f>
      </c>
      <c r="AF479" s="0">
        <f>IF(AND(ISNUMBER(W479),W479&gt;0),J479,"")</f>
      </c>
      <c r="AG479" s="0" t="n">
        <f>IF(AND(ISNUMBER(W479),W479&gt;0),W479,0)</f>
        <v>0</v>
      </c>
      <c r="AH479" s="0">
        <f>IF(AG479&gt;0,COUNTIFS($AG$13:AG479,"&gt;0"),"")</f>
      </c>
    </row>
    <row r="480" ht="22" customHeight="1">
      <c r="B480" s="27">
        <f>IF(K480="","",INDEX('PEGAR'!$O$13:$O$512,K480))</f>
      </c>
      <c r="C480" s="30">
        <f>IF(B480="","",IF(LEN(TRIM(INDEX('PEGAR'!$B$13:$B$512,IF(L480&gt;0,L480,K480))&amp;""))=0,"Sin capítulo",TRIM(INDEX('PEGAR'!$B$13:$B$512,IF(L480&gt;0,L480,K480))&amp;"")))</f>
      </c>
      <c r="D480" s="27">
        <f>IF(B480="","",IF(LEN(TRIM(INDEX('PEGAR'!$C$13:$C$512,IF(L480&gt;0,L480,K480))&amp;""))=0,"",TRIM(INDEX('PEGAR'!$C$13:$C$512,IF(L480&gt;0,L480,K480))&amp;"")))</f>
      </c>
      <c r="E480" s="27">
        <f>IF(B480="","",INDEX('PEGAR'!$S$13:$S$512,IF(L480&gt;0,L480,K480)))</f>
      </c>
      <c r="F480" s="39">
        <f>IF(B480="","",IF(L480&gt;0,INDEX('PEGAR'!$F$13:$F$512,L480),""))</f>
      </c>
      <c r="G480" s="39">
        <f>IF(B480="","",IF(OR(M480=0,N480&gt;0,O480&gt;0),"",SUMIFS('PEGAR'!$M$13:$M$512,'PEGAR'!$O$13:$O$512,B480)))</f>
      </c>
      <c r="H480" s="39">
        <f>IF(AND(ISNUMBER(F480),ISNUMBER(G480)),G480-F480,"")</f>
      </c>
      <c r="I480" s="27">
        <f>IF(B480="","",IF(W480=2,"ROJO",IF(W480=1,"ÁMBAR","VERDE")))</f>
      </c>
      <c r="J480" s="30">
        <f>IF(B480="","",IF(W480=0,"Sin avisos numéricos. Revisamos el alcance aparte.",IF(L480=0,"Faltan datos completos de partida; no elegimos un total por suposición."&amp;CHAR(10),"")&amp;IF(N480&gt;0,"Hay filas incompletas o contradictorias; las revisamos en PEGAR."&amp;CHAR(10),"")&amp;IF(O480&gt;0,"Faltan las medidas de alguna fila; no cerramos la suma."&amp;CHAR(10),"")&amp;IF(M480=0,"No constan líneas de medición."&amp;CHAR(10),"")&amp;IF(IF(ISNUMBER(H480),ROUND(ABS(H480),8)&gt;$F$6,FALSE),"Las líneas difieren del total en más de 0,01; confirmamos cantidad o exclusión."&amp;CHAR(10),"")&amp;IF(P480&gt;0,"Parece m³: encontramos tres dimensiones bajo m²."&amp;CHAR(10),"")&amp;IF(R480&gt;0,"Código repetido dentro del capítulo; mantenemos sus ID separados."&amp;CHAR(10),"")&amp;IF(S480&gt;0,"Código repetido en otro capítulo; no unimos las partidas."&amp;CHAR(10),"")&amp;IF(T480&gt;0,"Mismo código con unidades distintas; pedimos aclaración."&amp;CHAR(10),"")&amp;IF(Q480&gt;0,"Hay más precisión que los decimales indicados; cotejamos el formato original."&amp;CHAR(10),"")&amp;IF(U480&gt;0,"Unidad sin normalizar; cotejamos su significado antes de sumar unidades."&amp;CHAR(10),"")&amp;IF(V480&gt;0,"Revisamos dimensiones, cantidades directas, ceros o deducciones en PEGAR."&amp;CHAR(10),"")))</f>
      </c>
      <c r="K480" s="0">
        <f>IF(468&gt;'RESUMEN'!$E$6,"",MATCH(468,'PEGAR'!$W$13:$W$512,0))</f>
      </c>
      <c r="L480" s="0">
        <f>IF(K480="","",INDEX('PEGAR'!$R$13:$R$512,K480))</f>
      </c>
      <c r="M480" s="0">
        <f>IF(B480="","",COUNTIFS('PEGAR'!$O$13:$O$512,B480,'PEGAR'!$P$13:$P$512,"DIMENSIONES")+COUNTIFS('PEGAR'!$O$13:$O$512,B480,'PEGAR'!$P$13:$P$512,"DIRECTA"))</f>
      </c>
      <c r="N480" s="0">
        <f>IF(B480="","",COUNTIFS('PEGAR'!$O$13:$O$512,B480,'PEGAR'!$X$13:$X$512,2))</f>
      </c>
      <c r="O480" s="0">
        <f>IF(B480="","",COUNTIFS('PEGAR'!$O$13:$O$512,B480,'PEGAR'!$P$13:$P$512,"SIN LÍNEAS"))</f>
      </c>
      <c r="P480" s="0">
        <f>IF(B480="","",SUMIFS('PEGAR'!$Y$13:$Y$512,'PEGAR'!$O$13:$O$512,B480))</f>
      </c>
      <c r="Q480" s="0">
        <f>IF(B480="","",SUMIFS('PEGAR'!$Z$13:$Z$512,'PEGAR'!$O$13:$O$512,B480))</f>
      </c>
      <c r="R480" s="0" t="n">
        <f>IF(OR(B480="",D480=""),0,SUMPRODUCT(--($B$13:$B$512&lt;&gt;""),--($D$13:$D$512=D480),--($C$13:$C$512=C480))-1)</f>
        <v>0</v>
      </c>
      <c r="S480" s="0" t="n">
        <f>IF(OR(B480="",D480=""),0,SUMPRODUCT(--($B$13:$B$512&lt;&gt;""),--($D$13:$D$512=D480),--($C$13:$C$512&lt;&gt;C480)))</f>
        <v>0</v>
      </c>
      <c r="T480" s="0" t="n">
        <f>IF(OR(B480="",D480=""),0,SUMPRODUCT(--($B$13:$B$512&lt;&gt;""),--($D$13:$D$512=D480),--($E$13:$E$512&lt;&gt;E480)))</f>
        <v>0</v>
      </c>
      <c r="U480" s="0" t="n">
        <f>IF(B480="",0,IF(SUMPRODUCT(--('LÉEME'!$C$65:$C$86=E480))=0,1,0))</f>
        <v>0</v>
      </c>
      <c r="V480" s="0">
        <f>IF(B480="","",SUMIFS('PEGAR'!$AA$13:$AA$512,'PEGAR'!$O$13:$O$512,B480))</f>
      </c>
      <c r="W480" s="0">
        <f>IF(B480="","",IF(OR(L480=0,N480&gt;0,T480&gt;0,IF(ISNUMBER(H480),ROUND(ABS(H480),8)&gt;$F$6,FALSE)),2,IF(OR(M480=0,O480&gt;0,P480&gt;0,Q480&gt;0,R480&gt;0,S480&gt;0,U480&gt;0,V480&gt;0),1,0)))</f>
      </c>
      <c r="X480" s="0">
        <f>IF(B480="","",IF(ISNUMBER(G480),1,0))</f>
      </c>
      <c r="AB480" s="0">
        <f>IF(AND(ISNUMBER(W480),W480&gt;0),"ID "&amp;B480,"")</f>
      </c>
      <c r="AC480" s="0">
        <f>IF(AND(ISNUMBER(W480),W480&gt;0),C480,"")</f>
      </c>
      <c r="AD480" s="0">
        <f>IF(AND(ISNUMBER(W480),W480&gt;0),D480,"")</f>
      </c>
      <c r="AE480" s="0">
        <f>IF(AND(ISNUMBER(W480),W480&gt;0),IF(INDEX('PEGAR'!$D$13:$D$512,IF(L480&gt;0,L480,K480))="","Sin descripción",INDEX('PEGAR'!$D$13:$D$512,IF(L480&gt;0,L480,K480))),"")</f>
      </c>
      <c r="AF480" s="0">
        <f>IF(AND(ISNUMBER(W480),W480&gt;0),J480,"")</f>
      </c>
      <c r="AG480" s="0" t="n">
        <f>IF(AND(ISNUMBER(W480),W480&gt;0),W480,0)</f>
        <v>0</v>
      </c>
      <c r="AH480" s="0">
        <f>IF(AG480&gt;0,COUNTIFS($AG$13:AG480,"&gt;0"),"")</f>
      </c>
    </row>
    <row r="481" ht="22" customHeight="1">
      <c r="B481" s="27">
        <f>IF(K481="","",INDEX('PEGAR'!$O$13:$O$512,K481))</f>
      </c>
      <c r="C481" s="30">
        <f>IF(B481="","",IF(LEN(TRIM(INDEX('PEGAR'!$B$13:$B$512,IF(L481&gt;0,L481,K481))&amp;""))=0,"Sin capítulo",TRIM(INDEX('PEGAR'!$B$13:$B$512,IF(L481&gt;0,L481,K481))&amp;"")))</f>
      </c>
      <c r="D481" s="27">
        <f>IF(B481="","",IF(LEN(TRIM(INDEX('PEGAR'!$C$13:$C$512,IF(L481&gt;0,L481,K481))&amp;""))=0,"",TRIM(INDEX('PEGAR'!$C$13:$C$512,IF(L481&gt;0,L481,K481))&amp;"")))</f>
      </c>
      <c r="E481" s="27">
        <f>IF(B481="","",INDEX('PEGAR'!$S$13:$S$512,IF(L481&gt;0,L481,K481)))</f>
      </c>
      <c r="F481" s="39">
        <f>IF(B481="","",IF(L481&gt;0,INDEX('PEGAR'!$F$13:$F$512,L481),""))</f>
      </c>
      <c r="G481" s="39">
        <f>IF(B481="","",IF(OR(M481=0,N481&gt;0,O481&gt;0),"",SUMIFS('PEGAR'!$M$13:$M$512,'PEGAR'!$O$13:$O$512,B481)))</f>
      </c>
      <c r="H481" s="39">
        <f>IF(AND(ISNUMBER(F481),ISNUMBER(G481)),G481-F481,"")</f>
      </c>
      <c r="I481" s="27">
        <f>IF(B481="","",IF(W481=2,"ROJO",IF(W481=1,"ÁMBAR","VERDE")))</f>
      </c>
      <c r="J481" s="30">
        <f>IF(B481="","",IF(W481=0,"Sin avisos numéricos. Revisamos el alcance aparte.",IF(L481=0,"Faltan datos completos de partida; no elegimos un total por suposición."&amp;CHAR(10),"")&amp;IF(N481&gt;0,"Hay filas incompletas o contradictorias; las revisamos en PEGAR."&amp;CHAR(10),"")&amp;IF(O481&gt;0,"Faltan las medidas de alguna fila; no cerramos la suma."&amp;CHAR(10),"")&amp;IF(M481=0,"No constan líneas de medición."&amp;CHAR(10),"")&amp;IF(IF(ISNUMBER(H481),ROUND(ABS(H481),8)&gt;$F$6,FALSE),"Las líneas difieren del total en más de 0,01; confirmamos cantidad o exclusión."&amp;CHAR(10),"")&amp;IF(P481&gt;0,"Parece m³: encontramos tres dimensiones bajo m²."&amp;CHAR(10),"")&amp;IF(R481&gt;0,"Código repetido dentro del capítulo; mantenemos sus ID separados."&amp;CHAR(10),"")&amp;IF(S481&gt;0,"Código repetido en otro capítulo; no unimos las partidas."&amp;CHAR(10),"")&amp;IF(T481&gt;0,"Mismo código con unidades distintas; pedimos aclaración."&amp;CHAR(10),"")&amp;IF(Q481&gt;0,"Hay más precisión que los decimales indicados; cotejamos el formato original."&amp;CHAR(10),"")&amp;IF(U481&gt;0,"Unidad sin normalizar; cotejamos su significado antes de sumar unidades."&amp;CHAR(10),"")&amp;IF(V481&gt;0,"Revisamos dimensiones, cantidades directas, ceros o deducciones en PEGAR."&amp;CHAR(10),"")))</f>
      </c>
      <c r="K481" s="0">
        <f>IF(469&gt;'RESUMEN'!$E$6,"",MATCH(469,'PEGAR'!$W$13:$W$512,0))</f>
      </c>
      <c r="L481" s="0">
        <f>IF(K481="","",INDEX('PEGAR'!$R$13:$R$512,K481))</f>
      </c>
      <c r="M481" s="0">
        <f>IF(B481="","",COUNTIFS('PEGAR'!$O$13:$O$512,B481,'PEGAR'!$P$13:$P$512,"DIMENSIONES")+COUNTIFS('PEGAR'!$O$13:$O$512,B481,'PEGAR'!$P$13:$P$512,"DIRECTA"))</f>
      </c>
      <c r="N481" s="0">
        <f>IF(B481="","",COUNTIFS('PEGAR'!$O$13:$O$512,B481,'PEGAR'!$X$13:$X$512,2))</f>
      </c>
      <c r="O481" s="0">
        <f>IF(B481="","",COUNTIFS('PEGAR'!$O$13:$O$512,B481,'PEGAR'!$P$13:$P$512,"SIN LÍNEAS"))</f>
      </c>
      <c r="P481" s="0">
        <f>IF(B481="","",SUMIFS('PEGAR'!$Y$13:$Y$512,'PEGAR'!$O$13:$O$512,B481))</f>
      </c>
      <c r="Q481" s="0">
        <f>IF(B481="","",SUMIFS('PEGAR'!$Z$13:$Z$512,'PEGAR'!$O$13:$O$512,B481))</f>
      </c>
      <c r="R481" s="0" t="n">
        <f>IF(OR(B481="",D481=""),0,SUMPRODUCT(--($B$13:$B$512&lt;&gt;""),--($D$13:$D$512=D481),--($C$13:$C$512=C481))-1)</f>
        <v>0</v>
      </c>
      <c r="S481" s="0" t="n">
        <f>IF(OR(B481="",D481=""),0,SUMPRODUCT(--($B$13:$B$512&lt;&gt;""),--($D$13:$D$512=D481),--($C$13:$C$512&lt;&gt;C481)))</f>
        <v>0</v>
      </c>
      <c r="T481" s="0" t="n">
        <f>IF(OR(B481="",D481=""),0,SUMPRODUCT(--($B$13:$B$512&lt;&gt;""),--($D$13:$D$512=D481),--($E$13:$E$512&lt;&gt;E481)))</f>
        <v>0</v>
      </c>
      <c r="U481" s="0" t="n">
        <f>IF(B481="",0,IF(SUMPRODUCT(--('LÉEME'!$C$65:$C$86=E481))=0,1,0))</f>
        <v>0</v>
      </c>
      <c r="V481" s="0">
        <f>IF(B481="","",SUMIFS('PEGAR'!$AA$13:$AA$512,'PEGAR'!$O$13:$O$512,B481))</f>
      </c>
      <c r="W481" s="0">
        <f>IF(B481="","",IF(OR(L481=0,N481&gt;0,T481&gt;0,IF(ISNUMBER(H481),ROUND(ABS(H481),8)&gt;$F$6,FALSE)),2,IF(OR(M481=0,O481&gt;0,P481&gt;0,Q481&gt;0,R481&gt;0,S481&gt;0,U481&gt;0,V481&gt;0),1,0)))</f>
      </c>
      <c r="X481" s="0">
        <f>IF(B481="","",IF(ISNUMBER(G481),1,0))</f>
      </c>
      <c r="AB481" s="0">
        <f>IF(AND(ISNUMBER(W481),W481&gt;0),"ID "&amp;B481,"")</f>
      </c>
      <c r="AC481" s="0">
        <f>IF(AND(ISNUMBER(W481),W481&gt;0),C481,"")</f>
      </c>
      <c r="AD481" s="0">
        <f>IF(AND(ISNUMBER(W481),W481&gt;0),D481,"")</f>
      </c>
      <c r="AE481" s="0">
        <f>IF(AND(ISNUMBER(W481),W481&gt;0),IF(INDEX('PEGAR'!$D$13:$D$512,IF(L481&gt;0,L481,K481))="","Sin descripción",INDEX('PEGAR'!$D$13:$D$512,IF(L481&gt;0,L481,K481))),"")</f>
      </c>
      <c r="AF481" s="0">
        <f>IF(AND(ISNUMBER(W481),W481&gt;0),J481,"")</f>
      </c>
      <c r="AG481" s="0" t="n">
        <f>IF(AND(ISNUMBER(W481),W481&gt;0),W481,0)</f>
        <v>0</v>
      </c>
      <c r="AH481" s="0">
        <f>IF(AG481&gt;0,COUNTIFS($AG$13:AG481,"&gt;0"),"")</f>
      </c>
    </row>
    <row r="482" ht="22" customHeight="1">
      <c r="B482" s="27">
        <f>IF(K482="","",INDEX('PEGAR'!$O$13:$O$512,K482))</f>
      </c>
      <c r="C482" s="30">
        <f>IF(B482="","",IF(LEN(TRIM(INDEX('PEGAR'!$B$13:$B$512,IF(L482&gt;0,L482,K482))&amp;""))=0,"Sin capítulo",TRIM(INDEX('PEGAR'!$B$13:$B$512,IF(L482&gt;0,L482,K482))&amp;"")))</f>
      </c>
      <c r="D482" s="27">
        <f>IF(B482="","",IF(LEN(TRIM(INDEX('PEGAR'!$C$13:$C$512,IF(L482&gt;0,L482,K482))&amp;""))=0,"",TRIM(INDEX('PEGAR'!$C$13:$C$512,IF(L482&gt;0,L482,K482))&amp;"")))</f>
      </c>
      <c r="E482" s="27">
        <f>IF(B482="","",INDEX('PEGAR'!$S$13:$S$512,IF(L482&gt;0,L482,K482)))</f>
      </c>
      <c r="F482" s="39">
        <f>IF(B482="","",IF(L482&gt;0,INDEX('PEGAR'!$F$13:$F$512,L482),""))</f>
      </c>
      <c r="G482" s="39">
        <f>IF(B482="","",IF(OR(M482=0,N482&gt;0,O482&gt;0),"",SUMIFS('PEGAR'!$M$13:$M$512,'PEGAR'!$O$13:$O$512,B482)))</f>
      </c>
      <c r="H482" s="39">
        <f>IF(AND(ISNUMBER(F482),ISNUMBER(G482)),G482-F482,"")</f>
      </c>
      <c r="I482" s="27">
        <f>IF(B482="","",IF(W482=2,"ROJO",IF(W482=1,"ÁMBAR","VERDE")))</f>
      </c>
      <c r="J482" s="30">
        <f>IF(B482="","",IF(W482=0,"Sin avisos numéricos. Revisamos el alcance aparte.",IF(L482=0,"Faltan datos completos de partida; no elegimos un total por suposición."&amp;CHAR(10),"")&amp;IF(N482&gt;0,"Hay filas incompletas o contradictorias; las revisamos en PEGAR."&amp;CHAR(10),"")&amp;IF(O482&gt;0,"Faltan las medidas de alguna fila; no cerramos la suma."&amp;CHAR(10),"")&amp;IF(M482=0,"No constan líneas de medición."&amp;CHAR(10),"")&amp;IF(IF(ISNUMBER(H482),ROUND(ABS(H482),8)&gt;$F$6,FALSE),"Las líneas difieren del total en más de 0,01; confirmamos cantidad o exclusión."&amp;CHAR(10),"")&amp;IF(P482&gt;0,"Parece m³: encontramos tres dimensiones bajo m²."&amp;CHAR(10),"")&amp;IF(R482&gt;0,"Código repetido dentro del capítulo; mantenemos sus ID separados."&amp;CHAR(10),"")&amp;IF(S482&gt;0,"Código repetido en otro capítulo; no unimos las partidas."&amp;CHAR(10),"")&amp;IF(T482&gt;0,"Mismo código con unidades distintas; pedimos aclaración."&amp;CHAR(10),"")&amp;IF(Q482&gt;0,"Hay más precisión que los decimales indicados; cotejamos el formato original."&amp;CHAR(10),"")&amp;IF(U482&gt;0,"Unidad sin normalizar; cotejamos su significado antes de sumar unidades."&amp;CHAR(10),"")&amp;IF(V482&gt;0,"Revisamos dimensiones, cantidades directas, ceros o deducciones en PEGAR."&amp;CHAR(10),"")))</f>
      </c>
      <c r="K482" s="0">
        <f>IF(470&gt;'RESUMEN'!$E$6,"",MATCH(470,'PEGAR'!$W$13:$W$512,0))</f>
      </c>
      <c r="L482" s="0">
        <f>IF(K482="","",INDEX('PEGAR'!$R$13:$R$512,K482))</f>
      </c>
      <c r="M482" s="0">
        <f>IF(B482="","",COUNTIFS('PEGAR'!$O$13:$O$512,B482,'PEGAR'!$P$13:$P$512,"DIMENSIONES")+COUNTIFS('PEGAR'!$O$13:$O$512,B482,'PEGAR'!$P$13:$P$512,"DIRECTA"))</f>
      </c>
      <c r="N482" s="0">
        <f>IF(B482="","",COUNTIFS('PEGAR'!$O$13:$O$512,B482,'PEGAR'!$X$13:$X$512,2))</f>
      </c>
      <c r="O482" s="0">
        <f>IF(B482="","",COUNTIFS('PEGAR'!$O$13:$O$512,B482,'PEGAR'!$P$13:$P$512,"SIN LÍNEAS"))</f>
      </c>
      <c r="P482" s="0">
        <f>IF(B482="","",SUMIFS('PEGAR'!$Y$13:$Y$512,'PEGAR'!$O$13:$O$512,B482))</f>
      </c>
      <c r="Q482" s="0">
        <f>IF(B482="","",SUMIFS('PEGAR'!$Z$13:$Z$512,'PEGAR'!$O$13:$O$512,B482))</f>
      </c>
      <c r="R482" s="0" t="n">
        <f>IF(OR(B482="",D482=""),0,SUMPRODUCT(--($B$13:$B$512&lt;&gt;""),--($D$13:$D$512=D482),--($C$13:$C$512=C482))-1)</f>
        <v>0</v>
      </c>
      <c r="S482" s="0" t="n">
        <f>IF(OR(B482="",D482=""),0,SUMPRODUCT(--($B$13:$B$512&lt;&gt;""),--($D$13:$D$512=D482),--($C$13:$C$512&lt;&gt;C482)))</f>
        <v>0</v>
      </c>
      <c r="T482" s="0" t="n">
        <f>IF(OR(B482="",D482=""),0,SUMPRODUCT(--($B$13:$B$512&lt;&gt;""),--($D$13:$D$512=D482),--($E$13:$E$512&lt;&gt;E482)))</f>
        <v>0</v>
      </c>
      <c r="U482" s="0" t="n">
        <f>IF(B482="",0,IF(SUMPRODUCT(--('LÉEME'!$C$65:$C$86=E482))=0,1,0))</f>
        <v>0</v>
      </c>
      <c r="V482" s="0">
        <f>IF(B482="","",SUMIFS('PEGAR'!$AA$13:$AA$512,'PEGAR'!$O$13:$O$512,B482))</f>
      </c>
      <c r="W482" s="0">
        <f>IF(B482="","",IF(OR(L482=0,N482&gt;0,T482&gt;0,IF(ISNUMBER(H482),ROUND(ABS(H482),8)&gt;$F$6,FALSE)),2,IF(OR(M482=0,O482&gt;0,P482&gt;0,Q482&gt;0,R482&gt;0,S482&gt;0,U482&gt;0,V482&gt;0),1,0)))</f>
      </c>
      <c r="X482" s="0">
        <f>IF(B482="","",IF(ISNUMBER(G482),1,0))</f>
      </c>
      <c r="AB482" s="0">
        <f>IF(AND(ISNUMBER(W482),W482&gt;0),"ID "&amp;B482,"")</f>
      </c>
      <c r="AC482" s="0">
        <f>IF(AND(ISNUMBER(W482),W482&gt;0),C482,"")</f>
      </c>
      <c r="AD482" s="0">
        <f>IF(AND(ISNUMBER(W482),W482&gt;0),D482,"")</f>
      </c>
      <c r="AE482" s="0">
        <f>IF(AND(ISNUMBER(W482),W482&gt;0),IF(INDEX('PEGAR'!$D$13:$D$512,IF(L482&gt;0,L482,K482))="","Sin descripción",INDEX('PEGAR'!$D$13:$D$512,IF(L482&gt;0,L482,K482))),"")</f>
      </c>
      <c r="AF482" s="0">
        <f>IF(AND(ISNUMBER(W482),W482&gt;0),J482,"")</f>
      </c>
      <c r="AG482" s="0" t="n">
        <f>IF(AND(ISNUMBER(W482),W482&gt;0),W482,0)</f>
        <v>0</v>
      </c>
      <c r="AH482" s="0">
        <f>IF(AG482&gt;0,COUNTIFS($AG$13:AG482,"&gt;0"),"")</f>
      </c>
    </row>
    <row r="483" ht="22" customHeight="1">
      <c r="B483" s="27">
        <f>IF(K483="","",INDEX('PEGAR'!$O$13:$O$512,K483))</f>
      </c>
      <c r="C483" s="30">
        <f>IF(B483="","",IF(LEN(TRIM(INDEX('PEGAR'!$B$13:$B$512,IF(L483&gt;0,L483,K483))&amp;""))=0,"Sin capítulo",TRIM(INDEX('PEGAR'!$B$13:$B$512,IF(L483&gt;0,L483,K483))&amp;"")))</f>
      </c>
      <c r="D483" s="27">
        <f>IF(B483="","",IF(LEN(TRIM(INDEX('PEGAR'!$C$13:$C$512,IF(L483&gt;0,L483,K483))&amp;""))=0,"",TRIM(INDEX('PEGAR'!$C$13:$C$512,IF(L483&gt;0,L483,K483))&amp;"")))</f>
      </c>
      <c r="E483" s="27">
        <f>IF(B483="","",INDEX('PEGAR'!$S$13:$S$512,IF(L483&gt;0,L483,K483)))</f>
      </c>
      <c r="F483" s="39">
        <f>IF(B483="","",IF(L483&gt;0,INDEX('PEGAR'!$F$13:$F$512,L483),""))</f>
      </c>
      <c r="G483" s="39">
        <f>IF(B483="","",IF(OR(M483=0,N483&gt;0,O483&gt;0),"",SUMIFS('PEGAR'!$M$13:$M$512,'PEGAR'!$O$13:$O$512,B483)))</f>
      </c>
      <c r="H483" s="39">
        <f>IF(AND(ISNUMBER(F483),ISNUMBER(G483)),G483-F483,"")</f>
      </c>
      <c r="I483" s="27">
        <f>IF(B483="","",IF(W483=2,"ROJO",IF(W483=1,"ÁMBAR","VERDE")))</f>
      </c>
      <c r="J483" s="30">
        <f>IF(B483="","",IF(W483=0,"Sin avisos numéricos. Revisamos el alcance aparte.",IF(L483=0,"Faltan datos completos de partida; no elegimos un total por suposición."&amp;CHAR(10),"")&amp;IF(N483&gt;0,"Hay filas incompletas o contradictorias; las revisamos en PEGAR."&amp;CHAR(10),"")&amp;IF(O483&gt;0,"Faltan las medidas de alguna fila; no cerramos la suma."&amp;CHAR(10),"")&amp;IF(M483=0,"No constan líneas de medición."&amp;CHAR(10),"")&amp;IF(IF(ISNUMBER(H483),ROUND(ABS(H483),8)&gt;$F$6,FALSE),"Las líneas difieren del total en más de 0,01; confirmamos cantidad o exclusión."&amp;CHAR(10),"")&amp;IF(P483&gt;0,"Parece m³: encontramos tres dimensiones bajo m²."&amp;CHAR(10),"")&amp;IF(R483&gt;0,"Código repetido dentro del capítulo; mantenemos sus ID separados."&amp;CHAR(10),"")&amp;IF(S483&gt;0,"Código repetido en otro capítulo; no unimos las partidas."&amp;CHAR(10),"")&amp;IF(T483&gt;0,"Mismo código con unidades distintas; pedimos aclaración."&amp;CHAR(10),"")&amp;IF(Q483&gt;0,"Hay más precisión que los decimales indicados; cotejamos el formato original."&amp;CHAR(10),"")&amp;IF(U483&gt;0,"Unidad sin normalizar; cotejamos su significado antes de sumar unidades."&amp;CHAR(10),"")&amp;IF(V483&gt;0,"Revisamos dimensiones, cantidades directas, ceros o deducciones en PEGAR."&amp;CHAR(10),"")))</f>
      </c>
      <c r="K483" s="0">
        <f>IF(471&gt;'RESUMEN'!$E$6,"",MATCH(471,'PEGAR'!$W$13:$W$512,0))</f>
      </c>
      <c r="L483" s="0">
        <f>IF(K483="","",INDEX('PEGAR'!$R$13:$R$512,K483))</f>
      </c>
      <c r="M483" s="0">
        <f>IF(B483="","",COUNTIFS('PEGAR'!$O$13:$O$512,B483,'PEGAR'!$P$13:$P$512,"DIMENSIONES")+COUNTIFS('PEGAR'!$O$13:$O$512,B483,'PEGAR'!$P$13:$P$512,"DIRECTA"))</f>
      </c>
      <c r="N483" s="0">
        <f>IF(B483="","",COUNTIFS('PEGAR'!$O$13:$O$512,B483,'PEGAR'!$X$13:$X$512,2))</f>
      </c>
      <c r="O483" s="0">
        <f>IF(B483="","",COUNTIFS('PEGAR'!$O$13:$O$512,B483,'PEGAR'!$P$13:$P$512,"SIN LÍNEAS"))</f>
      </c>
      <c r="P483" s="0">
        <f>IF(B483="","",SUMIFS('PEGAR'!$Y$13:$Y$512,'PEGAR'!$O$13:$O$512,B483))</f>
      </c>
      <c r="Q483" s="0">
        <f>IF(B483="","",SUMIFS('PEGAR'!$Z$13:$Z$512,'PEGAR'!$O$13:$O$512,B483))</f>
      </c>
      <c r="R483" s="0" t="n">
        <f>IF(OR(B483="",D483=""),0,SUMPRODUCT(--($B$13:$B$512&lt;&gt;""),--($D$13:$D$512=D483),--($C$13:$C$512=C483))-1)</f>
        <v>0</v>
      </c>
      <c r="S483" s="0" t="n">
        <f>IF(OR(B483="",D483=""),0,SUMPRODUCT(--($B$13:$B$512&lt;&gt;""),--($D$13:$D$512=D483),--($C$13:$C$512&lt;&gt;C483)))</f>
        <v>0</v>
      </c>
      <c r="T483" s="0" t="n">
        <f>IF(OR(B483="",D483=""),0,SUMPRODUCT(--($B$13:$B$512&lt;&gt;""),--($D$13:$D$512=D483),--($E$13:$E$512&lt;&gt;E483)))</f>
        <v>0</v>
      </c>
      <c r="U483" s="0" t="n">
        <f>IF(B483="",0,IF(SUMPRODUCT(--('LÉEME'!$C$65:$C$86=E483))=0,1,0))</f>
        <v>0</v>
      </c>
      <c r="V483" s="0">
        <f>IF(B483="","",SUMIFS('PEGAR'!$AA$13:$AA$512,'PEGAR'!$O$13:$O$512,B483))</f>
      </c>
      <c r="W483" s="0">
        <f>IF(B483="","",IF(OR(L483=0,N483&gt;0,T483&gt;0,IF(ISNUMBER(H483),ROUND(ABS(H483),8)&gt;$F$6,FALSE)),2,IF(OR(M483=0,O483&gt;0,P483&gt;0,Q483&gt;0,R483&gt;0,S483&gt;0,U483&gt;0,V483&gt;0),1,0)))</f>
      </c>
      <c r="X483" s="0">
        <f>IF(B483="","",IF(ISNUMBER(G483),1,0))</f>
      </c>
      <c r="AB483" s="0">
        <f>IF(AND(ISNUMBER(W483),W483&gt;0),"ID "&amp;B483,"")</f>
      </c>
      <c r="AC483" s="0">
        <f>IF(AND(ISNUMBER(W483),W483&gt;0),C483,"")</f>
      </c>
      <c r="AD483" s="0">
        <f>IF(AND(ISNUMBER(W483),W483&gt;0),D483,"")</f>
      </c>
      <c r="AE483" s="0">
        <f>IF(AND(ISNUMBER(W483),W483&gt;0),IF(INDEX('PEGAR'!$D$13:$D$512,IF(L483&gt;0,L483,K483))="","Sin descripción",INDEX('PEGAR'!$D$13:$D$512,IF(L483&gt;0,L483,K483))),"")</f>
      </c>
      <c r="AF483" s="0">
        <f>IF(AND(ISNUMBER(W483),W483&gt;0),J483,"")</f>
      </c>
      <c r="AG483" s="0" t="n">
        <f>IF(AND(ISNUMBER(W483),W483&gt;0),W483,0)</f>
        <v>0</v>
      </c>
      <c r="AH483" s="0">
        <f>IF(AG483&gt;0,COUNTIFS($AG$13:AG483,"&gt;0"),"")</f>
      </c>
    </row>
    <row r="484" ht="22" customHeight="1">
      <c r="B484" s="27">
        <f>IF(K484="","",INDEX('PEGAR'!$O$13:$O$512,K484))</f>
      </c>
      <c r="C484" s="30">
        <f>IF(B484="","",IF(LEN(TRIM(INDEX('PEGAR'!$B$13:$B$512,IF(L484&gt;0,L484,K484))&amp;""))=0,"Sin capítulo",TRIM(INDEX('PEGAR'!$B$13:$B$512,IF(L484&gt;0,L484,K484))&amp;"")))</f>
      </c>
      <c r="D484" s="27">
        <f>IF(B484="","",IF(LEN(TRIM(INDEX('PEGAR'!$C$13:$C$512,IF(L484&gt;0,L484,K484))&amp;""))=0,"",TRIM(INDEX('PEGAR'!$C$13:$C$512,IF(L484&gt;0,L484,K484))&amp;"")))</f>
      </c>
      <c r="E484" s="27">
        <f>IF(B484="","",INDEX('PEGAR'!$S$13:$S$512,IF(L484&gt;0,L484,K484)))</f>
      </c>
      <c r="F484" s="39">
        <f>IF(B484="","",IF(L484&gt;0,INDEX('PEGAR'!$F$13:$F$512,L484),""))</f>
      </c>
      <c r="G484" s="39">
        <f>IF(B484="","",IF(OR(M484=0,N484&gt;0,O484&gt;0),"",SUMIFS('PEGAR'!$M$13:$M$512,'PEGAR'!$O$13:$O$512,B484)))</f>
      </c>
      <c r="H484" s="39">
        <f>IF(AND(ISNUMBER(F484),ISNUMBER(G484)),G484-F484,"")</f>
      </c>
      <c r="I484" s="27">
        <f>IF(B484="","",IF(W484=2,"ROJO",IF(W484=1,"ÁMBAR","VERDE")))</f>
      </c>
      <c r="J484" s="30">
        <f>IF(B484="","",IF(W484=0,"Sin avisos numéricos. Revisamos el alcance aparte.",IF(L484=0,"Faltan datos completos de partida; no elegimos un total por suposición."&amp;CHAR(10),"")&amp;IF(N484&gt;0,"Hay filas incompletas o contradictorias; las revisamos en PEGAR."&amp;CHAR(10),"")&amp;IF(O484&gt;0,"Faltan las medidas de alguna fila; no cerramos la suma."&amp;CHAR(10),"")&amp;IF(M484=0,"No constan líneas de medición."&amp;CHAR(10),"")&amp;IF(IF(ISNUMBER(H484),ROUND(ABS(H484),8)&gt;$F$6,FALSE),"Las líneas difieren del total en más de 0,01; confirmamos cantidad o exclusión."&amp;CHAR(10),"")&amp;IF(P484&gt;0,"Parece m³: encontramos tres dimensiones bajo m²."&amp;CHAR(10),"")&amp;IF(R484&gt;0,"Código repetido dentro del capítulo; mantenemos sus ID separados."&amp;CHAR(10),"")&amp;IF(S484&gt;0,"Código repetido en otro capítulo; no unimos las partidas."&amp;CHAR(10),"")&amp;IF(T484&gt;0,"Mismo código con unidades distintas; pedimos aclaración."&amp;CHAR(10),"")&amp;IF(Q484&gt;0,"Hay más precisión que los decimales indicados; cotejamos el formato original."&amp;CHAR(10),"")&amp;IF(U484&gt;0,"Unidad sin normalizar; cotejamos su significado antes de sumar unidades."&amp;CHAR(10),"")&amp;IF(V484&gt;0,"Revisamos dimensiones, cantidades directas, ceros o deducciones en PEGAR."&amp;CHAR(10),"")))</f>
      </c>
      <c r="K484" s="0">
        <f>IF(472&gt;'RESUMEN'!$E$6,"",MATCH(472,'PEGAR'!$W$13:$W$512,0))</f>
      </c>
      <c r="L484" s="0">
        <f>IF(K484="","",INDEX('PEGAR'!$R$13:$R$512,K484))</f>
      </c>
      <c r="M484" s="0">
        <f>IF(B484="","",COUNTIFS('PEGAR'!$O$13:$O$512,B484,'PEGAR'!$P$13:$P$512,"DIMENSIONES")+COUNTIFS('PEGAR'!$O$13:$O$512,B484,'PEGAR'!$P$13:$P$512,"DIRECTA"))</f>
      </c>
      <c r="N484" s="0">
        <f>IF(B484="","",COUNTIFS('PEGAR'!$O$13:$O$512,B484,'PEGAR'!$X$13:$X$512,2))</f>
      </c>
      <c r="O484" s="0">
        <f>IF(B484="","",COUNTIFS('PEGAR'!$O$13:$O$512,B484,'PEGAR'!$P$13:$P$512,"SIN LÍNEAS"))</f>
      </c>
      <c r="P484" s="0">
        <f>IF(B484="","",SUMIFS('PEGAR'!$Y$13:$Y$512,'PEGAR'!$O$13:$O$512,B484))</f>
      </c>
      <c r="Q484" s="0">
        <f>IF(B484="","",SUMIFS('PEGAR'!$Z$13:$Z$512,'PEGAR'!$O$13:$O$512,B484))</f>
      </c>
      <c r="R484" s="0" t="n">
        <f>IF(OR(B484="",D484=""),0,SUMPRODUCT(--($B$13:$B$512&lt;&gt;""),--($D$13:$D$512=D484),--($C$13:$C$512=C484))-1)</f>
        <v>0</v>
      </c>
      <c r="S484" s="0" t="n">
        <f>IF(OR(B484="",D484=""),0,SUMPRODUCT(--($B$13:$B$512&lt;&gt;""),--($D$13:$D$512=D484),--($C$13:$C$512&lt;&gt;C484)))</f>
        <v>0</v>
      </c>
      <c r="T484" s="0" t="n">
        <f>IF(OR(B484="",D484=""),0,SUMPRODUCT(--($B$13:$B$512&lt;&gt;""),--($D$13:$D$512=D484),--($E$13:$E$512&lt;&gt;E484)))</f>
        <v>0</v>
      </c>
      <c r="U484" s="0" t="n">
        <f>IF(B484="",0,IF(SUMPRODUCT(--('LÉEME'!$C$65:$C$86=E484))=0,1,0))</f>
        <v>0</v>
      </c>
      <c r="V484" s="0">
        <f>IF(B484="","",SUMIFS('PEGAR'!$AA$13:$AA$512,'PEGAR'!$O$13:$O$512,B484))</f>
      </c>
      <c r="W484" s="0">
        <f>IF(B484="","",IF(OR(L484=0,N484&gt;0,T484&gt;0,IF(ISNUMBER(H484),ROUND(ABS(H484),8)&gt;$F$6,FALSE)),2,IF(OR(M484=0,O484&gt;0,P484&gt;0,Q484&gt;0,R484&gt;0,S484&gt;0,U484&gt;0,V484&gt;0),1,0)))</f>
      </c>
      <c r="X484" s="0">
        <f>IF(B484="","",IF(ISNUMBER(G484),1,0))</f>
      </c>
      <c r="AB484" s="0">
        <f>IF(AND(ISNUMBER(W484),W484&gt;0),"ID "&amp;B484,"")</f>
      </c>
      <c r="AC484" s="0">
        <f>IF(AND(ISNUMBER(W484),W484&gt;0),C484,"")</f>
      </c>
      <c r="AD484" s="0">
        <f>IF(AND(ISNUMBER(W484),W484&gt;0),D484,"")</f>
      </c>
      <c r="AE484" s="0">
        <f>IF(AND(ISNUMBER(W484),W484&gt;0),IF(INDEX('PEGAR'!$D$13:$D$512,IF(L484&gt;0,L484,K484))="","Sin descripción",INDEX('PEGAR'!$D$13:$D$512,IF(L484&gt;0,L484,K484))),"")</f>
      </c>
      <c r="AF484" s="0">
        <f>IF(AND(ISNUMBER(W484),W484&gt;0),J484,"")</f>
      </c>
      <c r="AG484" s="0" t="n">
        <f>IF(AND(ISNUMBER(W484),W484&gt;0),W484,0)</f>
        <v>0</v>
      </c>
      <c r="AH484" s="0">
        <f>IF(AG484&gt;0,COUNTIFS($AG$13:AG484,"&gt;0"),"")</f>
      </c>
    </row>
    <row r="485" ht="22" customHeight="1">
      <c r="B485" s="27">
        <f>IF(K485="","",INDEX('PEGAR'!$O$13:$O$512,K485))</f>
      </c>
      <c r="C485" s="30">
        <f>IF(B485="","",IF(LEN(TRIM(INDEX('PEGAR'!$B$13:$B$512,IF(L485&gt;0,L485,K485))&amp;""))=0,"Sin capítulo",TRIM(INDEX('PEGAR'!$B$13:$B$512,IF(L485&gt;0,L485,K485))&amp;"")))</f>
      </c>
      <c r="D485" s="27">
        <f>IF(B485="","",IF(LEN(TRIM(INDEX('PEGAR'!$C$13:$C$512,IF(L485&gt;0,L485,K485))&amp;""))=0,"",TRIM(INDEX('PEGAR'!$C$13:$C$512,IF(L485&gt;0,L485,K485))&amp;"")))</f>
      </c>
      <c r="E485" s="27">
        <f>IF(B485="","",INDEX('PEGAR'!$S$13:$S$512,IF(L485&gt;0,L485,K485)))</f>
      </c>
      <c r="F485" s="39">
        <f>IF(B485="","",IF(L485&gt;0,INDEX('PEGAR'!$F$13:$F$512,L485),""))</f>
      </c>
      <c r="G485" s="39">
        <f>IF(B485="","",IF(OR(M485=0,N485&gt;0,O485&gt;0),"",SUMIFS('PEGAR'!$M$13:$M$512,'PEGAR'!$O$13:$O$512,B485)))</f>
      </c>
      <c r="H485" s="39">
        <f>IF(AND(ISNUMBER(F485),ISNUMBER(G485)),G485-F485,"")</f>
      </c>
      <c r="I485" s="27">
        <f>IF(B485="","",IF(W485=2,"ROJO",IF(W485=1,"ÁMBAR","VERDE")))</f>
      </c>
      <c r="J485" s="30">
        <f>IF(B485="","",IF(W485=0,"Sin avisos numéricos. Revisamos el alcance aparte.",IF(L485=0,"Faltan datos completos de partida; no elegimos un total por suposición."&amp;CHAR(10),"")&amp;IF(N485&gt;0,"Hay filas incompletas o contradictorias; las revisamos en PEGAR."&amp;CHAR(10),"")&amp;IF(O485&gt;0,"Faltan las medidas de alguna fila; no cerramos la suma."&amp;CHAR(10),"")&amp;IF(M485=0,"No constan líneas de medición."&amp;CHAR(10),"")&amp;IF(IF(ISNUMBER(H485),ROUND(ABS(H485),8)&gt;$F$6,FALSE),"Las líneas difieren del total en más de 0,01; confirmamos cantidad o exclusión."&amp;CHAR(10),"")&amp;IF(P485&gt;0,"Parece m³: encontramos tres dimensiones bajo m²."&amp;CHAR(10),"")&amp;IF(R485&gt;0,"Código repetido dentro del capítulo; mantenemos sus ID separados."&amp;CHAR(10),"")&amp;IF(S485&gt;0,"Código repetido en otro capítulo; no unimos las partidas."&amp;CHAR(10),"")&amp;IF(T485&gt;0,"Mismo código con unidades distintas; pedimos aclaración."&amp;CHAR(10),"")&amp;IF(Q485&gt;0,"Hay más precisión que los decimales indicados; cotejamos el formato original."&amp;CHAR(10),"")&amp;IF(U485&gt;0,"Unidad sin normalizar; cotejamos su significado antes de sumar unidades."&amp;CHAR(10),"")&amp;IF(V485&gt;0,"Revisamos dimensiones, cantidades directas, ceros o deducciones en PEGAR."&amp;CHAR(10),"")))</f>
      </c>
      <c r="K485" s="0">
        <f>IF(473&gt;'RESUMEN'!$E$6,"",MATCH(473,'PEGAR'!$W$13:$W$512,0))</f>
      </c>
      <c r="L485" s="0">
        <f>IF(K485="","",INDEX('PEGAR'!$R$13:$R$512,K485))</f>
      </c>
      <c r="M485" s="0">
        <f>IF(B485="","",COUNTIFS('PEGAR'!$O$13:$O$512,B485,'PEGAR'!$P$13:$P$512,"DIMENSIONES")+COUNTIFS('PEGAR'!$O$13:$O$512,B485,'PEGAR'!$P$13:$P$512,"DIRECTA"))</f>
      </c>
      <c r="N485" s="0">
        <f>IF(B485="","",COUNTIFS('PEGAR'!$O$13:$O$512,B485,'PEGAR'!$X$13:$X$512,2))</f>
      </c>
      <c r="O485" s="0">
        <f>IF(B485="","",COUNTIFS('PEGAR'!$O$13:$O$512,B485,'PEGAR'!$P$13:$P$512,"SIN LÍNEAS"))</f>
      </c>
      <c r="P485" s="0">
        <f>IF(B485="","",SUMIFS('PEGAR'!$Y$13:$Y$512,'PEGAR'!$O$13:$O$512,B485))</f>
      </c>
      <c r="Q485" s="0">
        <f>IF(B485="","",SUMIFS('PEGAR'!$Z$13:$Z$512,'PEGAR'!$O$13:$O$512,B485))</f>
      </c>
      <c r="R485" s="0" t="n">
        <f>IF(OR(B485="",D485=""),0,SUMPRODUCT(--($B$13:$B$512&lt;&gt;""),--($D$13:$D$512=D485),--($C$13:$C$512=C485))-1)</f>
        <v>0</v>
      </c>
      <c r="S485" s="0" t="n">
        <f>IF(OR(B485="",D485=""),0,SUMPRODUCT(--($B$13:$B$512&lt;&gt;""),--($D$13:$D$512=D485),--($C$13:$C$512&lt;&gt;C485)))</f>
        <v>0</v>
      </c>
      <c r="T485" s="0" t="n">
        <f>IF(OR(B485="",D485=""),0,SUMPRODUCT(--($B$13:$B$512&lt;&gt;""),--($D$13:$D$512=D485),--($E$13:$E$512&lt;&gt;E485)))</f>
        <v>0</v>
      </c>
      <c r="U485" s="0" t="n">
        <f>IF(B485="",0,IF(SUMPRODUCT(--('LÉEME'!$C$65:$C$86=E485))=0,1,0))</f>
        <v>0</v>
      </c>
      <c r="V485" s="0">
        <f>IF(B485="","",SUMIFS('PEGAR'!$AA$13:$AA$512,'PEGAR'!$O$13:$O$512,B485))</f>
      </c>
      <c r="W485" s="0">
        <f>IF(B485="","",IF(OR(L485=0,N485&gt;0,T485&gt;0,IF(ISNUMBER(H485),ROUND(ABS(H485),8)&gt;$F$6,FALSE)),2,IF(OR(M485=0,O485&gt;0,P485&gt;0,Q485&gt;0,R485&gt;0,S485&gt;0,U485&gt;0,V485&gt;0),1,0)))</f>
      </c>
      <c r="X485" s="0">
        <f>IF(B485="","",IF(ISNUMBER(G485),1,0))</f>
      </c>
      <c r="AB485" s="0">
        <f>IF(AND(ISNUMBER(W485),W485&gt;0),"ID "&amp;B485,"")</f>
      </c>
      <c r="AC485" s="0">
        <f>IF(AND(ISNUMBER(W485),W485&gt;0),C485,"")</f>
      </c>
      <c r="AD485" s="0">
        <f>IF(AND(ISNUMBER(W485),W485&gt;0),D485,"")</f>
      </c>
      <c r="AE485" s="0">
        <f>IF(AND(ISNUMBER(W485),W485&gt;0),IF(INDEX('PEGAR'!$D$13:$D$512,IF(L485&gt;0,L485,K485))="","Sin descripción",INDEX('PEGAR'!$D$13:$D$512,IF(L485&gt;0,L485,K485))),"")</f>
      </c>
      <c r="AF485" s="0">
        <f>IF(AND(ISNUMBER(W485),W485&gt;0),J485,"")</f>
      </c>
      <c r="AG485" s="0" t="n">
        <f>IF(AND(ISNUMBER(W485),W485&gt;0),W485,0)</f>
        <v>0</v>
      </c>
      <c r="AH485" s="0">
        <f>IF(AG485&gt;0,COUNTIFS($AG$13:AG485,"&gt;0"),"")</f>
      </c>
    </row>
    <row r="486" ht="22" customHeight="1">
      <c r="B486" s="27">
        <f>IF(K486="","",INDEX('PEGAR'!$O$13:$O$512,K486))</f>
      </c>
      <c r="C486" s="30">
        <f>IF(B486="","",IF(LEN(TRIM(INDEX('PEGAR'!$B$13:$B$512,IF(L486&gt;0,L486,K486))&amp;""))=0,"Sin capítulo",TRIM(INDEX('PEGAR'!$B$13:$B$512,IF(L486&gt;0,L486,K486))&amp;"")))</f>
      </c>
      <c r="D486" s="27">
        <f>IF(B486="","",IF(LEN(TRIM(INDEX('PEGAR'!$C$13:$C$512,IF(L486&gt;0,L486,K486))&amp;""))=0,"",TRIM(INDEX('PEGAR'!$C$13:$C$512,IF(L486&gt;0,L486,K486))&amp;"")))</f>
      </c>
      <c r="E486" s="27">
        <f>IF(B486="","",INDEX('PEGAR'!$S$13:$S$512,IF(L486&gt;0,L486,K486)))</f>
      </c>
      <c r="F486" s="39">
        <f>IF(B486="","",IF(L486&gt;0,INDEX('PEGAR'!$F$13:$F$512,L486),""))</f>
      </c>
      <c r="G486" s="39">
        <f>IF(B486="","",IF(OR(M486=0,N486&gt;0,O486&gt;0),"",SUMIFS('PEGAR'!$M$13:$M$512,'PEGAR'!$O$13:$O$512,B486)))</f>
      </c>
      <c r="H486" s="39">
        <f>IF(AND(ISNUMBER(F486),ISNUMBER(G486)),G486-F486,"")</f>
      </c>
      <c r="I486" s="27">
        <f>IF(B486="","",IF(W486=2,"ROJO",IF(W486=1,"ÁMBAR","VERDE")))</f>
      </c>
      <c r="J486" s="30">
        <f>IF(B486="","",IF(W486=0,"Sin avisos numéricos. Revisamos el alcance aparte.",IF(L486=0,"Faltan datos completos de partida; no elegimos un total por suposición."&amp;CHAR(10),"")&amp;IF(N486&gt;0,"Hay filas incompletas o contradictorias; las revisamos en PEGAR."&amp;CHAR(10),"")&amp;IF(O486&gt;0,"Faltan las medidas de alguna fila; no cerramos la suma."&amp;CHAR(10),"")&amp;IF(M486=0,"No constan líneas de medición."&amp;CHAR(10),"")&amp;IF(IF(ISNUMBER(H486),ROUND(ABS(H486),8)&gt;$F$6,FALSE),"Las líneas difieren del total en más de 0,01; confirmamos cantidad o exclusión."&amp;CHAR(10),"")&amp;IF(P486&gt;0,"Parece m³: encontramos tres dimensiones bajo m²."&amp;CHAR(10),"")&amp;IF(R486&gt;0,"Código repetido dentro del capítulo; mantenemos sus ID separados."&amp;CHAR(10),"")&amp;IF(S486&gt;0,"Código repetido en otro capítulo; no unimos las partidas."&amp;CHAR(10),"")&amp;IF(T486&gt;0,"Mismo código con unidades distintas; pedimos aclaración."&amp;CHAR(10),"")&amp;IF(Q486&gt;0,"Hay más precisión que los decimales indicados; cotejamos el formato original."&amp;CHAR(10),"")&amp;IF(U486&gt;0,"Unidad sin normalizar; cotejamos su significado antes de sumar unidades."&amp;CHAR(10),"")&amp;IF(V486&gt;0,"Revisamos dimensiones, cantidades directas, ceros o deducciones en PEGAR."&amp;CHAR(10),"")))</f>
      </c>
      <c r="K486" s="0">
        <f>IF(474&gt;'RESUMEN'!$E$6,"",MATCH(474,'PEGAR'!$W$13:$W$512,0))</f>
      </c>
      <c r="L486" s="0">
        <f>IF(K486="","",INDEX('PEGAR'!$R$13:$R$512,K486))</f>
      </c>
      <c r="M486" s="0">
        <f>IF(B486="","",COUNTIFS('PEGAR'!$O$13:$O$512,B486,'PEGAR'!$P$13:$P$512,"DIMENSIONES")+COUNTIFS('PEGAR'!$O$13:$O$512,B486,'PEGAR'!$P$13:$P$512,"DIRECTA"))</f>
      </c>
      <c r="N486" s="0">
        <f>IF(B486="","",COUNTIFS('PEGAR'!$O$13:$O$512,B486,'PEGAR'!$X$13:$X$512,2))</f>
      </c>
      <c r="O486" s="0">
        <f>IF(B486="","",COUNTIFS('PEGAR'!$O$13:$O$512,B486,'PEGAR'!$P$13:$P$512,"SIN LÍNEAS"))</f>
      </c>
      <c r="P486" s="0">
        <f>IF(B486="","",SUMIFS('PEGAR'!$Y$13:$Y$512,'PEGAR'!$O$13:$O$512,B486))</f>
      </c>
      <c r="Q486" s="0">
        <f>IF(B486="","",SUMIFS('PEGAR'!$Z$13:$Z$512,'PEGAR'!$O$13:$O$512,B486))</f>
      </c>
      <c r="R486" s="0" t="n">
        <f>IF(OR(B486="",D486=""),0,SUMPRODUCT(--($B$13:$B$512&lt;&gt;""),--($D$13:$D$512=D486),--($C$13:$C$512=C486))-1)</f>
        <v>0</v>
      </c>
      <c r="S486" s="0" t="n">
        <f>IF(OR(B486="",D486=""),0,SUMPRODUCT(--($B$13:$B$512&lt;&gt;""),--($D$13:$D$512=D486),--($C$13:$C$512&lt;&gt;C486)))</f>
        <v>0</v>
      </c>
      <c r="T486" s="0" t="n">
        <f>IF(OR(B486="",D486=""),0,SUMPRODUCT(--($B$13:$B$512&lt;&gt;""),--($D$13:$D$512=D486),--($E$13:$E$512&lt;&gt;E486)))</f>
        <v>0</v>
      </c>
      <c r="U486" s="0" t="n">
        <f>IF(B486="",0,IF(SUMPRODUCT(--('LÉEME'!$C$65:$C$86=E486))=0,1,0))</f>
        <v>0</v>
      </c>
      <c r="V486" s="0">
        <f>IF(B486="","",SUMIFS('PEGAR'!$AA$13:$AA$512,'PEGAR'!$O$13:$O$512,B486))</f>
      </c>
      <c r="W486" s="0">
        <f>IF(B486="","",IF(OR(L486=0,N486&gt;0,T486&gt;0,IF(ISNUMBER(H486),ROUND(ABS(H486),8)&gt;$F$6,FALSE)),2,IF(OR(M486=0,O486&gt;0,P486&gt;0,Q486&gt;0,R486&gt;0,S486&gt;0,U486&gt;0,V486&gt;0),1,0)))</f>
      </c>
      <c r="X486" s="0">
        <f>IF(B486="","",IF(ISNUMBER(G486),1,0))</f>
      </c>
      <c r="AB486" s="0">
        <f>IF(AND(ISNUMBER(W486),W486&gt;0),"ID "&amp;B486,"")</f>
      </c>
      <c r="AC486" s="0">
        <f>IF(AND(ISNUMBER(W486),W486&gt;0),C486,"")</f>
      </c>
      <c r="AD486" s="0">
        <f>IF(AND(ISNUMBER(W486),W486&gt;0),D486,"")</f>
      </c>
      <c r="AE486" s="0">
        <f>IF(AND(ISNUMBER(W486),W486&gt;0),IF(INDEX('PEGAR'!$D$13:$D$512,IF(L486&gt;0,L486,K486))="","Sin descripción",INDEX('PEGAR'!$D$13:$D$512,IF(L486&gt;0,L486,K486))),"")</f>
      </c>
      <c r="AF486" s="0">
        <f>IF(AND(ISNUMBER(W486),W486&gt;0),J486,"")</f>
      </c>
      <c r="AG486" s="0" t="n">
        <f>IF(AND(ISNUMBER(W486),W486&gt;0),W486,0)</f>
        <v>0</v>
      </c>
      <c r="AH486" s="0">
        <f>IF(AG486&gt;0,COUNTIFS($AG$13:AG486,"&gt;0"),"")</f>
      </c>
    </row>
    <row r="487" ht="22" customHeight="1">
      <c r="B487" s="27">
        <f>IF(K487="","",INDEX('PEGAR'!$O$13:$O$512,K487))</f>
      </c>
      <c r="C487" s="30">
        <f>IF(B487="","",IF(LEN(TRIM(INDEX('PEGAR'!$B$13:$B$512,IF(L487&gt;0,L487,K487))&amp;""))=0,"Sin capítulo",TRIM(INDEX('PEGAR'!$B$13:$B$512,IF(L487&gt;0,L487,K487))&amp;"")))</f>
      </c>
      <c r="D487" s="27">
        <f>IF(B487="","",IF(LEN(TRIM(INDEX('PEGAR'!$C$13:$C$512,IF(L487&gt;0,L487,K487))&amp;""))=0,"",TRIM(INDEX('PEGAR'!$C$13:$C$512,IF(L487&gt;0,L487,K487))&amp;"")))</f>
      </c>
      <c r="E487" s="27">
        <f>IF(B487="","",INDEX('PEGAR'!$S$13:$S$512,IF(L487&gt;0,L487,K487)))</f>
      </c>
      <c r="F487" s="39">
        <f>IF(B487="","",IF(L487&gt;0,INDEX('PEGAR'!$F$13:$F$512,L487),""))</f>
      </c>
      <c r="G487" s="39">
        <f>IF(B487="","",IF(OR(M487=0,N487&gt;0,O487&gt;0),"",SUMIFS('PEGAR'!$M$13:$M$512,'PEGAR'!$O$13:$O$512,B487)))</f>
      </c>
      <c r="H487" s="39">
        <f>IF(AND(ISNUMBER(F487),ISNUMBER(G487)),G487-F487,"")</f>
      </c>
      <c r="I487" s="27">
        <f>IF(B487="","",IF(W487=2,"ROJO",IF(W487=1,"ÁMBAR","VERDE")))</f>
      </c>
      <c r="J487" s="30">
        <f>IF(B487="","",IF(W487=0,"Sin avisos numéricos. Revisamos el alcance aparte.",IF(L487=0,"Faltan datos completos de partida; no elegimos un total por suposición."&amp;CHAR(10),"")&amp;IF(N487&gt;0,"Hay filas incompletas o contradictorias; las revisamos en PEGAR."&amp;CHAR(10),"")&amp;IF(O487&gt;0,"Faltan las medidas de alguna fila; no cerramos la suma."&amp;CHAR(10),"")&amp;IF(M487=0,"No constan líneas de medición."&amp;CHAR(10),"")&amp;IF(IF(ISNUMBER(H487),ROUND(ABS(H487),8)&gt;$F$6,FALSE),"Las líneas difieren del total en más de 0,01; confirmamos cantidad o exclusión."&amp;CHAR(10),"")&amp;IF(P487&gt;0,"Parece m³: encontramos tres dimensiones bajo m²."&amp;CHAR(10),"")&amp;IF(R487&gt;0,"Código repetido dentro del capítulo; mantenemos sus ID separados."&amp;CHAR(10),"")&amp;IF(S487&gt;0,"Código repetido en otro capítulo; no unimos las partidas."&amp;CHAR(10),"")&amp;IF(T487&gt;0,"Mismo código con unidades distintas; pedimos aclaración."&amp;CHAR(10),"")&amp;IF(Q487&gt;0,"Hay más precisión que los decimales indicados; cotejamos el formato original."&amp;CHAR(10),"")&amp;IF(U487&gt;0,"Unidad sin normalizar; cotejamos su significado antes de sumar unidades."&amp;CHAR(10),"")&amp;IF(V487&gt;0,"Revisamos dimensiones, cantidades directas, ceros o deducciones en PEGAR."&amp;CHAR(10),"")))</f>
      </c>
      <c r="K487" s="0">
        <f>IF(475&gt;'RESUMEN'!$E$6,"",MATCH(475,'PEGAR'!$W$13:$W$512,0))</f>
      </c>
      <c r="L487" s="0">
        <f>IF(K487="","",INDEX('PEGAR'!$R$13:$R$512,K487))</f>
      </c>
      <c r="M487" s="0">
        <f>IF(B487="","",COUNTIFS('PEGAR'!$O$13:$O$512,B487,'PEGAR'!$P$13:$P$512,"DIMENSIONES")+COUNTIFS('PEGAR'!$O$13:$O$512,B487,'PEGAR'!$P$13:$P$512,"DIRECTA"))</f>
      </c>
      <c r="N487" s="0">
        <f>IF(B487="","",COUNTIFS('PEGAR'!$O$13:$O$512,B487,'PEGAR'!$X$13:$X$512,2))</f>
      </c>
      <c r="O487" s="0">
        <f>IF(B487="","",COUNTIFS('PEGAR'!$O$13:$O$512,B487,'PEGAR'!$P$13:$P$512,"SIN LÍNEAS"))</f>
      </c>
      <c r="P487" s="0">
        <f>IF(B487="","",SUMIFS('PEGAR'!$Y$13:$Y$512,'PEGAR'!$O$13:$O$512,B487))</f>
      </c>
      <c r="Q487" s="0">
        <f>IF(B487="","",SUMIFS('PEGAR'!$Z$13:$Z$512,'PEGAR'!$O$13:$O$512,B487))</f>
      </c>
      <c r="R487" s="0" t="n">
        <f>IF(OR(B487="",D487=""),0,SUMPRODUCT(--($B$13:$B$512&lt;&gt;""),--($D$13:$D$512=D487),--($C$13:$C$512=C487))-1)</f>
        <v>0</v>
      </c>
      <c r="S487" s="0" t="n">
        <f>IF(OR(B487="",D487=""),0,SUMPRODUCT(--($B$13:$B$512&lt;&gt;""),--($D$13:$D$512=D487),--($C$13:$C$512&lt;&gt;C487)))</f>
        <v>0</v>
      </c>
      <c r="T487" s="0" t="n">
        <f>IF(OR(B487="",D487=""),0,SUMPRODUCT(--($B$13:$B$512&lt;&gt;""),--($D$13:$D$512=D487),--($E$13:$E$512&lt;&gt;E487)))</f>
        <v>0</v>
      </c>
      <c r="U487" s="0" t="n">
        <f>IF(B487="",0,IF(SUMPRODUCT(--('LÉEME'!$C$65:$C$86=E487))=0,1,0))</f>
        <v>0</v>
      </c>
      <c r="V487" s="0">
        <f>IF(B487="","",SUMIFS('PEGAR'!$AA$13:$AA$512,'PEGAR'!$O$13:$O$512,B487))</f>
      </c>
      <c r="W487" s="0">
        <f>IF(B487="","",IF(OR(L487=0,N487&gt;0,T487&gt;0,IF(ISNUMBER(H487),ROUND(ABS(H487),8)&gt;$F$6,FALSE)),2,IF(OR(M487=0,O487&gt;0,P487&gt;0,Q487&gt;0,R487&gt;0,S487&gt;0,U487&gt;0,V487&gt;0),1,0)))</f>
      </c>
      <c r="X487" s="0">
        <f>IF(B487="","",IF(ISNUMBER(G487),1,0))</f>
      </c>
      <c r="AB487" s="0">
        <f>IF(AND(ISNUMBER(W487),W487&gt;0),"ID "&amp;B487,"")</f>
      </c>
      <c r="AC487" s="0">
        <f>IF(AND(ISNUMBER(W487),W487&gt;0),C487,"")</f>
      </c>
      <c r="AD487" s="0">
        <f>IF(AND(ISNUMBER(W487),W487&gt;0),D487,"")</f>
      </c>
      <c r="AE487" s="0">
        <f>IF(AND(ISNUMBER(W487),W487&gt;0),IF(INDEX('PEGAR'!$D$13:$D$512,IF(L487&gt;0,L487,K487))="","Sin descripción",INDEX('PEGAR'!$D$13:$D$512,IF(L487&gt;0,L487,K487))),"")</f>
      </c>
      <c r="AF487" s="0">
        <f>IF(AND(ISNUMBER(W487),W487&gt;0),J487,"")</f>
      </c>
      <c r="AG487" s="0" t="n">
        <f>IF(AND(ISNUMBER(W487),W487&gt;0),W487,0)</f>
        <v>0</v>
      </c>
      <c r="AH487" s="0">
        <f>IF(AG487&gt;0,COUNTIFS($AG$13:AG487,"&gt;0"),"")</f>
      </c>
    </row>
    <row r="488" ht="22" customHeight="1">
      <c r="B488" s="27">
        <f>IF(K488="","",INDEX('PEGAR'!$O$13:$O$512,K488))</f>
      </c>
      <c r="C488" s="30">
        <f>IF(B488="","",IF(LEN(TRIM(INDEX('PEGAR'!$B$13:$B$512,IF(L488&gt;0,L488,K488))&amp;""))=0,"Sin capítulo",TRIM(INDEX('PEGAR'!$B$13:$B$512,IF(L488&gt;0,L488,K488))&amp;"")))</f>
      </c>
      <c r="D488" s="27">
        <f>IF(B488="","",IF(LEN(TRIM(INDEX('PEGAR'!$C$13:$C$512,IF(L488&gt;0,L488,K488))&amp;""))=0,"",TRIM(INDEX('PEGAR'!$C$13:$C$512,IF(L488&gt;0,L488,K488))&amp;"")))</f>
      </c>
      <c r="E488" s="27">
        <f>IF(B488="","",INDEX('PEGAR'!$S$13:$S$512,IF(L488&gt;0,L488,K488)))</f>
      </c>
      <c r="F488" s="39">
        <f>IF(B488="","",IF(L488&gt;0,INDEX('PEGAR'!$F$13:$F$512,L488),""))</f>
      </c>
      <c r="G488" s="39">
        <f>IF(B488="","",IF(OR(M488=0,N488&gt;0,O488&gt;0),"",SUMIFS('PEGAR'!$M$13:$M$512,'PEGAR'!$O$13:$O$512,B488)))</f>
      </c>
      <c r="H488" s="39">
        <f>IF(AND(ISNUMBER(F488),ISNUMBER(G488)),G488-F488,"")</f>
      </c>
      <c r="I488" s="27">
        <f>IF(B488="","",IF(W488=2,"ROJO",IF(W488=1,"ÁMBAR","VERDE")))</f>
      </c>
      <c r="J488" s="30">
        <f>IF(B488="","",IF(W488=0,"Sin avisos numéricos. Revisamos el alcance aparte.",IF(L488=0,"Faltan datos completos de partida; no elegimos un total por suposición."&amp;CHAR(10),"")&amp;IF(N488&gt;0,"Hay filas incompletas o contradictorias; las revisamos en PEGAR."&amp;CHAR(10),"")&amp;IF(O488&gt;0,"Faltan las medidas de alguna fila; no cerramos la suma."&amp;CHAR(10),"")&amp;IF(M488=0,"No constan líneas de medición."&amp;CHAR(10),"")&amp;IF(IF(ISNUMBER(H488),ROUND(ABS(H488),8)&gt;$F$6,FALSE),"Las líneas difieren del total en más de 0,01; confirmamos cantidad o exclusión."&amp;CHAR(10),"")&amp;IF(P488&gt;0,"Parece m³: encontramos tres dimensiones bajo m²."&amp;CHAR(10),"")&amp;IF(R488&gt;0,"Código repetido dentro del capítulo; mantenemos sus ID separados."&amp;CHAR(10),"")&amp;IF(S488&gt;0,"Código repetido en otro capítulo; no unimos las partidas."&amp;CHAR(10),"")&amp;IF(T488&gt;0,"Mismo código con unidades distintas; pedimos aclaración."&amp;CHAR(10),"")&amp;IF(Q488&gt;0,"Hay más precisión que los decimales indicados; cotejamos el formato original."&amp;CHAR(10),"")&amp;IF(U488&gt;0,"Unidad sin normalizar; cotejamos su significado antes de sumar unidades."&amp;CHAR(10),"")&amp;IF(V488&gt;0,"Revisamos dimensiones, cantidades directas, ceros o deducciones en PEGAR."&amp;CHAR(10),"")))</f>
      </c>
      <c r="K488" s="0">
        <f>IF(476&gt;'RESUMEN'!$E$6,"",MATCH(476,'PEGAR'!$W$13:$W$512,0))</f>
      </c>
      <c r="L488" s="0">
        <f>IF(K488="","",INDEX('PEGAR'!$R$13:$R$512,K488))</f>
      </c>
      <c r="M488" s="0">
        <f>IF(B488="","",COUNTIFS('PEGAR'!$O$13:$O$512,B488,'PEGAR'!$P$13:$P$512,"DIMENSIONES")+COUNTIFS('PEGAR'!$O$13:$O$512,B488,'PEGAR'!$P$13:$P$512,"DIRECTA"))</f>
      </c>
      <c r="N488" s="0">
        <f>IF(B488="","",COUNTIFS('PEGAR'!$O$13:$O$512,B488,'PEGAR'!$X$13:$X$512,2))</f>
      </c>
      <c r="O488" s="0">
        <f>IF(B488="","",COUNTIFS('PEGAR'!$O$13:$O$512,B488,'PEGAR'!$P$13:$P$512,"SIN LÍNEAS"))</f>
      </c>
      <c r="P488" s="0">
        <f>IF(B488="","",SUMIFS('PEGAR'!$Y$13:$Y$512,'PEGAR'!$O$13:$O$512,B488))</f>
      </c>
      <c r="Q488" s="0">
        <f>IF(B488="","",SUMIFS('PEGAR'!$Z$13:$Z$512,'PEGAR'!$O$13:$O$512,B488))</f>
      </c>
      <c r="R488" s="0" t="n">
        <f>IF(OR(B488="",D488=""),0,SUMPRODUCT(--($B$13:$B$512&lt;&gt;""),--($D$13:$D$512=D488),--($C$13:$C$512=C488))-1)</f>
        <v>0</v>
      </c>
      <c r="S488" s="0" t="n">
        <f>IF(OR(B488="",D488=""),0,SUMPRODUCT(--($B$13:$B$512&lt;&gt;""),--($D$13:$D$512=D488),--($C$13:$C$512&lt;&gt;C488)))</f>
        <v>0</v>
      </c>
      <c r="T488" s="0" t="n">
        <f>IF(OR(B488="",D488=""),0,SUMPRODUCT(--($B$13:$B$512&lt;&gt;""),--($D$13:$D$512=D488),--($E$13:$E$512&lt;&gt;E488)))</f>
        <v>0</v>
      </c>
      <c r="U488" s="0" t="n">
        <f>IF(B488="",0,IF(SUMPRODUCT(--('LÉEME'!$C$65:$C$86=E488))=0,1,0))</f>
        <v>0</v>
      </c>
      <c r="V488" s="0">
        <f>IF(B488="","",SUMIFS('PEGAR'!$AA$13:$AA$512,'PEGAR'!$O$13:$O$512,B488))</f>
      </c>
      <c r="W488" s="0">
        <f>IF(B488="","",IF(OR(L488=0,N488&gt;0,T488&gt;0,IF(ISNUMBER(H488),ROUND(ABS(H488),8)&gt;$F$6,FALSE)),2,IF(OR(M488=0,O488&gt;0,P488&gt;0,Q488&gt;0,R488&gt;0,S488&gt;0,U488&gt;0,V488&gt;0),1,0)))</f>
      </c>
      <c r="X488" s="0">
        <f>IF(B488="","",IF(ISNUMBER(G488),1,0))</f>
      </c>
      <c r="AB488" s="0">
        <f>IF(AND(ISNUMBER(W488),W488&gt;0),"ID "&amp;B488,"")</f>
      </c>
      <c r="AC488" s="0">
        <f>IF(AND(ISNUMBER(W488),W488&gt;0),C488,"")</f>
      </c>
      <c r="AD488" s="0">
        <f>IF(AND(ISNUMBER(W488),W488&gt;0),D488,"")</f>
      </c>
      <c r="AE488" s="0">
        <f>IF(AND(ISNUMBER(W488),W488&gt;0),IF(INDEX('PEGAR'!$D$13:$D$512,IF(L488&gt;0,L488,K488))="","Sin descripción",INDEX('PEGAR'!$D$13:$D$512,IF(L488&gt;0,L488,K488))),"")</f>
      </c>
      <c r="AF488" s="0">
        <f>IF(AND(ISNUMBER(W488),W488&gt;0),J488,"")</f>
      </c>
      <c r="AG488" s="0" t="n">
        <f>IF(AND(ISNUMBER(W488),W488&gt;0),W488,0)</f>
        <v>0</v>
      </c>
      <c r="AH488" s="0">
        <f>IF(AG488&gt;0,COUNTIFS($AG$13:AG488,"&gt;0"),"")</f>
      </c>
    </row>
    <row r="489" ht="22" customHeight="1">
      <c r="B489" s="27">
        <f>IF(K489="","",INDEX('PEGAR'!$O$13:$O$512,K489))</f>
      </c>
      <c r="C489" s="30">
        <f>IF(B489="","",IF(LEN(TRIM(INDEX('PEGAR'!$B$13:$B$512,IF(L489&gt;0,L489,K489))&amp;""))=0,"Sin capítulo",TRIM(INDEX('PEGAR'!$B$13:$B$512,IF(L489&gt;0,L489,K489))&amp;"")))</f>
      </c>
      <c r="D489" s="27">
        <f>IF(B489="","",IF(LEN(TRIM(INDEX('PEGAR'!$C$13:$C$512,IF(L489&gt;0,L489,K489))&amp;""))=0,"",TRIM(INDEX('PEGAR'!$C$13:$C$512,IF(L489&gt;0,L489,K489))&amp;"")))</f>
      </c>
      <c r="E489" s="27">
        <f>IF(B489="","",INDEX('PEGAR'!$S$13:$S$512,IF(L489&gt;0,L489,K489)))</f>
      </c>
      <c r="F489" s="39">
        <f>IF(B489="","",IF(L489&gt;0,INDEX('PEGAR'!$F$13:$F$512,L489),""))</f>
      </c>
      <c r="G489" s="39">
        <f>IF(B489="","",IF(OR(M489=0,N489&gt;0,O489&gt;0),"",SUMIFS('PEGAR'!$M$13:$M$512,'PEGAR'!$O$13:$O$512,B489)))</f>
      </c>
      <c r="H489" s="39">
        <f>IF(AND(ISNUMBER(F489),ISNUMBER(G489)),G489-F489,"")</f>
      </c>
      <c r="I489" s="27">
        <f>IF(B489="","",IF(W489=2,"ROJO",IF(W489=1,"ÁMBAR","VERDE")))</f>
      </c>
      <c r="J489" s="30">
        <f>IF(B489="","",IF(W489=0,"Sin avisos numéricos. Revisamos el alcance aparte.",IF(L489=0,"Faltan datos completos de partida; no elegimos un total por suposición."&amp;CHAR(10),"")&amp;IF(N489&gt;0,"Hay filas incompletas o contradictorias; las revisamos en PEGAR."&amp;CHAR(10),"")&amp;IF(O489&gt;0,"Faltan las medidas de alguna fila; no cerramos la suma."&amp;CHAR(10),"")&amp;IF(M489=0,"No constan líneas de medición."&amp;CHAR(10),"")&amp;IF(IF(ISNUMBER(H489),ROUND(ABS(H489),8)&gt;$F$6,FALSE),"Las líneas difieren del total en más de 0,01; confirmamos cantidad o exclusión."&amp;CHAR(10),"")&amp;IF(P489&gt;0,"Parece m³: encontramos tres dimensiones bajo m²."&amp;CHAR(10),"")&amp;IF(R489&gt;0,"Código repetido dentro del capítulo; mantenemos sus ID separados."&amp;CHAR(10),"")&amp;IF(S489&gt;0,"Código repetido en otro capítulo; no unimos las partidas."&amp;CHAR(10),"")&amp;IF(T489&gt;0,"Mismo código con unidades distintas; pedimos aclaración."&amp;CHAR(10),"")&amp;IF(Q489&gt;0,"Hay más precisión que los decimales indicados; cotejamos el formato original."&amp;CHAR(10),"")&amp;IF(U489&gt;0,"Unidad sin normalizar; cotejamos su significado antes de sumar unidades."&amp;CHAR(10),"")&amp;IF(V489&gt;0,"Revisamos dimensiones, cantidades directas, ceros o deducciones en PEGAR."&amp;CHAR(10),"")))</f>
      </c>
      <c r="K489" s="0">
        <f>IF(477&gt;'RESUMEN'!$E$6,"",MATCH(477,'PEGAR'!$W$13:$W$512,0))</f>
      </c>
      <c r="L489" s="0">
        <f>IF(K489="","",INDEX('PEGAR'!$R$13:$R$512,K489))</f>
      </c>
      <c r="M489" s="0">
        <f>IF(B489="","",COUNTIFS('PEGAR'!$O$13:$O$512,B489,'PEGAR'!$P$13:$P$512,"DIMENSIONES")+COUNTIFS('PEGAR'!$O$13:$O$512,B489,'PEGAR'!$P$13:$P$512,"DIRECTA"))</f>
      </c>
      <c r="N489" s="0">
        <f>IF(B489="","",COUNTIFS('PEGAR'!$O$13:$O$512,B489,'PEGAR'!$X$13:$X$512,2))</f>
      </c>
      <c r="O489" s="0">
        <f>IF(B489="","",COUNTIFS('PEGAR'!$O$13:$O$512,B489,'PEGAR'!$P$13:$P$512,"SIN LÍNEAS"))</f>
      </c>
      <c r="P489" s="0">
        <f>IF(B489="","",SUMIFS('PEGAR'!$Y$13:$Y$512,'PEGAR'!$O$13:$O$512,B489))</f>
      </c>
      <c r="Q489" s="0">
        <f>IF(B489="","",SUMIFS('PEGAR'!$Z$13:$Z$512,'PEGAR'!$O$13:$O$512,B489))</f>
      </c>
      <c r="R489" s="0" t="n">
        <f>IF(OR(B489="",D489=""),0,SUMPRODUCT(--($B$13:$B$512&lt;&gt;""),--($D$13:$D$512=D489),--($C$13:$C$512=C489))-1)</f>
        <v>0</v>
      </c>
      <c r="S489" s="0" t="n">
        <f>IF(OR(B489="",D489=""),0,SUMPRODUCT(--($B$13:$B$512&lt;&gt;""),--($D$13:$D$512=D489),--($C$13:$C$512&lt;&gt;C489)))</f>
        <v>0</v>
      </c>
      <c r="T489" s="0" t="n">
        <f>IF(OR(B489="",D489=""),0,SUMPRODUCT(--($B$13:$B$512&lt;&gt;""),--($D$13:$D$512=D489),--($E$13:$E$512&lt;&gt;E489)))</f>
        <v>0</v>
      </c>
      <c r="U489" s="0" t="n">
        <f>IF(B489="",0,IF(SUMPRODUCT(--('LÉEME'!$C$65:$C$86=E489))=0,1,0))</f>
        <v>0</v>
      </c>
      <c r="V489" s="0">
        <f>IF(B489="","",SUMIFS('PEGAR'!$AA$13:$AA$512,'PEGAR'!$O$13:$O$512,B489))</f>
      </c>
      <c r="W489" s="0">
        <f>IF(B489="","",IF(OR(L489=0,N489&gt;0,T489&gt;0,IF(ISNUMBER(H489),ROUND(ABS(H489),8)&gt;$F$6,FALSE)),2,IF(OR(M489=0,O489&gt;0,P489&gt;0,Q489&gt;0,R489&gt;0,S489&gt;0,U489&gt;0,V489&gt;0),1,0)))</f>
      </c>
      <c r="X489" s="0">
        <f>IF(B489="","",IF(ISNUMBER(G489),1,0))</f>
      </c>
      <c r="AB489" s="0">
        <f>IF(AND(ISNUMBER(W489),W489&gt;0),"ID "&amp;B489,"")</f>
      </c>
      <c r="AC489" s="0">
        <f>IF(AND(ISNUMBER(W489),W489&gt;0),C489,"")</f>
      </c>
      <c r="AD489" s="0">
        <f>IF(AND(ISNUMBER(W489),W489&gt;0),D489,"")</f>
      </c>
      <c r="AE489" s="0">
        <f>IF(AND(ISNUMBER(W489),W489&gt;0),IF(INDEX('PEGAR'!$D$13:$D$512,IF(L489&gt;0,L489,K489))="","Sin descripción",INDEX('PEGAR'!$D$13:$D$512,IF(L489&gt;0,L489,K489))),"")</f>
      </c>
      <c r="AF489" s="0">
        <f>IF(AND(ISNUMBER(W489),W489&gt;0),J489,"")</f>
      </c>
      <c r="AG489" s="0" t="n">
        <f>IF(AND(ISNUMBER(W489),W489&gt;0),W489,0)</f>
        <v>0</v>
      </c>
      <c r="AH489" s="0">
        <f>IF(AG489&gt;0,COUNTIFS($AG$13:AG489,"&gt;0"),"")</f>
      </c>
    </row>
    <row r="490" ht="22" customHeight="1">
      <c r="B490" s="27">
        <f>IF(K490="","",INDEX('PEGAR'!$O$13:$O$512,K490))</f>
      </c>
      <c r="C490" s="30">
        <f>IF(B490="","",IF(LEN(TRIM(INDEX('PEGAR'!$B$13:$B$512,IF(L490&gt;0,L490,K490))&amp;""))=0,"Sin capítulo",TRIM(INDEX('PEGAR'!$B$13:$B$512,IF(L490&gt;0,L490,K490))&amp;"")))</f>
      </c>
      <c r="D490" s="27">
        <f>IF(B490="","",IF(LEN(TRIM(INDEX('PEGAR'!$C$13:$C$512,IF(L490&gt;0,L490,K490))&amp;""))=0,"",TRIM(INDEX('PEGAR'!$C$13:$C$512,IF(L490&gt;0,L490,K490))&amp;"")))</f>
      </c>
      <c r="E490" s="27">
        <f>IF(B490="","",INDEX('PEGAR'!$S$13:$S$512,IF(L490&gt;0,L490,K490)))</f>
      </c>
      <c r="F490" s="39">
        <f>IF(B490="","",IF(L490&gt;0,INDEX('PEGAR'!$F$13:$F$512,L490),""))</f>
      </c>
      <c r="G490" s="39">
        <f>IF(B490="","",IF(OR(M490=0,N490&gt;0,O490&gt;0),"",SUMIFS('PEGAR'!$M$13:$M$512,'PEGAR'!$O$13:$O$512,B490)))</f>
      </c>
      <c r="H490" s="39">
        <f>IF(AND(ISNUMBER(F490),ISNUMBER(G490)),G490-F490,"")</f>
      </c>
      <c r="I490" s="27">
        <f>IF(B490="","",IF(W490=2,"ROJO",IF(W490=1,"ÁMBAR","VERDE")))</f>
      </c>
      <c r="J490" s="30">
        <f>IF(B490="","",IF(W490=0,"Sin avisos numéricos. Revisamos el alcance aparte.",IF(L490=0,"Faltan datos completos de partida; no elegimos un total por suposición."&amp;CHAR(10),"")&amp;IF(N490&gt;0,"Hay filas incompletas o contradictorias; las revisamos en PEGAR."&amp;CHAR(10),"")&amp;IF(O490&gt;0,"Faltan las medidas de alguna fila; no cerramos la suma."&amp;CHAR(10),"")&amp;IF(M490=0,"No constan líneas de medición."&amp;CHAR(10),"")&amp;IF(IF(ISNUMBER(H490),ROUND(ABS(H490),8)&gt;$F$6,FALSE),"Las líneas difieren del total en más de 0,01; confirmamos cantidad o exclusión."&amp;CHAR(10),"")&amp;IF(P490&gt;0,"Parece m³: encontramos tres dimensiones bajo m²."&amp;CHAR(10),"")&amp;IF(R490&gt;0,"Código repetido dentro del capítulo; mantenemos sus ID separados."&amp;CHAR(10),"")&amp;IF(S490&gt;0,"Código repetido en otro capítulo; no unimos las partidas."&amp;CHAR(10),"")&amp;IF(T490&gt;0,"Mismo código con unidades distintas; pedimos aclaración."&amp;CHAR(10),"")&amp;IF(Q490&gt;0,"Hay más precisión que los decimales indicados; cotejamos el formato original."&amp;CHAR(10),"")&amp;IF(U490&gt;0,"Unidad sin normalizar; cotejamos su significado antes de sumar unidades."&amp;CHAR(10),"")&amp;IF(V490&gt;0,"Revisamos dimensiones, cantidades directas, ceros o deducciones en PEGAR."&amp;CHAR(10),"")))</f>
      </c>
      <c r="K490" s="0">
        <f>IF(478&gt;'RESUMEN'!$E$6,"",MATCH(478,'PEGAR'!$W$13:$W$512,0))</f>
      </c>
      <c r="L490" s="0">
        <f>IF(K490="","",INDEX('PEGAR'!$R$13:$R$512,K490))</f>
      </c>
      <c r="M490" s="0">
        <f>IF(B490="","",COUNTIFS('PEGAR'!$O$13:$O$512,B490,'PEGAR'!$P$13:$P$512,"DIMENSIONES")+COUNTIFS('PEGAR'!$O$13:$O$512,B490,'PEGAR'!$P$13:$P$512,"DIRECTA"))</f>
      </c>
      <c r="N490" s="0">
        <f>IF(B490="","",COUNTIFS('PEGAR'!$O$13:$O$512,B490,'PEGAR'!$X$13:$X$512,2))</f>
      </c>
      <c r="O490" s="0">
        <f>IF(B490="","",COUNTIFS('PEGAR'!$O$13:$O$512,B490,'PEGAR'!$P$13:$P$512,"SIN LÍNEAS"))</f>
      </c>
      <c r="P490" s="0">
        <f>IF(B490="","",SUMIFS('PEGAR'!$Y$13:$Y$512,'PEGAR'!$O$13:$O$512,B490))</f>
      </c>
      <c r="Q490" s="0">
        <f>IF(B490="","",SUMIFS('PEGAR'!$Z$13:$Z$512,'PEGAR'!$O$13:$O$512,B490))</f>
      </c>
      <c r="R490" s="0" t="n">
        <f>IF(OR(B490="",D490=""),0,SUMPRODUCT(--($B$13:$B$512&lt;&gt;""),--($D$13:$D$512=D490),--($C$13:$C$512=C490))-1)</f>
        <v>0</v>
      </c>
      <c r="S490" s="0" t="n">
        <f>IF(OR(B490="",D490=""),0,SUMPRODUCT(--($B$13:$B$512&lt;&gt;""),--($D$13:$D$512=D490),--($C$13:$C$512&lt;&gt;C490)))</f>
        <v>0</v>
      </c>
      <c r="T490" s="0" t="n">
        <f>IF(OR(B490="",D490=""),0,SUMPRODUCT(--($B$13:$B$512&lt;&gt;""),--($D$13:$D$512=D490),--($E$13:$E$512&lt;&gt;E490)))</f>
        <v>0</v>
      </c>
      <c r="U490" s="0" t="n">
        <f>IF(B490="",0,IF(SUMPRODUCT(--('LÉEME'!$C$65:$C$86=E490))=0,1,0))</f>
        <v>0</v>
      </c>
      <c r="V490" s="0">
        <f>IF(B490="","",SUMIFS('PEGAR'!$AA$13:$AA$512,'PEGAR'!$O$13:$O$512,B490))</f>
      </c>
      <c r="W490" s="0">
        <f>IF(B490="","",IF(OR(L490=0,N490&gt;0,T490&gt;0,IF(ISNUMBER(H490),ROUND(ABS(H490),8)&gt;$F$6,FALSE)),2,IF(OR(M490=0,O490&gt;0,P490&gt;0,Q490&gt;0,R490&gt;0,S490&gt;0,U490&gt;0,V490&gt;0),1,0)))</f>
      </c>
      <c r="X490" s="0">
        <f>IF(B490="","",IF(ISNUMBER(G490),1,0))</f>
      </c>
      <c r="AB490" s="0">
        <f>IF(AND(ISNUMBER(W490),W490&gt;0),"ID "&amp;B490,"")</f>
      </c>
      <c r="AC490" s="0">
        <f>IF(AND(ISNUMBER(W490),W490&gt;0),C490,"")</f>
      </c>
      <c r="AD490" s="0">
        <f>IF(AND(ISNUMBER(W490),W490&gt;0),D490,"")</f>
      </c>
      <c r="AE490" s="0">
        <f>IF(AND(ISNUMBER(W490),W490&gt;0),IF(INDEX('PEGAR'!$D$13:$D$512,IF(L490&gt;0,L490,K490))="","Sin descripción",INDEX('PEGAR'!$D$13:$D$512,IF(L490&gt;0,L490,K490))),"")</f>
      </c>
      <c r="AF490" s="0">
        <f>IF(AND(ISNUMBER(W490),W490&gt;0),J490,"")</f>
      </c>
      <c r="AG490" s="0" t="n">
        <f>IF(AND(ISNUMBER(W490),W490&gt;0),W490,0)</f>
        <v>0</v>
      </c>
      <c r="AH490" s="0">
        <f>IF(AG490&gt;0,COUNTIFS($AG$13:AG490,"&gt;0"),"")</f>
      </c>
    </row>
    <row r="491" ht="22" customHeight="1">
      <c r="B491" s="27">
        <f>IF(K491="","",INDEX('PEGAR'!$O$13:$O$512,K491))</f>
      </c>
      <c r="C491" s="30">
        <f>IF(B491="","",IF(LEN(TRIM(INDEX('PEGAR'!$B$13:$B$512,IF(L491&gt;0,L491,K491))&amp;""))=0,"Sin capítulo",TRIM(INDEX('PEGAR'!$B$13:$B$512,IF(L491&gt;0,L491,K491))&amp;"")))</f>
      </c>
      <c r="D491" s="27">
        <f>IF(B491="","",IF(LEN(TRIM(INDEX('PEGAR'!$C$13:$C$512,IF(L491&gt;0,L491,K491))&amp;""))=0,"",TRIM(INDEX('PEGAR'!$C$13:$C$512,IF(L491&gt;0,L491,K491))&amp;"")))</f>
      </c>
      <c r="E491" s="27">
        <f>IF(B491="","",INDEX('PEGAR'!$S$13:$S$512,IF(L491&gt;0,L491,K491)))</f>
      </c>
      <c r="F491" s="39">
        <f>IF(B491="","",IF(L491&gt;0,INDEX('PEGAR'!$F$13:$F$512,L491),""))</f>
      </c>
      <c r="G491" s="39">
        <f>IF(B491="","",IF(OR(M491=0,N491&gt;0,O491&gt;0),"",SUMIFS('PEGAR'!$M$13:$M$512,'PEGAR'!$O$13:$O$512,B491)))</f>
      </c>
      <c r="H491" s="39">
        <f>IF(AND(ISNUMBER(F491),ISNUMBER(G491)),G491-F491,"")</f>
      </c>
      <c r="I491" s="27">
        <f>IF(B491="","",IF(W491=2,"ROJO",IF(W491=1,"ÁMBAR","VERDE")))</f>
      </c>
      <c r="J491" s="30">
        <f>IF(B491="","",IF(W491=0,"Sin avisos numéricos. Revisamos el alcance aparte.",IF(L491=0,"Faltan datos completos de partida; no elegimos un total por suposición."&amp;CHAR(10),"")&amp;IF(N491&gt;0,"Hay filas incompletas o contradictorias; las revisamos en PEGAR."&amp;CHAR(10),"")&amp;IF(O491&gt;0,"Faltan las medidas de alguna fila; no cerramos la suma."&amp;CHAR(10),"")&amp;IF(M491=0,"No constan líneas de medición."&amp;CHAR(10),"")&amp;IF(IF(ISNUMBER(H491),ROUND(ABS(H491),8)&gt;$F$6,FALSE),"Las líneas difieren del total en más de 0,01; confirmamos cantidad o exclusión."&amp;CHAR(10),"")&amp;IF(P491&gt;0,"Parece m³: encontramos tres dimensiones bajo m²."&amp;CHAR(10),"")&amp;IF(R491&gt;0,"Código repetido dentro del capítulo; mantenemos sus ID separados."&amp;CHAR(10),"")&amp;IF(S491&gt;0,"Código repetido en otro capítulo; no unimos las partidas."&amp;CHAR(10),"")&amp;IF(T491&gt;0,"Mismo código con unidades distintas; pedimos aclaración."&amp;CHAR(10),"")&amp;IF(Q491&gt;0,"Hay más precisión que los decimales indicados; cotejamos el formato original."&amp;CHAR(10),"")&amp;IF(U491&gt;0,"Unidad sin normalizar; cotejamos su significado antes de sumar unidades."&amp;CHAR(10),"")&amp;IF(V491&gt;0,"Revisamos dimensiones, cantidades directas, ceros o deducciones en PEGAR."&amp;CHAR(10),"")))</f>
      </c>
      <c r="K491" s="0">
        <f>IF(479&gt;'RESUMEN'!$E$6,"",MATCH(479,'PEGAR'!$W$13:$W$512,0))</f>
      </c>
      <c r="L491" s="0">
        <f>IF(K491="","",INDEX('PEGAR'!$R$13:$R$512,K491))</f>
      </c>
      <c r="M491" s="0">
        <f>IF(B491="","",COUNTIFS('PEGAR'!$O$13:$O$512,B491,'PEGAR'!$P$13:$P$512,"DIMENSIONES")+COUNTIFS('PEGAR'!$O$13:$O$512,B491,'PEGAR'!$P$13:$P$512,"DIRECTA"))</f>
      </c>
      <c r="N491" s="0">
        <f>IF(B491="","",COUNTIFS('PEGAR'!$O$13:$O$512,B491,'PEGAR'!$X$13:$X$512,2))</f>
      </c>
      <c r="O491" s="0">
        <f>IF(B491="","",COUNTIFS('PEGAR'!$O$13:$O$512,B491,'PEGAR'!$P$13:$P$512,"SIN LÍNEAS"))</f>
      </c>
      <c r="P491" s="0">
        <f>IF(B491="","",SUMIFS('PEGAR'!$Y$13:$Y$512,'PEGAR'!$O$13:$O$512,B491))</f>
      </c>
      <c r="Q491" s="0">
        <f>IF(B491="","",SUMIFS('PEGAR'!$Z$13:$Z$512,'PEGAR'!$O$13:$O$512,B491))</f>
      </c>
      <c r="R491" s="0" t="n">
        <f>IF(OR(B491="",D491=""),0,SUMPRODUCT(--($B$13:$B$512&lt;&gt;""),--($D$13:$D$512=D491),--($C$13:$C$512=C491))-1)</f>
        <v>0</v>
      </c>
      <c r="S491" s="0" t="n">
        <f>IF(OR(B491="",D491=""),0,SUMPRODUCT(--($B$13:$B$512&lt;&gt;""),--($D$13:$D$512=D491),--($C$13:$C$512&lt;&gt;C491)))</f>
        <v>0</v>
      </c>
      <c r="T491" s="0" t="n">
        <f>IF(OR(B491="",D491=""),0,SUMPRODUCT(--($B$13:$B$512&lt;&gt;""),--($D$13:$D$512=D491),--($E$13:$E$512&lt;&gt;E491)))</f>
        <v>0</v>
      </c>
      <c r="U491" s="0" t="n">
        <f>IF(B491="",0,IF(SUMPRODUCT(--('LÉEME'!$C$65:$C$86=E491))=0,1,0))</f>
        <v>0</v>
      </c>
      <c r="V491" s="0">
        <f>IF(B491="","",SUMIFS('PEGAR'!$AA$13:$AA$512,'PEGAR'!$O$13:$O$512,B491))</f>
      </c>
      <c r="W491" s="0">
        <f>IF(B491="","",IF(OR(L491=0,N491&gt;0,T491&gt;0,IF(ISNUMBER(H491),ROUND(ABS(H491),8)&gt;$F$6,FALSE)),2,IF(OR(M491=0,O491&gt;0,P491&gt;0,Q491&gt;0,R491&gt;0,S491&gt;0,U491&gt;0,V491&gt;0),1,0)))</f>
      </c>
      <c r="X491" s="0">
        <f>IF(B491="","",IF(ISNUMBER(G491),1,0))</f>
      </c>
      <c r="AB491" s="0">
        <f>IF(AND(ISNUMBER(W491),W491&gt;0),"ID "&amp;B491,"")</f>
      </c>
      <c r="AC491" s="0">
        <f>IF(AND(ISNUMBER(W491),W491&gt;0),C491,"")</f>
      </c>
      <c r="AD491" s="0">
        <f>IF(AND(ISNUMBER(W491),W491&gt;0),D491,"")</f>
      </c>
      <c r="AE491" s="0">
        <f>IF(AND(ISNUMBER(W491),W491&gt;0),IF(INDEX('PEGAR'!$D$13:$D$512,IF(L491&gt;0,L491,K491))="","Sin descripción",INDEX('PEGAR'!$D$13:$D$512,IF(L491&gt;0,L491,K491))),"")</f>
      </c>
      <c r="AF491" s="0">
        <f>IF(AND(ISNUMBER(W491),W491&gt;0),J491,"")</f>
      </c>
      <c r="AG491" s="0" t="n">
        <f>IF(AND(ISNUMBER(W491),W491&gt;0),W491,0)</f>
        <v>0</v>
      </c>
      <c r="AH491" s="0">
        <f>IF(AG491&gt;0,COUNTIFS($AG$13:AG491,"&gt;0"),"")</f>
      </c>
    </row>
    <row r="492" ht="22" customHeight="1">
      <c r="B492" s="27">
        <f>IF(K492="","",INDEX('PEGAR'!$O$13:$O$512,K492))</f>
      </c>
      <c r="C492" s="30">
        <f>IF(B492="","",IF(LEN(TRIM(INDEX('PEGAR'!$B$13:$B$512,IF(L492&gt;0,L492,K492))&amp;""))=0,"Sin capítulo",TRIM(INDEX('PEGAR'!$B$13:$B$512,IF(L492&gt;0,L492,K492))&amp;"")))</f>
      </c>
      <c r="D492" s="27">
        <f>IF(B492="","",IF(LEN(TRIM(INDEX('PEGAR'!$C$13:$C$512,IF(L492&gt;0,L492,K492))&amp;""))=0,"",TRIM(INDEX('PEGAR'!$C$13:$C$512,IF(L492&gt;0,L492,K492))&amp;"")))</f>
      </c>
      <c r="E492" s="27">
        <f>IF(B492="","",INDEX('PEGAR'!$S$13:$S$512,IF(L492&gt;0,L492,K492)))</f>
      </c>
      <c r="F492" s="39">
        <f>IF(B492="","",IF(L492&gt;0,INDEX('PEGAR'!$F$13:$F$512,L492),""))</f>
      </c>
      <c r="G492" s="39">
        <f>IF(B492="","",IF(OR(M492=0,N492&gt;0,O492&gt;0),"",SUMIFS('PEGAR'!$M$13:$M$512,'PEGAR'!$O$13:$O$512,B492)))</f>
      </c>
      <c r="H492" s="39">
        <f>IF(AND(ISNUMBER(F492),ISNUMBER(G492)),G492-F492,"")</f>
      </c>
      <c r="I492" s="27">
        <f>IF(B492="","",IF(W492=2,"ROJO",IF(W492=1,"ÁMBAR","VERDE")))</f>
      </c>
      <c r="J492" s="30">
        <f>IF(B492="","",IF(W492=0,"Sin avisos numéricos. Revisamos el alcance aparte.",IF(L492=0,"Faltan datos completos de partida; no elegimos un total por suposición."&amp;CHAR(10),"")&amp;IF(N492&gt;0,"Hay filas incompletas o contradictorias; las revisamos en PEGAR."&amp;CHAR(10),"")&amp;IF(O492&gt;0,"Faltan las medidas de alguna fila; no cerramos la suma."&amp;CHAR(10),"")&amp;IF(M492=0,"No constan líneas de medición."&amp;CHAR(10),"")&amp;IF(IF(ISNUMBER(H492),ROUND(ABS(H492),8)&gt;$F$6,FALSE),"Las líneas difieren del total en más de 0,01; confirmamos cantidad o exclusión."&amp;CHAR(10),"")&amp;IF(P492&gt;0,"Parece m³: encontramos tres dimensiones bajo m²."&amp;CHAR(10),"")&amp;IF(R492&gt;0,"Código repetido dentro del capítulo; mantenemos sus ID separados."&amp;CHAR(10),"")&amp;IF(S492&gt;0,"Código repetido en otro capítulo; no unimos las partidas."&amp;CHAR(10),"")&amp;IF(T492&gt;0,"Mismo código con unidades distintas; pedimos aclaración."&amp;CHAR(10),"")&amp;IF(Q492&gt;0,"Hay más precisión que los decimales indicados; cotejamos el formato original."&amp;CHAR(10),"")&amp;IF(U492&gt;0,"Unidad sin normalizar; cotejamos su significado antes de sumar unidades."&amp;CHAR(10),"")&amp;IF(V492&gt;0,"Revisamos dimensiones, cantidades directas, ceros o deducciones en PEGAR."&amp;CHAR(10),"")))</f>
      </c>
      <c r="K492" s="0">
        <f>IF(480&gt;'RESUMEN'!$E$6,"",MATCH(480,'PEGAR'!$W$13:$W$512,0))</f>
      </c>
      <c r="L492" s="0">
        <f>IF(K492="","",INDEX('PEGAR'!$R$13:$R$512,K492))</f>
      </c>
      <c r="M492" s="0">
        <f>IF(B492="","",COUNTIFS('PEGAR'!$O$13:$O$512,B492,'PEGAR'!$P$13:$P$512,"DIMENSIONES")+COUNTIFS('PEGAR'!$O$13:$O$512,B492,'PEGAR'!$P$13:$P$512,"DIRECTA"))</f>
      </c>
      <c r="N492" s="0">
        <f>IF(B492="","",COUNTIFS('PEGAR'!$O$13:$O$512,B492,'PEGAR'!$X$13:$X$512,2))</f>
      </c>
      <c r="O492" s="0">
        <f>IF(B492="","",COUNTIFS('PEGAR'!$O$13:$O$512,B492,'PEGAR'!$P$13:$P$512,"SIN LÍNEAS"))</f>
      </c>
      <c r="P492" s="0">
        <f>IF(B492="","",SUMIFS('PEGAR'!$Y$13:$Y$512,'PEGAR'!$O$13:$O$512,B492))</f>
      </c>
      <c r="Q492" s="0">
        <f>IF(B492="","",SUMIFS('PEGAR'!$Z$13:$Z$512,'PEGAR'!$O$13:$O$512,B492))</f>
      </c>
      <c r="R492" s="0" t="n">
        <f>IF(OR(B492="",D492=""),0,SUMPRODUCT(--($B$13:$B$512&lt;&gt;""),--($D$13:$D$512=D492),--($C$13:$C$512=C492))-1)</f>
        <v>0</v>
      </c>
      <c r="S492" s="0" t="n">
        <f>IF(OR(B492="",D492=""),0,SUMPRODUCT(--($B$13:$B$512&lt;&gt;""),--($D$13:$D$512=D492),--($C$13:$C$512&lt;&gt;C492)))</f>
        <v>0</v>
      </c>
      <c r="T492" s="0" t="n">
        <f>IF(OR(B492="",D492=""),0,SUMPRODUCT(--($B$13:$B$512&lt;&gt;""),--($D$13:$D$512=D492),--($E$13:$E$512&lt;&gt;E492)))</f>
        <v>0</v>
      </c>
      <c r="U492" s="0" t="n">
        <f>IF(B492="",0,IF(SUMPRODUCT(--('LÉEME'!$C$65:$C$86=E492))=0,1,0))</f>
        <v>0</v>
      </c>
      <c r="V492" s="0">
        <f>IF(B492="","",SUMIFS('PEGAR'!$AA$13:$AA$512,'PEGAR'!$O$13:$O$512,B492))</f>
      </c>
      <c r="W492" s="0">
        <f>IF(B492="","",IF(OR(L492=0,N492&gt;0,T492&gt;0,IF(ISNUMBER(H492),ROUND(ABS(H492),8)&gt;$F$6,FALSE)),2,IF(OR(M492=0,O492&gt;0,P492&gt;0,Q492&gt;0,R492&gt;0,S492&gt;0,U492&gt;0,V492&gt;0),1,0)))</f>
      </c>
      <c r="X492" s="0">
        <f>IF(B492="","",IF(ISNUMBER(G492),1,0))</f>
      </c>
      <c r="AB492" s="0">
        <f>IF(AND(ISNUMBER(W492),W492&gt;0),"ID "&amp;B492,"")</f>
      </c>
      <c r="AC492" s="0">
        <f>IF(AND(ISNUMBER(W492),W492&gt;0),C492,"")</f>
      </c>
      <c r="AD492" s="0">
        <f>IF(AND(ISNUMBER(W492),W492&gt;0),D492,"")</f>
      </c>
      <c r="AE492" s="0">
        <f>IF(AND(ISNUMBER(W492),W492&gt;0),IF(INDEX('PEGAR'!$D$13:$D$512,IF(L492&gt;0,L492,K492))="","Sin descripción",INDEX('PEGAR'!$D$13:$D$512,IF(L492&gt;0,L492,K492))),"")</f>
      </c>
      <c r="AF492" s="0">
        <f>IF(AND(ISNUMBER(W492),W492&gt;0),J492,"")</f>
      </c>
      <c r="AG492" s="0" t="n">
        <f>IF(AND(ISNUMBER(W492),W492&gt;0),W492,0)</f>
        <v>0</v>
      </c>
      <c r="AH492" s="0">
        <f>IF(AG492&gt;0,COUNTIFS($AG$13:AG492,"&gt;0"),"")</f>
      </c>
    </row>
    <row r="493" ht="22" customHeight="1">
      <c r="B493" s="27">
        <f>IF(K493="","",INDEX('PEGAR'!$O$13:$O$512,K493))</f>
      </c>
      <c r="C493" s="30">
        <f>IF(B493="","",IF(LEN(TRIM(INDEX('PEGAR'!$B$13:$B$512,IF(L493&gt;0,L493,K493))&amp;""))=0,"Sin capítulo",TRIM(INDEX('PEGAR'!$B$13:$B$512,IF(L493&gt;0,L493,K493))&amp;"")))</f>
      </c>
      <c r="D493" s="27">
        <f>IF(B493="","",IF(LEN(TRIM(INDEX('PEGAR'!$C$13:$C$512,IF(L493&gt;0,L493,K493))&amp;""))=0,"",TRIM(INDEX('PEGAR'!$C$13:$C$512,IF(L493&gt;0,L493,K493))&amp;"")))</f>
      </c>
      <c r="E493" s="27">
        <f>IF(B493="","",INDEX('PEGAR'!$S$13:$S$512,IF(L493&gt;0,L493,K493)))</f>
      </c>
      <c r="F493" s="39">
        <f>IF(B493="","",IF(L493&gt;0,INDEX('PEGAR'!$F$13:$F$512,L493),""))</f>
      </c>
      <c r="G493" s="39">
        <f>IF(B493="","",IF(OR(M493=0,N493&gt;0,O493&gt;0),"",SUMIFS('PEGAR'!$M$13:$M$512,'PEGAR'!$O$13:$O$512,B493)))</f>
      </c>
      <c r="H493" s="39">
        <f>IF(AND(ISNUMBER(F493),ISNUMBER(G493)),G493-F493,"")</f>
      </c>
      <c r="I493" s="27">
        <f>IF(B493="","",IF(W493=2,"ROJO",IF(W493=1,"ÁMBAR","VERDE")))</f>
      </c>
      <c r="J493" s="30">
        <f>IF(B493="","",IF(W493=0,"Sin avisos numéricos. Revisamos el alcance aparte.",IF(L493=0,"Faltan datos completos de partida; no elegimos un total por suposición."&amp;CHAR(10),"")&amp;IF(N493&gt;0,"Hay filas incompletas o contradictorias; las revisamos en PEGAR."&amp;CHAR(10),"")&amp;IF(O493&gt;0,"Faltan las medidas de alguna fila; no cerramos la suma."&amp;CHAR(10),"")&amp;IF(M493=0,"No constan líneas de medición."&amp;CHAR(10),"")&amp;IF(IF(ISNUMBER(H493),ROUND(ABS(H493),8)&gt;$F$6,FALSE),"Las líneas difieren del total en más de 0,01; confirmamos cantidad o exclusión."&amp;CHAR(10),"")&amp;IF(P493&gt;0,"Parece m³: encontramos tres dimensiones bajo m²."&amp;CHAR(10),"")&amp;IF(R493&gt;0,"Código repetido dentro del capítulo; mantenemos sus ID separados."&amp;CHAR(10),"")&amp;IF(S493&gt;0,"Código repetido en otro capítulo; no unimos las partidas."&amp;CHAR(10),"")&amp;IF(T493&gt;0,"Mismo código con unidades distintas; pedimos aclaración."&amp;CHAR(10),"")&amp;IF(Q493&gt;0,"Hay más precisión que los decimales indicados; cotejamos el formato original."&amp;CHAR(10),"")&amp;IF(U493&gt;0,"Unidad sin normalizar; cotejamos su significado antes de sumar unidades."&amp;CHAR(10),"")&amp;IF(V493&gt;0,"Revisamos dimensiones, cantidades directas, ceros o deducciones en PEGAR."&amp;CHAR(10),"")))</f>
      </c>
      <c r="K493" s="0">
        <f>IF(481&gt;'RESUMEN'!$E$6,"",MATCH(481,'PEGAR'!$W$13:$W$512,0))</f>
      </c>
      <c r="L493" s="0">
        <f>IF(K493="","",INDEX('PEGAR'!$R$13:$R$512,K493))</f>
      </c>
      <c r="M493" s="0">
        <f>IF(B493="","",COUNTIFS('PEGAR'!$O$13:$O$512,B493,'PEGAR'!$P$13:$P$512,"DIMENSIONES")+COUNTIFS('PEGAR'!$O$13:$O$512,B493,'PEGAR'!$P$13:$P$512,"DIRECTA"))</f>
      </c>
      <c r="N493" s="0">
        <f>IF(B493="","",COUNTIFS('PEGAR'!$O$13:$O$512,B493,'PEGAR'!$X$13:$X$512,2))</f>
      </c>
      <c r="O493" s="0">
        <f>IF(B493="","",COUNTIFS('PEGAR'!$O$13:$O$512,B493,'PEGAR'!$P$13:$P$512,"SIN LÍNEAS"))</f>
      </c>
      <c r="P493" s="0">
        <f>IF(B493="","",SUMIFS('PEGAR'!$Y$13:$Y$512,'PEGAR'!$O$13:$O$512,B493))</f>
      </c>
      <c r="Q493" s="0">
        <f>IF(B493="","",SUMIFS('PEGAR'!$Z$13:$Z$512,'PEGAR'!$O$13:$O$512,B493))</f>
      </c>
      <c r="R493" s="0" t="n">
        <f>IF(OR(B493="",D493=""),0,SUMPRODUCT(--($B$13:$B$512&lt;&gt;""),--($D$13:$D$512=D493),--($C$13:$C$512=C493))-1)</f>
        <v>0</v>
      </c>
      <c r="S493" s="0" t="n">
        <f>IF(OR(B493="",D493=""),0,SUMPRODUCT(--($B$13:$B$512&lt;&gt;""),--($D$13:$D$512=D493),--($C$13:$C$512&lt;&gt;C493)))</f>
        <v>0</v>
      </c>
      <c r="T493" s="0" t="n">
        <f>IF(OR(B493="",D493=""),0,SUMPRODUCT(--($B$13:$B$512&lt;&gt;""),--($D$13:$D$512=D493),--($E$13:$E$512&lt;&gt;E493)))</f>
        <v>0</v>
      </c>
      <c r="U493" s="0" t="n">
        <f>IF(B493="",0,IF(SUMPRODUCT(--('LÉEME'!$C$65:$C$86=E493))=0,1,0))</f>
        <v>0</v>
      </c>
      <c r="V493" s="0">
        <f>IF(B493="","",SUMIFS('PEGAR'!$AA$13:$AA$512,'PEGAR'!$O$13:$O$512,B493))</f>
      </c>
      <c r="W493" s="0">
        <f>IF(B493="","",IF(OR(L493=0,N493&gt;0,T493&gt;0,IF(ISNUMBER(H493),ROUND(ABS(H493),8)&gt;$F$6,FALSE)),2,IF(OR(M493=0,O493&gt;0,P493&gt;0,Q493&gt;0,R493&gt;0,S493&gt;0,U493&gt;0,V493&gt;0),1,0)))</f>
      </c>
      <c r="X493" s="0">
        <f>IF(B493="","",IF(ISNUMBER(G493),1,0))</f>
      </c>
      <c r="AB493" s="0">
        <f>IF(AND(ISNUMBER(W493),W493&gt;0),"ID "&amp;B493,"")</f>
      </c>
      <c r="AC493" s="0">
        <f>IF(AND(ISNUMBER(W493),W493&gt;0),C493,"")</f>
      </c>
      <c r="AD493" s="0">
        <f>IF(AND(ISNUMBER(W493),W493&gt;0),D493,"")</f>
      </c>
      <c r="AE493" s="0">
        <f>IF(AND(ISNUMBER(W493),W493&gt;0),IF(INDEX('PEGAR'!$D$13:$D$512,IF(L493&gt;0,L493,K493))="","Sin descripción",INDEX('PEGAR'!$D$13:$D$512,IF(L493&gt;0,L493,K493))),"")</f>
      </c>
      <c r="AF493" s="0">
        <f>IF(AND(ISNUMBER(W493),W493&gt;0),J493,"")</f>
      </c>
      <c r="AG493" s="0" t="n">
        <f>IF(AND(ISNUMBER(W493),W493&gt;0),W493,0)</f>
        <v>0</v>
      </c>
      <c r="AH493" s="0">
        <f>IF(AG493&gt;0,COUNTIFS($AG$13:AG493,"&gt;0"),"")</f>
      </c>
    </row>
    <row r="494" ht="22" customHeight="1">
      <c r="B494" s="27">
        <f>IF(K494="","",INDEX('PEGAR'!$O$13:$O$512,K494))</f>
      </c>
      <c r="C494" s="30">
        <f>IF(B494="","",IF(LEN(TRIM(INDEX('PEGAR'!$B$13:$B$512,IF(L494&gt;0,L494,K494))&amp;""))=0,"Sin capítulo",TRIM(INDEX('PEGAR'!$B$13:$B$512,IF(L494&gt;0,L494,K494))&amp;"")))</f>
      </c>
      <c r="D494" s="27">
        <f>IF(B494="","",IF(LEN(TRIM(INDEX('PEGAR'!$C$13:$C$512,IF(L494&gt;0,L494,K494))&amp;""))=0,"",TRIM(INDEX('PEGAR'!$C$13:$C$512,IF(L494&gt;0,L494,K494))&amp;"")))</f>
      </c>
      <c r="E494" s="27">
        <f>IF(B494="","",INDEX('PEGAR'!$S$13:$S$512,IF(L494&gt;0,L494,K494)))</f>
      </c>
      <c r="F494" s="39">
        <f>IF(B494="","",IF(L494&gt;0,INDEX('PEGAR'!$F$13:$F$512,L494),""))</f>
      </c>
      <c r="G494" s="39">
        <f>IF(B494="","",IF(OR(M494=0,N494&gt;0,O494&gt;0),"",SUMIFS('PEGAR'!$M$13:$M$512,'PEGAR'!$O$13:$O$512,B494)))</f>
      </c>
      <c r="H494" s="39">
        <f>IF(AND(ISNUMBER(F494),ISNUMBER(G494)),G494-F494,"")</f>
      </c>
      <c r="I494" s="27">
        <f>IF(B494="","",IF(W494=2,"ROJO",IF(W494=1,"ÁMBAR","VERDE")))</f>
      </c>
      <c r="J494" s="30">
        <f>IF(B494="","",IF(W494=0,"Sin avisos numéricos. Revisamos el alcance aparte.",IF(L494=0,"Faltan datos completos de partida; no elegimos un total por suposición."&amp;CHAR(10),"")&amp;IF(N494&gt;0,"Hay filas incompletas o contradictorias; las revisamos en PEGAR."&amp;CHAR(10),"")&amp;IF(O494&gt;0,"Faltan las medidas de alguna fila; no cerramos la suma."&amp;CHAR(10),"")&amp;IF(M494=0,"No constan líneas de medición."&amp;CHAR(10),"")&amp;IF(IF(ISNUMBER(H494),ROUND(ABS(H494),8)&gt;$F$6,FALSE),"Las líneas difieren del total en más de 0,01; confirmamos cantidad o exclusión."&amp;CHAR(10),"")&amp;IF(P494&gt;0,"Parece m³: encontramos tres dimensiones bajo m²."&amp;CHAR(10),"")&amp;IF(R494&gt;0,"Código repetido dentro del capítulo; mantenemos sus ID separados."&amp;CHAR(10),"")&amp;IF(S494&gt;0,"Código repetido en otro capítulo; no unimos las partidas."&amp;CHAR(10),"")&amp;IF(T494&gt;0,"Mismo código con unidades distintas; pedimos aclaración."&amp;CHAR(10),"")&amp;IF(Q494&gt;0,"Hay más precisión que los decimales indicados; cotejamos el formato original."&amp;CHAR(10),"")&amp;IF(U494&gt;0,"Unidad sin normalizar; cotejamos su significado antes de sumar unidades."&amp;CHAR(10),"")&amp;IF(V494&gt;0,"Revisamos dimensiones, cantidades directas, ceros o deducciones en PEGAR."&amp;CHAR(10),"")))</f>
      </c>
      <c r="K494" s="0">
        <f>IF(482&gt;'RESUMEN'!$E$6,"",MATCH(482,'PEGAR'!$W$13:$W$512,0))</f>
      </c>
      <c r="L494" s="0">
        <f>IF(K494="","",INDEX('PEGAR'!$R$13:$R$512,K494))</f>
      </c>
      <c r="M494" s="0">
        <f>IF(B494="","",COUNTIFS('PEGAR'!$O$13:$O$512,B494,'PEGAR'!$P$13:$P$512,"DIMENSIONES")+COUNTIFS('PEGAR'!$O$13:$O$512,B494,'PEGAR'!$P$13:$P$512,"DIRECTA"))</f>
      </c>
      <c r="N494" s="0">
        <f>IF(B494="","",COUNTIFS('PEGAR'!$O$13:$O$512,B494,'PEGAR'!$X$13:$X$512,2))</f>
      </c>
      <c r="O494" s="0">
        <f>IF(B494="","",COUNTIFS('PEGAR'!$O$13:$O$512,B494,'PEGAR'!$P$13:$P$512,"SIN LÍNEAS"))</f>
      </c>
      <c r="P494" s="0">
        <f>IF(B494="","",SUMIFS('PEGAR'!$Y$13:$Y$512,'PEGAR'!$O$13:$O$512,B494))</f>
      </c>
      <c r="Q494" s="0">
        <f>IF(B494="","",SUMIFS('PEGAR'!$Z$13:$Z$512,'PEGAR'!$O$13:$O$512,B494))</f>
      </c>
      <c r="R494" s="0" t="n">
        <f>IF(OR(B494="",D494=""),0,SUMPRODUCT(--($B$13:$B$512&lt;&gt;""),--($D$13:$D$512=D494),--($C$13:$C$512=C494))-1)</f>
        <v>0</v>
      </c>
      <c r="S494" s="0" t="n">
        <f>IF(OR(B494="",D494=""),0,SUMPRODUCT(--($B$13:$B$512&lt;&gt;""),--($D$13:$D$512=D494),--($C$13:$C$512&lt;&gt;C494)))</f>
        <v>0</v>
      </c>
      <c r="T494" s="0" t="n">
        <f>IF(OR(B494="",D494=""),0,SUMPRODUCT(--($B$13:$B$512&lt;&gt;""),--($D$13:$D$512=D494),--($E$13:$E$512&lt;&gt;E494)))</f>
        <v>0</v>
      </c>
      <c r="U494" s="0" t="n">
        <f>IF(B494="",0,IF(SUMPRODUCT(--('LÉEME'!$C$65:$C$86=E494))=0,1,0))</f>
        <v>0</v>
      </c>
      <c r="V494" s="0">
        <f>IF(B494="","",SUMIFS('PEGAR'!$AA$13:$AA$512,'PEGAR'!$O$13:$O$512,B494))</f>
      </c>
      <c r="W494" s="0">
        <f>IF(B494="","",IF(OR(L494=0,N494&gt;0,T494&gt;0,IF(ISNUMBER(H494),ROUND(ABS(H494),8)&gt;$F$6,FALSE)),2,IF(OR(M494=0,O494&gt;0,P494&gt;0,Q494&gt;0,R494&gt;0,S494&gt;0,U494&gt;0,V494&gt;0),1,0)))</f>
      </c>
      <c r="X494" s="0">
        <f>IF(B494="","",IF(ISNUMBER(G494),1,0))</f>
      </c>
      <c r="AB494" s="0">
        <f>IF(AND(ISNUMBER(W494),W494&gt;0),"ID "&amp;B494,"")</f>
      </c>
      <c r="AC494" s="0">
        <f>IF(AND(ISNUMBER(W494),W494&gt;0),C494,"")</f>
      </c>
      <c r="AD494" s="0">
        <f>IF(AND(ISNUMBER(W494),W494&gt;0),D494,"")</f>
      </c>
      <c r="AE494" s="0">
        <f>IF(AND(ISNUMBER(W494),W494&gt;0),IF(INDEX('PEGAR'!$D$13:$D$512,IF(L494&gt;0,L494,K494))="","Sin descripción",INDEX('PEGAR'!$D$13:$D$512,IF(L494&gt;0,L494,K494))),"")</f>
      </c>
      <c r="AF494" s="0">
        <f>IF(AND(ISNUMBER(W494),W494&gt;0),J494,"")</f>
      </c>
      <c r="AG494" s="0" t="n">
        <f>IF(AND(ISNUMBER(W494),W494&gt;0),W494,0)</f>
        <v>0</v>
      </c>
      <c r="AH494" s="0">
        <f>IF(AG494&gt;0,COUNTIFS($AG$13:AG494,"&gt;0"),"")</f>
      </c>
    </row>
    <row r="495" ht="22" customHeight="1">
      <c r="B495" s="27">
        <f>IF(K495="","",INDEX('PEGAR'!$O$13:$O$512,K495))</f>
      </c>
      <c r="C495" s="30">
        <f>IF(B495="","",IF(LEN(TRIM(INDEX('PEGAR'!$B$13:$B$512,IF(L495&gt;0,L495,K495))&amp;""))=0,"Sin capítulo",TRIM(INDEX('PEGAR'!$B$13:$B$512,IF(L495&gt;0,L495,K495))&amp;"")))</f>
      </c>
      <c r="D495" s="27">
        <f>IF(B495="","",IF(LEN(TRIM(INDEX('PEGAR'!$C$13:$C$512,IF(L495&gt;0,L495,K495))&amp;""))=0,"",TRIM(INDEX('PEGAR'!$C$13:$C$512,IF(L495&gt;0,L495,K495))&amp;"")))</f>
      </c>
      <c r="E495" s="27">
        <f>IF(B495="","",INDEX('PEGAR'!$S$13:$S$512,IF(L495&gt;0,L495,K495)))</f>
      </c>
      <c r="F495" s="39">
        <f>IF(B495="","",IF(L495&gt;0,INDEX('PEGAR'!$F$13:$F$512,L495),""))</f>
      </c>
      <c r="G495" s="39">
        <f>IF(B495="","",IF(OR(M495=0,N495&gt;0,O495&gt;0),"",SUMIFS('PEGAR'!$M$13:$M$512,'PEGAR'!$O$13:$O$512,B495)))</f>
      </c>
      <c r="H495" s="39">
        <f>IF(AND(ISNUMBER(F495),ISNUMBER(G495)),G495-F495,"")</f>
      </c>
      <c r="I495" s="27">
        <f>IF(B495="","",IF(W495=2,"ROJO",IF(W495=1,"ÁMBAR","VERDE")))</f>
      </c>
      <c r="J495" s="30">
        <f>IF(B495="","",IF(W495=0,"Sin avisos numéricos. Revisamos el alcance aparte.",IF(L495=0,"Faltan datos completos de partida; no elegimos un total por suposición."&amp;CHAR(10),"")&amp;IF(N495&gt;0,"Hay filas incompletas o contradictorias; las revisamos en PEGAR."&amp;CHAR(10),"")&amp;IF(O495&gt;0,"Faltan las medidas de alguna fila; no cerramos la suma."&amp;CHAR(10),"")&amp;IF(M495=0,"No constan líneas de medición."&amp;CHAR(10),"")&amp;IF(IF(ISNUMBER(H495),ROUND(ABS(H495),8)&gt;$F$6,FALSE),"Las líneas difieren del total en más de 0,01; confirmamos cantidad o exclusión."&amp;CHAR(10),"")&amp;IF(P495&gt;0,"Parece m³: encontramos tres dimensiones bajo m²."&amp;CHAR(10),"")&amp;IF(R495&gt;0,"Código repetido dentro del capítulo; mantenemos sus ID separados."&amp;CHAR(10),"")&amp;IF(S495&gt;0,"Código repetido en otro capítulo; no unimos las partidas."&amp;CHAR(10),"")&amp;IF(T495&gt;0,"Mismo código con unidades distintas; pedimos aclaración."&amp;CHAR(10),"")&amp;IF(Q495&gt;0,"Hay más precisión que los decimales indicados; cotejamos el formato original."&amp;CHAR(10),"")&amp;IF(U495&gt;0,"Unidad sin normalizar; cotejamos su significado antes de sumar unidades."&amp;CHAR(10),"")&amp;IF(V495&gt;0,"Revisamos dimensiones, cantidades directas, ceros o deducciones en PEGAR."&amp;CHAR(10),"")))</f>
      </c>
      <c r="K495" s="0">
        <f>IF(483&gt;'RESUMEN'!$E$6,"",MATCH(483,'PEGAR'!$W$13:$W$512,0))</f>
      </c>
      <c r="L495" s="0">
        <f>IF(K495="","",INDEX('PEGAR'!$R$13:$R$512,K495))</f>
      </c>
      <c r="M495" s="0">
        <f>IF(B495="","",COUNTIFS('PEGAR'!$O$13:$O$512,B495,'PEGAR'!$P$13:$P$512,"DIMENSIONES")+COUNTIFS('PEGAR'!$O$13:$O$512,B495,'PEGAR'!$P$13:$P$512,"DIRECTA"))</f>
      </c>
      <c r="N495" s="0">
        <f>IF(B495="","",COUNTIFS('PEGAR'!$O$13:$O$512,B495,'PEGAR'!$X$13:$X$512,2))</f>
      </c>
      <c r="O495" s="0">
        <f>IF(B495="","",COUNTIFS('PEGAR'!$O$13:$O$512,B495,'PEGAR'!$P$13:$P$512,"SIN LÍNEAS"))</f>
      </c>
      <c r="P495" s="0">
        <f>IF(B495="","",SUMIFS('PEGAR'!$Y$13:$Y$512,'PEGAR'!$O$13:$O$512,B495))</f>
      </c>
      <c r="Q495" s="0">
        <f>IF(B495="","",SUMIFS('PEGAR'!$Z$13:$Z$512,'PEGAR'!$O$13:$O$512,B495))</f>
      </c>
      <c r="R495" s="0" t="n">
        <f>IF(OR(B495="",D495=""),0,SUMPRODUCT(--($B$13:$B$512&lt;&gt;""),--($D$13:$D$512=D495),--($C$13:$C$512=C495))-1)</f>
        <v>0</v>
      </c>
      <c r="S495" s="0" t="n">
        <f>IF(OR(B495="",D495=""),0,SUMPRODUCT(--($B$13:$B$512&lt;&gt;""),--($D$13:$D$512=D495),--($C$13:$C$512&lt;&gt;C495)))</f>
        <v>0</v>
      </c>
      <c r="T495" s="0" t="n">
        <f>IF(OR(B495="",D495=""),0,SUMPRODUCT(--($B$13:$B$512&lt;&gt;""),--($D$13:$D$512=D495),--($E$13:$E$512&lt;&gt;E495)))</f>
        <v>0</v>
      </c>
      <c r="U495" s="0" t="n">
        <f>IF(B495="",0,IF(SUMPRODUCT(--('LÉEME'!$C$65:$C$86=E495))=0,1,0))</f>
        <v>0</v>
      </c>
      <c r="V495" s="0">
        <f>IF(B495="","",SUMIFS('PEGAR'!$AA$13:$AA$512,'PEGAR'!$O$13:$O$512,B495))</f>
      </c>
      <c r="W495" s="0">
        <f>IF(B495="","",IF(OR(L495=0,N495&gt;0,T495&gt;0,IF(ISNUMBER(H495),ROUND(ABS(H495),8)&gt;$F$6,FALSE)),2,IF(OR(M495=0,O495&gt;0,P495&gt;0,Q495&gt;0,R495&gt;0,S495&gt;0,U495&gt;0,V495&gt;0),1,0)))</f>
      </c>
      <c r="X495" s="0">
        <f>IF(B495="","",IF(ISNUMBER(G495),1,0))</f>
      </c>
      <c r="AB495" s="0">
        <f>IF(AND(ISNUMBER(W495),W495&gt;0),"ID "&amp;B495,"")</f>
      </c>
      <c r="AC495" s="0">
        <f>IF(AND(ISNUMBER(W495),W495&gt;0),C495,"")</f>
      </c>
      <c r="AD495" s="0">
        <f>IF(AND(ISNUMBER(W495),W495&gt;0),D495,"")</f>
      </c>
      <c r="AE495" s="0">
        <f>IF(AND(ISNUMBER(W495),W495&gt;0),IF(INDEX('PEGAR'!$D$13:$D$512,IF(L495&gt;0,L495,K495))="","Sin descripción",INDEX('PEGAR'!$D$13:$D$512,IF(L495&gt;0,L495,K495))),"")</f>
      </c>
      <c r="AF495" s="0">
        <f>IF(AND(ISNUMBER(W495),W495&gt;0),J495,"")</f>
      </c>
      <c r="AG495" s="0" t="n">
        <f>IF(AND(ISNUMBER(W495),W495&gt;0),W495,0)</f>
        <v>0</v>
      </c>
      <c r="AH495" s="0">
        <f>IF(AG495&gt;0,COUNTIFS($AG$13:AG495,"&gt;0"),"")</f>
      </c>
    </row>
    <row r="496" ht="22" customHeight="1">
      <c r="B496" s="27">
        <f>IF(K496="","",INDEX('PEGAR'!$O$13:$O$512,K496))</f>
      </c>
      <c r="C496" s="30">
        <f>IF(B496="","",IF(LEN(TRIM(INDEX('PEGAR'!$B$13:$B$512,IF(L496&gt;0,L496,K496))&amp;""))=0,"Sin capítulo",TRIM(INDEX('PEGAR'!$B$13:$B$512,IF(L496&gt;0,L496,K496))&amp;"")))</f>
      </c>
      <c r="D496" s="27">
        <f>IF(B496="","",IF(LEN(TRIM(INDEX('PEGAR'!$C$13:$C$512,IF(L496&gt;0,L496,K496))&amp;""))=0,"",TRIM(INDEX('PEGAR'!$C$13:$C$512,IF(L496&gt;0,L496,K496))&amp;"")))</f>
      </c>
      <c r="E496" s="27">
        <f>IF(B496="","",INDEX('PEGAR'!$S$13:$S$512,IF(L496&gt;0,L496,K496)))</f>
      </c>
      <c r="F496" s="39">
        <f>IF(B496="","",IF(L496&gt;0,INDEX('PEGAR'!$F$13:$F$512,L496),""))</f>
      </c>
      <c r="G496" s="39">
        <f>IF(B496="","",IF(OR(M496=0,N496&gt;0,O496&gt;0),"",SUMIFS('PEGAR'!$M$13:$M$512,'PEGAR'!$O$13:$O$512,B496)))</f>
      </c>
      <c r="H496" s="39">
        <f>IF(AND(ISNUMBER(F496),ISNUMBER(G496)),G496-F496,"")</f>
      </c>
      <c r="I496" s="27">
        <f>IF(B496="","",IF(W496=2,"ROJO",IF(W496=1,"ÁMBAR","VERDE")))</f>
      </c>
      <c r="J496" s="30">
        <f>IF(B496="","",IF(W496=0,"Sin avisos numéricos. Revisamos el alcance aparte.",IF(L496=0,"Faltan datos completos de partida; no elegimos un total por suposición."&amp;CHAR(10),"")&amp;IF(N496&gt;0,"Hay filas incompletas o contradictorias; las revisamos en PEGAR."&amp;CHAR(10),"")&amp;IF(O496&gt;0,"Faltan las medidas de alguna fila; no cerramos la suma."&amp;CHAR(10),"")&amp;IF(M496=0,"No constan líneas de medición."&amp;CHAR(10),"")&amp;IF(IF(ISNUMBER(H496),ROUND(ABS(H496),8)&gt;$F$6,FALSE),"Las líneas difieren del total en más de 0,01; confirmamos cantidad o exclusión."&amp;CHAR(10),"")&amp;IF(P496&gt;0,"Parece m³: encontramos tres dimensiones bajo m²."&amp;CHAR(10),"")&amp;IF(R496&gt;0,"Código repetido dentro del capítulo; mantenemos sus ID separados."&amp;CHAR(10),"")&amp;IF(S496&gt;0,"Código repetido en otro capítulo; no unimos las partidas."&amp;CHAR(10),"")&amp;IF(T496&gt;0,"Mismo código con unidades distintas; pedimos aclaración."&amp;CHAR(10),"")&amp;IF(Q496&gt;0,"Hay más precisión que los decimales indicados; cotejamos el formato original."&amp;CHAR(10),"")&amp;IF(U496&gt;0,"Unidad sin normalizar; cotejamos su significado antes de sumar unidades."&amp;CHAR(10),"")&amp;IF(V496&gt;0,"Revisamos dimensiones, cantidades directas, ceros o deducciones en PEGAR."&amp;CHAR(10),"")))</f>
      </c>
      <c r="K496" s="0">
        <f>IF(484&gt;'RESUMEN'!$E$6,"",MATCH(484,'PEGAR'!$W$13:$W$512,0))</f>
      </c>
      <c r="L496" s="0">
        <f>IF(K496="","",INDEX('PEGAR'!$R$13:$R$512,K496))</f>
      </c>
      <c r="M496" s="0">
        <f>IF(B496="","",COUNTIFS('PEGAR'!$O$13:$O$512,B496,'PEGAR'!$P$13:$P$512,"DIMENSIONES")+COUNTIFS('PEGAR'!$O$13:$O$512,B496,'PEGAR'!$P$13:$P$512,"DIRECTA"))</f>
      </c>
      <c r="N496" s="0">
        <f>IF(B496="","",COUNTIFS('PEGAR'!$O$13:$O$512,B496,'PEGAR'!$X$13:$X$512,2))</f>
      </c>
      <c r="O496" s="0">
        <f>IF(B496="","",COUNTIFS('PEGAR'!$O$13:$O$512,B496,'PEGAR'!$P$13:$P$512,"SIN LÍNEAS"))</f>
      </c>
      <c r="P496" s="0">
        <f>IF(B496="","",SUMIFS('PEGAR'!$Y$13:$Y$512,'PEGAR'!$O$13:$O$512,B496))</f>
      </c>
      <c r="Q496" s="0">
        <f>IF(B496="","",SUMIFS('PEGAR'!$Z$13:$Z$512,'PEGAR'!$O$13:$O$512,B496))</f>
      </c>
      <c r="R496" s="0" t="n">
        <f>IF(OR(B496="",D496=""),0,SUMPRODUCT(--($B$13:$B$512&lt;&gt;""),--($D$13:$D$512=D496),--($C$13:$C$512=C496))-1)</f>
        <v>0</v>
      </c>
      <c r="S496" s="0" t="n">
        <f>IF(OR(B496="",D496=""),0,SUMPRODUCT(--($B$13:$B$512&lt;&gt;""),--($D$13:$D$512=D496),--($C$13:$C$512&lt;&gt;C496)))</f>
        <v>0</v>
      </c>
      <c r="T496" s="0" t="n">
        <f>IF(OR(B496="",D496=""),0,SUMPRODUCT(--($B$13:$B$512&lt;&gt;""),--($D$13:$D$512=D496),--($E$13:$E$512&lt;&gt;E496)))</f>
        <v>0</v>
      </c>
      <c r="U496" s="0" t="n">
        <f>IF(B496="",0,IF(SUMPRODUCT(--('LÉEME'!$C$65:$C$86=E496))=0,1,0))</f>
        <v>0</v>
      </c>
      <c r="V496" s="0">
        <f>IF(B496="","",SUMIFS('PEGAR'!$AA$13:$AA$512,'PEGAR'!$O$13:$O$512,B496))</f>
      </c>
      <c r="W496" s="0">
        <f>IF(B496="","",IF(OR(L496=0,N496&gt;0,T496&gt;0,IF(ISNUMBER(H496),ROUND(ABS(H496),8)&gt;$F$6,FALSE)),2,IF(OR(M496=0,O496&gt;0,P496&gt;0,Q496&gt;0,R496&gt;0,S496&gt;0,U496&gt;0,V496&gt;0),1,0)))</f>
      </c>
      <c r="X496" s="0">
        <f>IF(B496="","",IF(ISNUMBER(G496),1,0))</f>
      </c>
      <c r="AB496" s="0">
        <f>IF(AND(ISNUMBER(W496),W496&gt;0),"ID "&amp;B496,"")</f>
      </c>
      <c r="AC496" s="0">
        <f>IF(AND(ISNUMBER(W496),W496&gt;0),C496,"")</f>
      </c>
      <c r="AD496" s="0">
        <f>IF(AND(ISNUMBER(W496),W496&gt;0),D496,"")</f>
      </c>
      <c r="AE496" s="0">
        <f>IF(AND(ISNUMBER(W496),W496&gt;0),IF(INDEX('PEGAR'!$D$13:$D$512,IF(L496&gt;0,L496,K496))="","Sin descripción",INDEX('PEGAR'!$D$13:$D$512,IF(L496&gt;0,L496,K496))),"")</f>
      </c>
      <c r="AF496" s="0">
        <f>IF(AND(ISNUMBER(W496),W496&gt;0),J496,"")</f>
      </c>
      <c r="AG496" s="0" t="n">
        <f>IF(AND(ISNUMBER(W496),W496&gt;0),W496,0)</f>
        <v>0</v>
      </c>
      <c r="AH496" s="0">
        <f>IF(AG496&gt;0,COUNTIFS($AG$13:AG496,"&gt;0"),"")</f>
      </c>
    </row>
    <row r="497" ht="22" customHeight="1">
      <c r="B497" s="27">
        <f>IF(K497="","",INDEX('PEGAR'!$O$13:$O$512,K497))</f>
      </c>
      <c r="C497" s="30">
        <f>IF(B497="","",IF(LEN(TRIM(INDEX('PEGAR'!$B$13:$B$512,IF(L497&gt;0,L497,K497))&amp;""))=0,"Sin capítulo",TRIM(INDEX('PEGAR'!$B$13:$B$512,IF(L497&gt;0,L497,K497))&amp;"")))</f>
      </c>
      <c r="D497" s="27">
        <f>IF(B497="","",IF(LEN(TRIM(INDEX('PEGAR'!$C$13:$C$512,IF(L497&gt;0,L497,K497))&amp;""))=0,"",TRIM(INDEX('PEGAR'!$C$13:$C$512,IF(L497&gt;0,L497,K497))&amp;"")))</f>
      </c>
      <c r="E497" s="27">
        <f>IF(B497="","",INDEX('PEGAR'!$S$13:$S$512,IF(L497&gt;0,L497,K497)))</f>
      </c>
      <c r="F497" s="39">
        <f>IF(B497="","",IF(L497&gt;0,INDEX('PEGAR'!$F$13:$F$512,L497),""))</f>
      </c>
      <c r="G497" s="39">
        <f>IF(B497="","",IF(OR(M497=0,N497&gt;0,O497&gt;0),"",SUMIFS('PEGAR'!$M$13:$M$512,'PEGAR'!$O$13:$O$512,B497)))</f>
      </c>
      <c r="H497" s="39">
        <f>IF(AND(ISNUMBER(F497),ISNUMBER(G497)),G497-F497,"")</f>
      </c>
      <c r="I497" s="27">
        <f>IF(B497="","",IF(W497=2,"ROJO",IF(W497=1,"ÁMBAR","VERDE")))</f>
      </c>
      <c r="J497" s="30">
        <f>IF(B497="","",IF(W497=0,"Sin avisos numéricos. Revisamos el alcance aparte.",IF(L497=0,"Faltan datos completos de partida; no elegimos un total por suposición."&amp;CHAR(10),"")&amp;IF(N497&gt;0,"Hay filas incompletas o contradictorias; las revisamos en PEGAR."&amp;CHAR(10),"")&amp;IF(O497&gt;0,"Faltan las medidas de alguna fila; no cerramos la suma."&amp;CHAR(10),"")&amp;IF(M497=0,"No constan líneas de medición."&amp;CHAR(10),"")&amp;IF(IF(ISNUMBER(H497),ROUND(ABS(H497),8)&gt;$F$6,FALSE),"Las líneas difieren del total en más de 0,01; confirmamos cantidad o exclusión."&amp;CHAR(10),"")&amp;IF(P497&gt;0,"Parece m³: encontramos tres dimensiones bajo m²."&amp;CHAR(10),"")&amp;IF(R497&gt;0,"Código repetido dentro del capítulo; mantenemos sus ID separados."&amp;CHAR(10),"")&amp;IF(S497&gt;0,"Código repetido en otro capítulo; no unimos las partidas."&amp;CHAR(10),"")&amp;IF(T497&gt;0,"Mismo código con unidades distintas; pedimos aclaración."&amp;CHAR(10),"")&amp;IF(Q497&gt;0,"Hay más precisión que los decimales indicados; cotejamos el formato original."&amp;CHAR(10),"")&amp;IF(U497&gt;0,"Unidad sin normalizar; cotejamos su significado antes de sumar unidades."&amp;CHAR(10),"")&amp;IF(V497&gt;0,"Revisamos dimensiones, cantidades directas, ceros o deducciones en PEGAR."&amp;CHAR(10),"")))</f>
      </c>
      <c r="K497" s="0">
        <f>IF(485&gt;'RESUMEN'!$E$6,"",MATCH(485,'PEGAR'!$W$13:$W$512,0))</f>
      </c>
      <c r="L497" s="0">
        <f>IF(K497="","",INDEX('PEGAR'!$R$13:$R$512,K497))</f>
      </c>
      <c r="M497" s="0">
        <f>IF(B497="","",COUNTIFS('PEGAR'!$O$13:$O$512,B497,'PEGAR'!$P$13:$P$512,"DIMENSIONES")+COUNTIFS('PEGAR'!$O$13:$O$512,B497,'PEGAR'!$P$13:$P$512,"DIRECTA"))</f>
      </c>
      <c r="N497" s="0">
        <f>IF(B497="","",COUNTIFS('PEGAR'!$O$13:$O$512,B497,'PEGAR'!$X$13:$X$512,2))</f>
      </c>
      <c r="O497" s="0">
        <f>IF(B497="","",COUNTIFS('PEGAR'!$O$13:$O$512,B497,'PEGAR'!$P$13:$P$512,"SIN LÍNEAS"))</f>
      </c>
      <c r="P497" s="0">
        <f>IF(B497="","",SUMIFS('PEGAR'!$Y$13:$Y$512,'PEGAR'!$O$13:$O$512,B497))</f>
      </c>
      <c r="Q497" s="0">
        <f>IF(B497="","",SUMIFS('PEGAR'!$Z$13:$Z$512,'PEGAR'!$O$13:$O$512,B497))</f>
      </c>
      <c r="R497" s="0" t="n">
        <f>IF(OR(B497="",D497=""),0,SUMPRODUCT(--($B$13:$B$512&lt;&gt;""),--($D$13:$D$512=D497),--($C$13:$C$512=C497))-1)</f>
        <v>0</v>
      </c>
      <c r="S497" s="0" t="n">
        <f>IF(OR(B497="",D497=""),0,SUMPRODUCT(--($B$13:$B$512&lt;&gt;""),--($D$13:$D$512=D497),--($C$13:$C$512&lt;&gt;C497)))</f>
        <v>0</v>
      </c>
      <c r="T497" s="0" t="n">
        <f>IF(OR(B497="",D497=""),0,SUMPRODUCT(--($B$13:$B$512&lt;&gt;""),--($D$13:$D$512=D497),--($E$13:$E$512&lt;&gt;E497)))</f>
        <v>0</v>
      </c>
      <c r="U497" s="0" t="n">
        <f>IF(B497="",0,IF(SUMPRODUCT(--('LÉEME'!$C$65:$C$86=E497))=0,1,0))</f>
        <v>0</v>
      </c>
      <c r="V497" s="0">
        <f>IF(B497="","",SUMIFS('PEGAR'!$AA$13:$AA$512,'PEGAR'!$O$13:$O$512,B497))</f>
      </c>
      <c r="W497" s="0">
        <f>IF(B497="","",IF(OR(L497=0,N497&gt;0,T497&gt;0,IF(ISNUMBER(H497),ROUND(ABS(H497),8)&gt;$F$6,FALSE)),2,IF(OR(M497=0,O497&gt;0,P497&gt;0,Q497&gt;0,R497&gt;0,S497&gt;0,U497&gt;0,V497&gt;0),1,0)))</f>
      </c>
      <c r="X497" s="0">
        <f>IF(B497="","",IF(ISNUMBER(G497),1,0))</f>
      </c>
      <c r="AB497" s="0">
        <f>IF(AND(ISNUMBER(W497),W497&gt;0),"ID "&amp;B497,"")</f>
      </c>
      <c r="AC497" s="0">
        <f>IF(AND(ISNUMBER(W497),W497&gt;0),C497,"")</f>
      </c>
      <c r="AD497" s="0">
        <f>IF(AND(ISNUMBER(W497),W497&gt;0),D497,"")</f>
      </c>
      <c r="AE497" s="0">
        <f>IF(AND(ISNUMBER(W497),W497&gt;0),IF(INDEX('PEGAR'!$D$13:$D$512,IF(L497&gt;0,L497,K497))="","Sin descripción",INDEX('PEGAR'!$D$13:$D$512,IF(L497&gt;0,L497,K497))),"")</f>
      </c>
      <c r="AF497" s="0">
        <f>IF(AND(ISNUMBER(W497),W497&gt;0),J497,"")</f>
      </c>
      <c r="AG497" s="0" t="n">
        <f>IF(AND(ISNUMBER(W497),W497&gt;0),W497,0)</f>
        <v>0</v>
      </c>
      <c r="AH497" s="0">
        <f>IF(AG497&gt;0,COUNTIFS($AG$13:AG497,"&gt;0"),"")</f>
      </c>
    </row>
    <row r="498" ht="22" customHeight="1">
      <c r="B498" s="27">
        <f>IF(K498="","",INDEX('PEGAR'!$O$13:$O$512,K498))</f>
      </c>
      <c r="C498" s="30">
        <f>IF(B498="","",IF(LEN(TRIM(INDEX('PEGAR'!$B$13:$B$512,IF(L498&gt;0,L498,K498))&amp;""))=0,"Sin capítulo",TRIM(INDEX('PEGAR'!$B$13:$B$512,IF(L498&gt;0,L498,K498))&amp;"")))</f>
      </c>
      <c r="D498" s="27">
        <f>IF(B498="","",IF(LEN(TRIM(INDEX('PEGAR'!$C$13:$C$512,IF(L498&gt;0,L498,K498))&amp;""))=0,"",TRIM(INDEX('PEGAR'!$C$13:$C$512,IF(L498&gt;0,L498,K498))&amp;"")))</f>
      </c>
      <c r="E498" s="27">
        <f>IF(B498="","",INDEX('PEGAR'!$S$13:$S$512,IF(L498&gt;0,L498,K498)))</f>
      </c>
      <c r="F498" s="39">
        <f>IF(B498="","",IF(L498&gt;0,INDEX('PEGAR'!$F$13:$F$512,L498),""))</f>
      </c>
      <c r="G498" s="39">
        <f>IF(B498="","",IF(OR(M498=0,N498&gt;0,O498&gt;0),"",SUMIFS('PEGAR'!$M$13:$M$512,'PEGAR'!$O$13:$O$512,B498)))</f>
      </c>
      <c r="H498" s="39">
        <f>IF(AND(ISNUMBER(F498),ISNUMBER(G498)),G498-F498,"")</f>
      </c>
      <c r="I498" s="27">
        <f>IF(B498="","",IF(W498=2,"ROJO",IF(W498=1,"ÁMBAR","VERDE")))</f>
      </c>
      <c r="J498" s="30">
        <f>IF(B498="","",IF(W498=0,"Sin avisos numéricos. Revisamos el alcance aparte.",IF(L498=0,"Faltan datos completos de partida; no elegimos un total por suposición."&amp;CHAR(10),"")&amp;IF(N498&gt;0,"Hay filas incompletas o contradictorias; las revisamos en PEGAR."&amp;CHAR(10),"")&amp;IF(O498&gt;0,"Faltan las medidas de alguna fila; no cerramos la suma."&amp;CHAR(10),"")&amp;IF(M498=0,"No constan líneas de medición."&amp;CHAR(10),"")&amp;IF(IF(ISNUMBER(H498),ROUND(ABS(H498),8)&gt;$F$6,FALSE),"Las líneas difieren del total en más de 0,01; confirmamos cantidad o exclusión."&amp;CHAR(10),"")&amp;IF(P498&gt;0,"Parece m³: encontramos tres dimensiones bajo m²."&amp;CHAR(10),"")&amp;IF(R498&gt;0,"Código repetido dentro del capítulo; mantenemos sus ID separados."&amp;CHAR(10),"")&amp;IF(S498&gt;0,"Código repetido en otro capítulo; no unimos las partidas."&amp;CHAR(10),"")&amp;IF(T498&gt;0,"Mismo código con unidades distintas; pedimos aclaración."&amp;CHAR(10),"")&amp;IF(Q498&gt;0,"Hay más precisión que los decimales indicados; cotejamos el formato original."&amp;CHAR(10),"")&amp;IF(U498&gt;0,"Unidad sin normalizar; cotejamos su significado antes de sumar unidades."&amp;CHAR(10),"")&amp;IF(V498&gt;0,"Revisamos dimensiones, cantidades directas, ceros o deducciones en PEGAR."&amp;CHAR(10),"")))</f>
      </c>
      <c r="K498" s="0">
        <f>IF(486&gt;'RESUMEN'!$E$6,"",MATCH(486,'PEGAR'!$W$13:$W$512,0))</f>
      </c>
      <c r="L498" s="0">
        <f>IF(K498="","",INDEX('PEGAR'!$R$13:$R$512,K498))</f>
      </c>
      <c r="M498" s="0">
        <f>IF(B498="","",COUNTIFS('PEGAR'!$O$13:$O$512,B498,'PEGAR'!$P$13:$P$512,"DIMENSIONES")+COUNTIFS('PEGAR'!$O$13:$O$512,B498,'PEGAR'!$P$13:$P$512,"DIRECTA"))</f>
      </c>
      <c r="N498" s="0">
        <f>IF(B498="","",COUNTIFS('PEGAR'!$O$13:$O$512,B498,'PEGAR'!$X$13:$X$512,2))</f>
      </c>
      <c r="O498" s="0">
        <f>IF(B498="","",COUNTIFS('PEGAR'!$O$13:$O$512,B498,'PEGAR'!$P$13:$P$512,"SIN LÍNEAS"))</f>
      </c>
      <c r="P498" s="0">
        <f>IF(B498="","",SUMIFS('PEGAR'!$Y$13:$Y$512,'PEGAR'!$O$13:$O$512,B498))</f>
      </c>
      <c r="Q498" s="0">
        <f>IF(B498="","",SUMIFS('PEGAR'!$Z$13:$Z$512,'PEGAR'!$O$13:$O$512,B498))</f>
      </c>
      <c r="R498" s="0" t="n">
        <f>IF(OR(B498="",D498=""),0,SUMPRODUCT(--($B$13:$B$512&lt;&gt;""),--($D$13:$D$512=D498),--($C$13:$C$512=C498))-1)</f>
        <v>0</v>
      </c>
      <c r="S498" s="0" t="n">
        <f>IF(OR(B498="",D498=""),0,SUMPRODUCT(--($B$13:$B$512&lt;&gt;""),--($D$13:$D$512=D498),--($C$13:$C$512&lt;&gt;C498)))</f>
        <v>0</v>
      </c>
      <c r="T498" s="0" t="n">
        <f>IF(OR(B498="",D498=""),0,SUMPRODUCT(--($B$13:$B$512&lt;&gt;""),--($D$13:$D$512=D498),--($E$13:$E$512&lt;&gt;E498)))</f>
        <v>0</v>
      </c>
      <c r="U498" s="0" t="n">
        <f>IF(B498="",0,IF(SUMPRODUCT(--('LÉEME'!$C$65:$C$86=E498))=0,1,0))</f>
        <v>0</v>
      </c>
      <c r="V498" s="0">
        <f>IF(B498="","",SUMIFS('PEGAR'!$AA$13:$AA$512,'PEGAR'!$O$13:$O$512,B498))</f>
      </c>
      <c r="W498" s="0">
        <f>IF(B498="","",IF(OR(L498=0,N498&gt;0,T498&gt;0,IF(ISNUMBER(H498),ROUND(ABS(H498),8)&gt;$F$6,FALSE)),2,IF(OR(M498=0,O498&gt;0,P498&gt;0,Q498&gt;0,R498&gt;0,S498&gt;0,U498&gt;0,V498&gt;0),1,0)))</f>
      </c>
      <c r="X498" s="0">
        <f>IF(B498="","",IF(ISNUMBER(G498),1,0))</f>
      </c>
      <c r="AB498" s="0">
        <f>IF(AND(ISNUMBER(W498),W498&gt;0),"ID "&amp;B498,"")</f>
      </c>
      <c r="AC498" s="0">
        <f>IF(AND(ISNUMBER(W498),W498&gt;0),C498,"")</f>
      </c>
      <c r="AD498" s="0">
        <f>IF(AND(ISNUMBER(W498),W498&gt;0),D498,"")</f>
      </c>
      <c r="AE498" s="0">
        <f>IF(AND(ISNUMBER(W498),W498&gt;0),IF(INDEX('PEGAR'!$D$13:$D$512,IF(L498&gt;0,L498,K498))="","Sin descripción",INDEX('PEGAR'!$D$13:$D$512,IF(L498&gt;0,L498,K498))),"")</f>
      </c>
      <c r="AF498" s="0">
        <f>IF(AND(ISNUMBER(W498),W498&gt;0),J498,"")</f>
      </c>
      <c r="AG498" s="0" t="n">
        <f>IF(AND(ISNUMBER(W498),W498&gt;0),W498,0)</f>
        <v>0</v>
      </c>
      <c r="AH498" s="0">
        <f>IF(AG498&gt;0,COUNTIFS($AG$13:AG498,"&gt;0"),"")</f>
      </c>
    </row>
    <row r="499" ht="22" customHeight="1">
      <c r="B499" s="27">
        <f>IF(K499="","",INDEX('PEGAR'!$O$13:$O$512,K499))</f>
      </c>
      <c r="C499" s="30">
        <f>IF(B499="","",IF(LEN(TRIM(INDEX('PEGAR'!$B$13:$B$512,IF(L499&gt;0,L499,K499))&amp;""))=0,"Sin capítulo",TRIM(INDEX('PEGAR'!$B$13:$B$512,IF(L499&gt;0,L499,K499))&amp;"")))</f>
      </c>
      <c r="D499" s="27">
        <f>IF(B499="","",IF(LEN(TRIM(INDEX('PEGAR'!$C$13:$C$512,IF(L499&gt;0,L499,K499))&amp;""))=0,"",TRIM(INDEX('PEGAR'!$C$13:$C$512,IF(L499&gt;0,L499,K499))&amp;"")))</f>
      </c>
      <c r="E499" s="27">
        <f>IF(B499="","",INDEX('PEGAR'!$S$13:$S$512,IF(L499&gt;0,L499,K499)))</f>
      </c>
      <c r="F499" s="39">
        <f>IF(B499="","",IF(L499&gt;0,INDEX('PEGAR'!$F$13:$F$512,L499),""))</f>
      </c>
      <c r="G499" s="39">
        <f>IF(B499="","",IF(OR(M499=0,N499&gt;0,O499&gt;0),"",SUMIFS('PEGAR'!$M$13:$M$512,'PEGAR'!$O$13:$O$512,B499)))</f>
      </c>
      <c r="H499" s="39">
        <f>IF(AND(ISNUMBER(F499),ISNUMBER(G499)),G499-F499,"")</f>
      </c>
      <c r="I499" s="27">
        <f>IF(B499="","",IF(W499=2,"ROJO",IF(W499=1,"ÁMBAR","VERDE")))</f>
      </c>
      <c r="J499" s="30">
        <f>IF(B499="","",IF(W499=0,"Sin avisos numéricos. Revisamos el alcance aparte.",IF(L499=0,"Faltan datos completos de partida; no elegimos un total por suposición."&amp;CHAR(10),"")&amp;IF(N499&gt;0,"Hay filas incompletas o contradictorias; las revisamos en PEGAR."&amp;CHAR(10),"")&amp;IF(O499&gt;0,"Faltan las medidas de alguna fila; no cerramos la suma."&amp;CHAR(10),"")&amp;IF(M499=0,"No constan líneas de medición."&amp;CHAR(10),"")&amp;IF(IF(ISNUMBER(H499),ROUND(ABS(H499),8)&gt;$F$6,FALSE),"Las líneas difieren del total en más de 0,01; confirmamos cantidad o exclusión."&amp;CHAR(10),"")&amp;IF(P499&gt;0,"Parece m³: encontramos tres dimensiones bajo m²."&amp;CHAR(10),"")&amp;IF(R499&gt;0,"Código repetido dentro del capítulo; mantenemos sus ID separados."&amp;CHAR(10),"")&amp;IF(S499&gt;0,"Código repetido en otro capítulo; no unimos las partidas."&amp;CHAR(10),"")&amp;IF(T499&gt;0,"Mismo código con unidades distintas; pedimos aclaración."&amp;CHAR(10),"")&amp;IF(Q499&gt;0,"Hay más precisión que los decimales indicados; cotejamos el formato original."&amp;CHAR(10),"")&amp;IF(U499&gt;0,"Unidad sin normalizar; cotejamos su significado antes de sumar unidades."&amp;CHAR(10),"")&amp;IF(V499&gt;0,"Revisamos dimensiones, cantidades directas, ceros o deducciones en PEGAR."&amp;CHAR(10),"")))</f>
      </c>
      <c r="K499" s="0">
        <f>IF(487&gt;'RESUMEN'!$E$6,"",MATCH(487,'PEGAR'!$W$13:$W$512,0))</f>
      </c>
      <c r="L499" s="0">
        <f>IF(K499="","",INDEX('PEGAR'!$R$13:$R$512,K499))</f>
      </c>
      <c r="M499" s="0">
        <f>IF(B499="","",COUNTIFS('PEGAR'!$O$13:$O$512,B499,'PEGAR'!$P$13:$P$512,"DIMENSIONES")+COUNTIFS('PEGAR'!$O$13:$O$512,B499,'PEGAR'!$P$13:$P$512,"DIRECTA"))</f>
      </c>
      <c r="N499" s="0">
        <f>IF(B499="","",COUNTIFS('PEGAR'!$O$13:$O$512,B499,'PEGAR'!$X$13:$X$512,2))</f>
      </c>
      <c r="O499" s="0">
        <f>IF(B499="","",COUNTIFS('PEGAR'!$O$13:$O$512,B499,'PEGAR'!$P$13:$P$512,"SIN LÍNEAS"))</f>
      </c>
      <c r="P499" s="0">
        <f>IF(B499="","",SUMIFS('PEGAR'!$Y$13:$Y$512,'PEGAR'!$O$13:$O$512,B499))</f>
      </c>
      <c r="Q499" s="0">
        <f>IF(B499="","",SUMIFS('PEGAR'!$Z$13:$Z$512,'PEGAR'!$O$13:$O$512,B499))</f>
      </c>
      <c r="R499" s="0" t="n">
        <f>IF(OR(B499="",D499=""),0,SUMPRODUCT(--($B$13:$B$512&lt;&gt;""),--($D$13:$D$512=D499),--($C$13:$C$512=C499))-1)</f>
        <v>0</v>
      </c>
      <c r="S499" s="0" t="n">
        <f>IF(OR(B499="",D499=""),0,SUMPRODUCT(--($B$13:$B$512&lt;&gt;""),--($D$13:$D$512=D499),--($C$13:$C$512&lt;&gt;C499)))</f>
        <v>0</v>
      </c>
      <c r="T499" s="0" t="n">
        <f>IF(OR(B499="",D499=""),0,SUMPRODUCT(--($B$13:$B$512&lt;&gt;""),--($D$13:$D$512=D499),--($E$13:$E$512&lt;&gt;E499)))</f>
        <v>0</v>
      </c>
      <c r="U499" s="0" t="n">
        <f>IF(B499="",0,IF(SUMPRODUCT(--('LÉEME'!$C$65:$C$86=E499))=0,1,0))</f>
        <v>0</v>
      </c>
      <c r="V499" s="0">
        <f>IF(B499="","",SUMIFS('PEGAR'!$AA$13:$AA$512,'PEGAR'!$O$13:$O$512,B499))</f>
      </c>
      <c r="W499" s="0">
        <f>IF(B499="","",IF(OR(L499=0,N499&gt;0,T499&gt;0,IF(ISNUMBER(H499),ROUND(ABS(H499),8)&gt;$F$6,FALSE)),2,IF(OR(M499=0,O499&gt;0,P499&gt;0,Q499&gt;0,R499&gt;0,S499&gt;0,U499&gt;0,V499&gt;0),1,0)))</f>
      </c>
      <c r="X499" s="0">
        <f>IF(B499="","",IF(ISNUMBER(G499),1,0))</f>
      </c>
      <c r="AB499" s="0">
        <f>IF(AND(ISNUMBER(W499),W499&gt;0),"ID "&amp;B499,"")</f>
      </c>
      <c r="AC499" s="0">
        <f>IF(AND(ISNUMBER(W499),W499&gt;0),C499,"")</f>
      </c>
      <c r="AD499" s="0">
        <f>IF(AND(ISNUMBER(W499),W499&gt;0),D499,"")</f>
      </c>
      <c r="AE499" s="0">
        <f>IF(AND(ISNUMBER(W499),W499&gt;0),IF(INDEX('PEGAR'!$D$13:$D$512,IF(L499&gt;0,L499,K499))="","Sin descripción",INDEX('PEGAR'!$D$13:$D$512,IF(L499&gt;0,L499,K499))),"")</f>
      </c>
      <c r="AF499" s="0">
        <f>IF(AND(ISNUMBER(W499),W499&gt;0),J499,"")</f>
      </c>
      <c r="AG499" s="0" t="n">
        <f>IF(AND(ISNUMBER(W499),W499&gt;0),W499,0)</f>
        <v>0</v>
      </c>
      <c r="AH499" s="0">
        <f>IF(AG499&gt;0,COUNTIFS($AG$13:AG499,"&gt;0"),"")</f>
      </c>
    </row>
    <row r="500" ht="22" customHeight="1">
      <c r="B500" s="27">
        <f>IF(K500="","",INDEX('PEGAR'!$O$13:$O$512,K500))</f>
      </c>
      <c r="C500" s="30">
        <f>IF(B500="","",IF(LEN(TRIM(INDEX('PEGAR'!$B$13:$B$512,IF(L500&gt;0,L500,K500))&amp;""))=0,"Sin capítulo",TRIM(INDEX('PEGAR'!$B$13:$B$512,IF(L500&gt;0,L500,K500))&amp;"")))</f>
      </c>
      <c r="D500" s="27">
        <f>IF(B500="","",IF(LEN(TRIM(INDEX('PEGAR'!$C$13:$C$512,IF(L500&gt;0,L500,K500))&amp;""))=0,"",TRIM(INDEX('PEGAR'!$C$13:$C$512,IF(L500&gt;0,L500,K500))&amp;"")))</f>
      </c>
      <c r="E500" s="27">
        <f>IF(B500="","",INDEX('PEGAR'!$S$13:$S$512,IF(L500&gt;0,L500,K500)))</f>
      </c>
      <c r="F500" s="39">
        <f>IF(B500="","",IF(L500&gt;0,INDEX('PEGAR'!$F$13:$F$512,L500),""))</f>
      </c>
      <c r="G500" s="39">
        <f>IF(B500="","",IF(OR(M500=0,N500&gt;0,O500&gt;0),"",SUMIFS('PEGAR'!$M$13:$M$512,'PEGAR'!$O$13:$O$512,B500)))</f>
      </c>
      <c r="H500" s="39">
        <f>IF(AND(ISNUMBER(F500),ISNUMBER(G500)),G500-F500,"")</f>
      </c>
      <c r="I500" s="27">
        <f>IF(B500="","",IF(W500=2,"ROJO",IF(W500=1,"ÁMBAR","VERDE")))</f>
      </c>
      <c r="J500" s="30">
        <f>IF(B500="","",IF(W500=0,"Sin avisos numéricos. Revisamos el alcance aparte.",IF(L500=0,"Faltan datos completos de partida; no elegimos un total por suposición."&amp;CHAR(10),"")&amp;IF(N500&gt;0,"Hay filas incompletas o contradictorias; las revisamos en PEGAR."&amp;CHAR(10),"")&amp;IF(O500&gt;0,"Faltan las medidas de alguna fila; no cerramos la suma."&amp;CHAR(10),"")&amp;IF(M500=0,"No constan líneas de medición."&amp;CHAR(10),"")&amp;IF(IF(ISNUMBER(H500),ROUND(ABS(H500),8)&gt;$F$6,FALSE),"Las líneas difieren del total en más de 0,01; confirmamos cantidad o exclusión."&amp;CHAR(10),"")&amp;IF(P500&gt;0,"Parece m³: encontramos tres dimensiones bajo m²."&amp;CHAR(10),"")&amp;IF(R500&gt;0,"Código repetido dentro del capítulo; mantenemos sus ID separados."&amp;CHAR(10),"")&amp;IF(S500&gt;0,"Código repetido en otro capítulo; no unimos las partidas."&amp;CHAR(10),"")&amp;IF(T500&gt;0,"Mismo código con unidades distintas; pedimos aclaración."&amp;CHAR(10),"")&amp;IF(Q500&gt;0,"Hay más precisión que los decimales indicados; cotejamos el formato original."&amp;CHAR(10),"")&amp;IF(U500&gt;0,"Unidad sin normalizar; cotejamos su significado antes de sumar unidades."&amp;CHAR(10),"")&amp;IF(V500&gt;0,"Revisamos dimensiones, cantidades directas, ceros o deducciones en PEGAR."&amp;CHAR(10),"")))</f>
      </c>
      <c r="K500" s="0">
        <f>IF(488&gt;'RESUMEN'!$E$6,"",MATCH(488,'PEGAR'!$W$13:$W$512,0))</f>
      </c>
      <c r="L500" s="0">
        <f>IF(K500="","",INDEX('PEGAR'!$R$13:$R$512,K500))</f>
      </c>
      <c r="M500" s="0">
        <f>IF(B500="","",COUNTIFS('PEGAR'!$O$13:$O$512,B500,'PEGAR'!$P$13:$P$512,"DIMENSIONES")+COUNTIFS('PEGAR'!$O$13:$O$512,B500,'PEGAR'!$P$13:$P$512,"DIRECTA"))</f>
      </c>
      <c r="N500" s="0">
        <f>IF(B500="","",COUNTIFS('PEGAR'!$O$13:$O$512,B500,'PEGAR'!$X$13:$X$512,2))</f>
      </c>
      <c r="O500" s="0">
        <f>IF(B500="","",COUNTIFS('PEGAR'!$O$13:$O$512,B500,'PEGAR'!$P$13:$P$512,"SIN LÍNEAS"))</f>
      </c>
      <c r="P500" s="0">
        <f>IF(B500="","",SUMIFS('PEGAR'!$Y$13:$Y$512,'PEGAR'!$O$13:$O$512,B500))</f>
      </c>
      <c r="Q500" s="0">
        <f>IF(B500="","",SUMIFS('PEGAR'!$Z$13:$Z$512,'PEGAR'!$O$13:$O$512,B500))</f>
      </c>
      <c r="R500" s="0" t="n">
        <f>IF(OR(B500="",D500=""),0,SUMPRODUCT(--($B$13:$B$512&lt;&gt;""),--($D$13:$D$512=D500),--($C$13:$C$512=C500))-1)</f>
        <v>0</v>
      </c>
      <c r="S500" s="0" t="n">
        <f>IF(OR(B500="",D500=""),0,SUMPRODUCT(--($B$13:$B$512&lt;&gt;""),--($D$13:$D$512=D500),--($C$13:$C$512&lt;&gt;C500)))</f>
        <v>0</v>
      </c>
      <c r="T500" s="0" t="n">
        <f>IF(OR(B500="",D500=""),0,SUMPRODUCT(--($B$13:$B$512&lt;&gt;""),--($D$13:$D$512=D500),--($E$13:$E$512&lt;&gt;E500)))</f>
        <v>0</v>
      </c>
      <c r="U500" s="0" t="n">
        <f>IF(B500="",0,IF(SUMPRODUCT(--('LÉEME'!$C$65:$C$86=E500))=0,1,0))</f>
        <v>0</v>
      </c>
      <c r="V500" s="0">
        <f>IF(B500="","",SUMIFS('PEGAR'!$AA$13:$AA$512,'PEGAR'!$O$13:$O$512,B500))</f>
      </c>
      <c r="W500" s="0">
        <f>IF(B500="","",IF(OR(L500=0,N500&gt;0,T500&gt;0,IF(ISNUMBER(H500),ROUND(ABS(H500),8)&gt;$F$6,FALSE)),2,IF(OR(M500=0,O500&gt;0,P500&gt;0,Q500&gt;0,R500&gt;0,S500&gt;0,U500&gt;0,V500&gt;0),1,0)))</f>
      </c>
      <c r="X500" s="0">
        <f>IF(B500="","",IF(ISNUMBER(G500),1,0))</f>
      </c>
      <c r="AB500" s="0">
        <f>IF(AND(ISNUMBER(W500),W500&gt;0),"ID "&amp;B500,"")</f>
      </c>
      <c r="AC500" s="0">
        <f>IF(AND(ISNUMBER(W500),W500&gt;0),C500,"")</f>
      </c>
      <c r="AD500" s="0">
        <f>IF(AND(ISNUMBER(W500),W500&gt;0),D500,"")</f>
      </c>
      <c r="AE500" s="0">
        <f>IF(AND(ISNUMBER(W500),W500&gt;0),IF(INDEX('PEGAR'!$D$13:$D$512,IF(L500&gt;0,L500,K500))="","Sin descripción",INDEX('PEGAR'!$D$13:$D$512,IF(L500&gt;0,L500,K500))),"")</f>
      </c>
      <c r="AF500" s="0">
        <f>IF(AND(ISNUMBER(W500),W500&gt;0),J500,"")</f>
      </c>
      <c r="AG500" s="0" t="n">
        <f>IF(AND(ISNUMBER(W500),W500&gt;0),W500,0)</f>
        <v>0</v>
      </c>
      <c r="AH500" s="0">
        <f>IF(AG500&gt;0,COUNTIFS($AG$13:AG500,"&gt;0"),"")</f>
      </c>
    </row>
    <row r="501" ht="22" customHeight="1">
      <c r="B501" s="27">
        <f>IF(K501="","",INDEX('PEGAR'!$O$13:$O$512,K501))</f>
      </c>
      <c r="C501" s="30">
        <f>IF(B501="","",IF(LEN(TRIM(INDEX('PEGAR'!$B$13:$B$512,IF(L501&gt;0,L501,K501))&amp;""))=0,"Sin capítulo",TRIM(INDEX('PEGAR'!$B$13:$B$512,IF(L501&gt;0,L501,K501))&amp;"")))</f>
      </c>
      <c r="D501" s="27">
        <f>IF(B501="","",IF(LEN(TRIM(INDEX('PEGAR'!$C$13:$C$512,IF(L501&gt;0,L501,K501))&amp;""))=0,"",TRIM(INDEX('PEGAR'!$C$13:$C$512,IF(L501&gt;0,L501,K501))&amp;"")))</f>
      </c>
      <c r="E501" s="27">
        <f>IF(B501="","",INDEX('PEGAR'!$S$13:$S$512,IF(L501&gt;0,L501,K501)))</f>
      </c>
      <c r="F501" s="39">
        <f>IF(B501="","",IF(L501&gt;0,INDEX('PEGAR'!$F$13:$F$512,L501),""))</f>
      </c>
      <c r="G501" s="39">
        <f>IF(B501="","",IF(OR(M501=0,N501&gt;0,O501&gt;0),"",SUMIFS('PEGAR'!$M$13:$M$512,'PEGAR'!$O$13:$O$512,B501)))</f>
      </c>
      <c r="H501" s="39">
        <f>IF(AND(ISNUMBER(F501),ISNUMBER(G501)),G501-F501,"")</f>
      </c>
      <c r="I501" s="27">
        <f>IF(B501="","",IF(W501=2,"ROJO",IF(W501=1,"ÁMBAR","VERDE")))</f>
      </c>
      <c r="J501" s="30">
        <f>IF(B501="","",IF(W501=0,"Sin avisos numéricos. Revisamos el alcance aparte.",IF(L501=0,"Faltan datos completos de partida; no elegimos un total por suposición."&amp;CHAR(10),"")&amp;IF(N501&gt;0,"Hay filas incompletas o contradictorias; las revisamos en PEGAR."&amp;CHAR(10),"")&amp;IF(O501&gt;0,"Faltan las medidas de alguna fila; no cerramos la suma."&amp;CHAR(10),"")&amp;IF(M501=0,"No constan líneas de medición."&amp;CHAR(10),"")&amp;IF(IF(ISNUMBER(H501),ROUND(ABS(H501),8)&gt;$F$6,FALSE),"Las líneas difieren del total en más de 0,01; confirmamos cantidad o exclusión."&amp;CHAR(10),"")&amp;IF(P501&gt;0,"Parece m³: encontramos tres dimensiones bajo m²."&amp;CHAR(10),"")&amp;IF(R501&gt;0,"Código repetido dentro del capítulo; mantenemos sus ID separados."&amp;CHAR(10),"")&amp;IF(S501&gt;0,"Código repetido en otro capítulo; no unimos las partidas."&amp;CHAR(10),"")&amp;IF(T501&gt;0,"Mismo código con unidades distintas; pedimos aclaración."&amp;CHAR(10),"")&amp;IF(Q501&gt;0,"Hay más precisión que los decimales indicados; cotejamos el formato original."&amp;CHAR(10),"")&amp;IF(U501&gt;0,"Unidad sin normalizar; cotejamos su significado antes de sumar unidades."&amp;CHAR(10),"")&amp;IF(V501&gt;0,"Revisamos dimensiones, cantidades directas, ceros o deducciones en PEGAR."&amp;CHAR(10),"")))</f>
      </c>
      <c r="K501" s="0">
        <f>IF(489&gt;'RESUMEN'!$E$6,"",MATCH(489,'PEGAR'!$W$13:$W$512,0))</f>
      </c>
      <c r="L501" s="0">
        <f>IF(K501="","",INDEX('PEGAR'!$R$13:$R$512,K501))</f>
      </c>
      <c r="M501" s="0">
        <f>IF(B501="","",COUNTIFS('PEGAR'!$O$13:$O$512,B501,'PEGAR'!$P$13:$P$512,"DIMENSIONES")+COUNTIFS('PEGAR'!$O$13:$O$512,B501,'PEGAR'!$P$13:$P$512,"DIRECTA"))</f>
      </c>
      <c r="N501" s="0">
        <f>IF(B501="","",COUNTIFS('PEGAR'!$O$13:$O$512,B501,'PEGAR'!$X$13:$X$512,2))</f>
      </c>
      <c r="O501" s="0">
        <f>IF(B501="","",COUNTIFS('PEGAR'!$O$13:$O$512,B501,'PEGAR'!$P$13:$P$512,"SIN LÍNEAS"))</f>
      </c>
      <c r="P501" s="0">
        <f>IF(B501="","",SUMIFS('PEGAR'!$Y$13:$Y$512,'PEGAR'!$O$13:$O$512,B501))</f>
      </c>
      <c r="Q501" s="0">
        <f>IF(B501="","",SUMIFS('PEGAR'!$Z$13:$Z$512,'PEGAR'!$O$13:$O$512,B501))</f>
      </c>
      <c r="R501" s="0" t="n">
        <f>IF(OR(B501="",D501=""),0,SUMPRODUCT(--($B$13:$B$512&lt;&gt;""),--($D$13:$D$512=D501),--($C$13:$C$512=C501))-1)</f>
        <v>0</v>
      </c>
      <c r="S501" s="0" t="n">
        <f>IF(OR(B501="",D501=""),0,SUMPRODUCT(--($B$13:$B$512&lt;&gt;""),--($D$13:$D$512=D501),--($C$13:$C$512&lt;&gt;C501)))</f>
        <v>0</v>
      </c>
      <c r="T501" s="0" t="n">
        <f>IF(OR(B501="",D501=""),0,SUMPRODUCT(--($B$13:$B$512&lt;&gt;""),--($D$13:$D$512=D501),--($E$13:$E$512&lt;&gt;E501)))</f>
        <v>0</v>
      </c>
      <c r="U501" s="0" t="n">
        <f>IF(B501="",0,IF(SUMPRODUCT(--('LÉEME'!$C$65:$C$86=E501))=0,1,0))</f>
        <v>0</v>
      </c>
      <c r="V501" s="0">
        <f>IF(B501="","",SUMIFS('PEGAR'!$AA$13:$AA$512,'PEGAR'!$O$13:$O$512,B501))</f>
      </c>
      <c r="W501" s="0">
        <f>IF(B501="","",IF(OR(L501=0,N501&gt;0,T501&gt;0,IF(ISNUMBER(H501),ROUND(ABS(H501),8)&gt;$F$6,FALSE)),2,IF(OR(M501=0,O501&gt;0,P501&gt;0,Q501&gt;0,R501&gt;0,S501&gt;0,U501&gt;0,V501&gt;0),1,0)))</f>
      </c>
      <c r="X501" s="0">
        <f>IF(B501="","",IF(ISNUMBER(G501),1,0))</f>
      </c>
      <c r="AB501" s="0">
        <f>IF(AND(ISNUMBER(W501),W501&gt;0),"ID "&amp;B501,"")</f>
      </c>
      <c r="AC501" s="0">
        <f>IF(AND(ISNUMBER(W501),W501&gt;0),C501,"")</f>
      </c>
      <c r="AD501" s="0">
        <f>IF(AND(ISNUMBER(W501),W501&gt;0),D501,"")</f>
      </c>
      <c r="AE501" s="0">
        <f>IF(AND(ISNUMBER(W501),W501&gt;0),IF(INDEX('PEGAR'!$D$13:$D$512,IF(L501&gt;0,L501,K501))="","Sin descripción",INDEX('PEGAR'!$D$13:$D$512,IF(L501&gt;0,L501,K501))),"")</f>
      </c>
      <c r="AF501" s="0">
        <f>IF(AND(ISNUMBER(W501),W501&gt;0),J501,"")</f>
      </c>
      <c r="AG501" s="0" t="n">
        <f>IF(AND(ISNUMBER(W501),W501&gt;0),W501,0)</f>
        <v>0</v>
      </c>
      <c r="AH501" s="0">
        <f>IF(AG501&gt;0,COUNTIFS($AG$13:AG501,"&gt;0"),"")</f>
      </c>
    </row>
    <row r="502" ht="22" customHeight="1">
      <c r="B502" s="27">
        <f>IF(K502="","",INDEX('PEGAR'!$O$13:$O$512,K502))</f>
      </c>
      <c r="C502" s="30">
        <f>IF(B502="","",IF(LEN(TRIM(INDEX('PEGAR'!$B$13:$B$512,IF(L502&gt;0,L502,K502))&amp;""))=0,"Sin capítulo",TRIM(INDEX('PEGAR'!$B$13:$B$512,IF(L502&gt;0,L502,K502))&amp;"")))</f>
      </c>
      <c r="D502" s="27">
        <f>IF(B502="","",IF(LEN(TRIM(INDEX('PEGAR'!$C$13:$C$512,IF(L502&gt;0,L502,K502))&amp;""))=0,"",TRIM(INDEX('PEGAR'!$C$13:$C$512,IF(L502&gt;0,L502,K502))&amp;"")))</f>
      </c>
      <c r="E502" s="27">
        <f>IF(B502="","",INDEX('PEGAR'!$S$13:$S$512,IF(L502&gt;0,L502,K502)))</f>
      </c>
      <c r="F502" s="39">
        <f>IF(B502="","",IF(L502&gt;0,INDEX('PEGAR'!$F$13:$F$512,L502),""))</f>
      </c>
      <c r="G502" s="39">
        <f>IF(B502="","",IF(OR(M502=0,N502&gt;0,O502&gt;0),"",SUMIFS('PEGAR'!$M$13:$M$512,'PEGAR'!$O$13:$O$512,B502)))</f>
      </c>
      <c r="H502" s="39">
        <f>IF(AND(ISNUMBER(F502),ISNUMBER(G502)),G502-F502,"")</f>
      </c>
      <c r="I502" s="27">
        <f>IF(B502="","",IF(W502=2,"ROJO",IF(W502=1,"ÁMBAR","VERDE")))</f>
      </c>
      <c r="J502" s="30">
        <f>IF(B502="","",IF(W502=0,"Sin avisos numéricos. Revisamos el alcance aparte.",IF(L502=0,"Faltan datos completos de partida; no elegimos un total por suposición."&amp;CHAR(10),"")&amp;IF(N502&gt;0,"Hay filas incompletas o contradictorias; las revisamos en PEGAR."&amp;CHAR(10),"")&amp;IF(O502&gt;0,"Faltan las medidas de alguna fila; no cerramos la suma."&amp;CHAR(10),"")&amp;IF(M502=0,"No constan líneas de medición."&amp;CHAR(10),"")&amp;IF(IF(ISNUMBER(H502),ROUND(ABS(H502),8)&gt;$F$6,FALSE),"Las líneas difieren del total en más de 0,01; confirmamos cantidad o exclusión."&amp;CHAR(10),"")&amp;IF(P502&gt;0,"Parece m³: encontramos tres dimensiones bajo m²."&amp;CHAR(10),"")&amp;IF(R502&gt;0,"Código repetido dentro del capítulo; mantenemos sus ID separados."&amp;CHAR(10),"")&amp;IF(S502&gt;0,"Código repetido en otro capítulo; no unimos las partidas."&amp;CHAR(10),"")&amp;IF(T502&gt;0,"Mismo código con unidades distintas; pedimos aclaración."&amp;CHAR(10),"")&amp;IF(Q502&gt;0,"Hay más precisión que los decimales indicados; cotejamos el formato original."&amp;CHAR(10),"")&amp;IF(U502&gt;0,"Unidad sin normalizar; cotejamos su significado antes de sumar unidades."&amp;CHAR(10),"")&amp;IF(V502&gt;0,"Revisamos dimensiones, cantidades directas, ceros o deducciones en PEGAR."&amp;CHAR(10),"")))</f>
      </c>
      <c r="K502" s="0">
        <f>IF(490&gt;'RESUMEN'!$E$6,"",MATCH(490,'PEGAR'!$W$13:$W$512,0))</f>
      </c>
      <c r="L502" s="0">
        <f>IF(K502="","",INDEX('PEGAR'!$R$13:$R$512,K502))</f>
      </c>
      <c r="M502" s="0">
        <f>IF(B502="","",COUNTIFS('PEGAR'!$O$13:$O$512,B502,'PEGAR'!$P$13:$P$512,"DIMENSIONES")+COUNTIFS('PEGAR'!$O$13:$O$512,B502,'PEGAR'!$P$13:$P$512,"DIRECTA"))</f>
      </c>
      <c r="N502" s="0">
        <f>IF(B502="","",COUNTIFS('PEGAR'!$O$13:$O$512,B502,'PEGAR'!$X$13:$X$512,2))</f>
      </c>
      <c r="O502" s="0">
        <f>IF(B502="","",COUNTIFS('PEGAR'!$O$13:$O$512,B502,'PEGAR'!$P$13:$P$512,"SIN LÍNEAS"))</f>
      </c>
      <c r="P502" s="0">
        <f>IF(B502="","",SUMIFS('PEGAR'!$Y$13:$Y$512,'PEGAR'!$O$13:$O$512,B502))</f>
      </c>
      <c r="Q502" s="0">
        <f>IF(B502="","",SUMIFS('PEGAR'!$Z$13:$Z$512,'PEGAR'!$O$13:$O$512,B502))</f>
      </c>
      <c r="R502" s="0" t="n">
        <f>IF(OR(B502="",D502=""),0,SUMPRODUCT(--($B$13:$B$512&lt;&gt;""),--($D$13:$D$512=D502),--($C$13:$C$512=C502))-1)</f>
        <v>0</v>
      </c>
      <c r="S502" s="0" t="n">
        <f>IF(OR(B502="",D502=""),0,SUMPRODUCT(--($B$13:$B$512&lt;&gt;""),--($D$13:$D$512=D502),--($C$13:$C$512&lt;&gt;C502)))</f>
        <v>0</v>
      </c>
      <c r="T502" s="0" t="n">
        <f>IF(OR(B502="",D502=""),0,SUMPRODUCT(--($B$13:$B$512&lt;&gt;""),--($D$13:$D$512=D502),--($E$13:$E$512&lt;&gt;E502)))</f>
        <v>0</v>
      </c>
      <c r="U502" s="0" t="n">
        <f>IF(B502="",0,IF(SUMPRODUCT(--('LÉEME'!$C$65:$C$86=E502))=0,1,0))</f>
        <v>0</v>
      </c>
      <c r="V502" s="0">
        <f>IF(B502="","",SUMIFS('PEGAR'!$AA$13:$AA$512,'PEGAR'!$O$13:$O$512,B502))</f>
      </c>
      <c r="W502" s="0">
        <f>IF(B502="","",IF(OR(L502=0,N502&gt;0,T502&gt;0,IF(ISNUMBER(H502),ROUND(ABS(H502),8)&gt;$F$6,FALSE)),2,IF(OR(M502=0,O502&gt;0,P502&gt;0,Q502&gt;0,R502&gt;0,S502&gt;0,U502&gt;0,V502&gt;0),1,0)))</f>
      </c>
      <c r="X502" s="0">
        <f>IF(B502="","",IF(ISNUMBER(G502),1,0))</f>
      </c>
      <c r="AB502" s="0">
        <f>IF(AND(ISNUMBER(W502),W502&gt;0),"ID "&amp;B502,"")</f>
      </c>
      <c r="AC502" s="0">
        <f>IF(AND(ISNUMBER(W502),W502&gt;0),C502,"")</f>
      </c>
      <c r="AD502" s="0">
        <f>IF(AND(ISNUMBER(W502),W502&gt;0),D502,"")</f>
      </c>
      <c r="AE502" s="0">
        <f>IF(AND(ISNUMBER(W502),W502&gt;0),IF(INDEX('PEGAR'!$D$13:$D$512,IF(L502&gt;0,L502,K502))="","Sin descripción",INDEX('PEGAR'!$D$13:$D$512,IF(L502&gt;0,L502,K502))),"")</f>
      </c>
      <c r="AF502" s="0">
        <f>IF(AND(ISNUMBER(W502),W502&gt;0),J502,"")</f>
      </c>
      <c r="AG502" s="0" t="n">
        <f>IF(AND(ISNUMBER(W502),W502&gt;0),W502,0)</f>
        <v>0</v>
      </c>
      <c r="AH502" s="0">
        <f>IF(AG502&gt;0,COUNTIFS($AG$13:AG502,"&gt;0"),"")</f>
      </c>
    </row>
    <row r="503" ht="22" customHeight="1">
      <c r="B503" s="27">
        <f>IF(K503="","",INDEX('PEGAR'!$O$13:$O$512,K503))</f>
      </c>
      <c r="C503" s="30">
        <f>IF(B503="","",IF(LEN(TRIM(INDEX('PEGAR'!$B$13:$B$512,IF(L503&gt;0,L503,K503))&amp;""))=0,"Sin capítulo",TRIM(INDEX('PEGAR'!$B$13:$B$512,IF(L503&gt;0,L503,K503))&amp;"")))</f>
      </c>
      <c r="D503" s="27">
        <f>IF(B503="","",IF(LEN(TRIM(INDEX('PEGAR'!$C$13:$C$512,IF(L503&gt;0,L503,K503))&amp;""))=0,"",TRIM(INDEX('PEGAR'!$C$13:$C$512,IF(L503&gt;0,L503,K503))&amp;"")))</f>
      </c>
      <c r="E503" s="27">
        <f>IF(B503="","",INDEX('PEGAR'!$S$13:$S$512,IF(L503&gt;0,L503,K503)))</f>
      </c>
      <c r="F503" s="39">
        <f>IF(B503="","",IF(L503&gt;0,INDEX('PEGAR'!$F$13:$F$512,L503),""))</f>
      </c>
      <c r="G503" s="39">
        <f>IF(B503="","",IF(OR(M503=0,N503&gt;0,O503&gt;0),"",SUMIFS('PEGAR'!$M$13:$M$512,'PEGAR'!$O$13:$O$512,B503)))</f>
      </c>
      <c r="H503" s="39">
        <f>IF(AND(ISNUMBER(F503),ISNUMBER(G503)),G503-F503,"")</f>
      </c>
      <c r="I503" s="27">
        <f>IF(B503="","",IF(W503=2,"ROJO",IF(W503=1,"ÁMBAR","VERDE")))</f>
      </c>
      <c r="J503" s="30">
        <f>IF(B503="","",IF(W503=0,"Sin avisos numéricos. Revisamos el alcance aparte.",IF(L503=0,"Faltan datos completos de partida; no elegimos un total por suposición."&amp;CHAR(10),"")&amp;IF(N503&gt;0,"Hay filas incompletas o contradictorias; las revisamos en PEGAR."&amp;CHAR(10),"")&amp;IF(O503&gt;0,"Faltan las medidas de alguna fila; no cerramos la suma."&amp;CHAR(10),"")&amp;IF(M503=0,"No constan líneas de medición."&amp;CHAR(10),"")&amp;IF(IF(ISNUMBER(H503),ROUND(ABS(H503),8)&gt;$F$6,FALSE),"Las líneas difieren del total en más de 0,01; confirmamos cantidad o exclusión."&amp;CHAR(10),"")&amp;IF(P503&gt;0,"Parece m³: encontramos tres dimensiones bajo m²."&amp;CHAR(10),"")&amp;IF(R503&gt;0,"Código repetido dentro del capítulo; mantenemos sus ID separados."&amp;CHAR(10),"")&amp;IF(S503&gt;0,"Código repetido en otro capítulo; no unimos las partidas."&amp;CHAR(10),"")&amp;IF(T503&gt;0,"Mismo código con unidades distintas; pedimos aclaración."&amp;CHAR(10),"")&amp;IF(Q503&gt;0,"Hay más precisión que los decimales indicados; cotejamos el formato original."&amp;CHAR(10),"")&amp;IF(U503&gt;0,"Unidad sin normalizar; cotejamos su significado antes de sumar unidades."&amp;CHAR(10),"")&amp;IF(V503&gt;0,"Revisamos dimensiones, cantidades directas, ceros o deducciones en PEGAR."&amp;CHAR(10),"")))</f>
      </c>
      <c r="K503" s="0">
        <f>IF(491&gt;'RESUMEN'!$E$6,"",MATCH(491,'PEGAR'!$W$13:$W$512,0))</f>
      </c>
      <c r="L503" s="0">
        <f>IF(K503="","",INDEX('PEGAR'!$R$13:$R$512,K503))</f>
      </c>
      <c r="M503" s="0">
        <f>IF(B503="","",COUNTIFS('PEGAR'!$O$13:$O$512,B503,'PEGAR'!$P$13:$P$512,"DIMENSIONES")+COUNTIFS('PEGAR'!$O$13:$O$512,B503,'PEGAR'!$P$13:$P$512,"DIRECTA"))</f>
      </c>
      <c r="N503" s="0">
        <f>IF(B503="","",COUNTIFS('PEGAR'!$O$13:$O$512,B503,'PEGAR'!$X$13:$X$512,2))</f>
      </c>
      <c r="O503" s="0">
        <f>IF(B503="","",COUNTIFS('PEGAR'!$O$13:$O$512,B503,'PEGAR'!$P$13:$P$512,"SIN LÍNEAS"))</f>
      </c>
      <c r="P503" s="0">
        <f>IF(B503="","",SUMIFS('PEGAR'!$Y$13:$Y$512,'PEGAR'!$O$13:$O$512,B503))</f>
      </c>
      <c r="Q503" s="0">
        <f>IF(B503="","",SUMIFS('PEGAR'!$Z$13:$Z$512,'PEGAR'!$O$13:$O$512,B503))</f>
      </c>
      <c r="R503" s="0" t="n">
        <f>IF(OR(B503="",D503=""),0,SUMPRODUCT(--($B$13:$B$512&lt;&gt;""),--($D$13:$D$512=D503),--($C$13:$C$512=C503))-1)</f>
        <v>0</v>
      </c>
      <c r="S503" s="0" t="n">
        <f>IF(OR(B503="",D503=""),0,SUMPRODUCT(--($B$13:$B$512&lt;&gt;""),--($D$13:$D$512=D503),--($C$13:$C$512&lt;&gt;C503)))</f>
        <v>0</v>
      </c>
      <c r="T503" s="0" t="n">
        <f>IF(OR(B503="",D503=""),0,SUMPRODUCT(--($B$13:$B$512&lt;&gt;""),--($D$13:$D$512=D503),--($E$13:$E$512&lt;&gt;E503)))</f>
        <v>0</v>
      </c>
      <c r="U503" s="0" t="n">
        <f>IF(B503="",0,IF(SUMPRODUCT(--('LÉEME'!$C$65:$C$86=E503))=0,1,0))</f>
        <v>0</v>
      </c>
      <c r="V503" s="0">
        <f>IF(B503="","",SUMIFS('PEGAR'!$AA$13:$AA$512,'PEGAR'!$O$13:$O$512,B503))</f>
      </c>
      <c r="W503" s="0">
        <f>IF(B503="","",IF(OR(L503=0,N503&gt;0,T503&gt;0,IF(ISNUMBER(H503),ROUND(ABS(H503),8)&gt;$F$6,FALSE)),2,IF(OR(M503=0,O503&gt;0,P503&gt;0,Q503&gt;0,R503&gt;0,S503&gt;0,U503&gt;0,V503&gt;0),1,0)))</f>
      </c>
      <c r="X503" s="0">
        <f>IF(B503="","",IF(ISNUMBER(G503),1,0))</f>
      </c>
      <c r="AB503" s="0">
        <f>IF(AND(ISNUMBER(W503),W503&gt;0),"ID "&amp;B503,"")</f>
      </c>
      <c r="AC503" s="0">
        <f>IF(AND(ISNUMBER(W503),W503&gt;0),C503,"")</f>
      </c>
      <c r="AD503" s="0">
        <f>IF(AND(ISNUMBER(W503),W503&gt;0),D503,"")</f>
      </c>
      <c r="AE503" s="0">
        <f>IF(AND(ISNUMBER(W503),W503&gt;0),IF(INDEX('PEGAR'!$D$13:$D$512,IF(L503&gt;0,L503,K503))="","Sin descripción",INDEX('PEGAR'!$D$13:$D$512,IF(L503&gt;0,L503,K503))),"")</f>
      </c>
      <c r="AF503" s="0">
        <f>IF(AND(ISNUMBER(W503),W503&gt;0),J503,"")</f>
      </c>
      <c r="AG503" s="0" t="n">
        <f>IF(AND(ISNUMBER(W503),W503&gt;0),W503,0)</f>
        <v>0</v>
      </c>
      <c r="AH503" s="0">
        <f>IF(AG503&gt;0,COUNTIFS($AG$13:AG503,"&gt;0"),"")</f>
      </c>
    </row>
    <row r="504" ht="22" customHeight="1">
      <c r="B504" s="27">
        <f>IF(K504="","",INDEX('PEGAR'!$O$13:$O$512,K504))</f>
      </c>
      <c r="C504" s="30">
        <f>IF(B504="","",IF(LEN(TRIM(INDEX('PEGAR'!$B$13:$B$512,IF(L504&gt;0,L504,K504))&amp;""))=0,"Sin capítulo",TRIM(INDEX('PEGAR'!$B$13:$B$512,IF(L504&gt;0,L504,K504))&amp;"")))</f>
      </c>
      <c r="D504" s="27">
        <f>IF(B504="","",IF(LEN(TRIM(INDEX('PEGAR'!$C$13:$C$512,IF(L504&gt;0,L504,K504))&amp;""))=0,"",TRIM(INDEX('PEGAR'!$C$13:$C$512,IF(L504&gt;0,L504,K504))&amp;"")))</f>
      </c>
      <c r="E504" s="27">
        <f>IF(B504="","",INDEX('PEGAR'!$S$13:$S$512,IF(L504&gt;0,L504,K504)))</f>
      </c>
      <c r="F504" s="39">
        <f>IF(B504="","",IF(L504&gt;0,INDEX('PEGAR'!$F$13:$F$512,L504),""))</f>
      </c>
      <c r="G504" s="39">
        <f>IF(B504="","",IF(OR(M504=0,N504&gt;0,O504&gt;0),"",SUMIFS('PEGAR'!$M$13:$M$512,'PEGAR'!$O$13:$O$512,B504)))</f>
      </c>
      <c r="H504" s="39">
        <f>IF(AND(ISNUMBER(F504),ISNUMBER(G504)),G504-F504,"")</f>
      </c>
      <c r="I504" s="27">
        <f>IF(B504="","",IF(W504=2,"ROJO",IF(W504=1,"ÁMBAR","VERDE")))</f>
      </c>
      <c r="J504" s="30">
        <f>IF(B504="","",IF(W504=0,"Sin avisos numéricos. Revisamos el alcance aparte.",IF(L504=0,"Faltan datos completos de partida; no elegimos un total por suposición."&amp;CHAR(10),"")&amp;IF(N504&gt;0,"Hay filas incompletas o contradictorias; las revisamos en PEGAR."&amp;CHAR(10),"")&amp;IF(O504&gt;0,"Faltan las medidas de alguna fila; no cerramos la suma."&amp;CHAR(10),"")&amp;IF(M504=0,"No constan líneas de medición."&amp;CHAR(10),"")&amp;IF(IF(ISNUMBER(H504),ROUND(ABS(H504),8)&gt;$F$6,FALSE),"Las líneas difieren del total en más de 0,01; confirmamos cantidad o exclusión."&amp;CHAR(10),"")&amp;IF(P504&gt;0,"Parece m³: encontramos tres dimensiones bajo m²."&amp;CHAR(10),"")&amp;IF(R504&gt;0,"Código repetido dentro del capítulo; mantenemos sus ID separados."&amp;CHAR(10),"")&amp;IF(S504&gt;0,"Código repetido en otro capítulo; no unimos las partidas."&amp;CHAR(10),"")&amp;IF(T504&gt;0,"Mismo código con unidades distintas; pedimos aclaración."&amp;CHAR(10),"")&amp;IF(Q504&gt;0,"Hay más precisión que los decimales indicados; cotejamos el formato original."&amp;CHAR(10),"")&amp;IF(U504&gt;0,"Unidad sin normalizar; cotejamos su significado antes de sumar unidades."&amp;CHAR(10),"")&amp;IF(V504&gt;0,"Revisamos dimensiones, cantidades directas, ceros o deducciones en PEGAR."&amp;CHAR(10),"")))</f>
      </c>
      <c r="K504" s="0">
        <f>IF(492&gt;'RESUMEN'!$E$6,"",MATCH(492,'PEGAR'!$W$13:$W$512,0))</f>
      </c>
      <c r="L504" s="0">
        <f>IF(K504="","",INDEX('PEGAR'!$R$13:$R$512,K504))</f>
      </c>
      <c r="M504" s="0">
        <f>IF(B504="","",COUNTIFS('PEGAR'!$O$13:$O$512,B504,'PEGAR'!$P$13:$P$512,"DIMENSIONES")+COUNTIFS('PEGAR'!$O$13:$O$512,B504,'PEGAR'!$P$13:$P$512,"DIRECTA"))</f>
      </c>
      <c r="N504" s="0">
        <f>IF(B504="","",COUNTIFS('PEGAR'!$O$13:$O$512,B504,'PEGAR'!$X$13:$X$512,2))</f>
      </c>
      <c r="O504" s="0">
        <f>IF(B504="","",COUNTIFS('PEGAR'!$O$13:$O$512,B504,'PEGAR'!$P$13:$P$512,"SIN LÍNEAS"))</f>
      </c>
      <c r="P504" s="0">
        <f>IF(B504="","",SUMIFS('PEGAR'!$Y$13:$Y$512,'PEGAR'!$O$13:$O$512,B504))</f>
      </c>
      <c r="Q504" s="0">
        <f>IF(B504="","",SUMIFS('PEGAR'!$Z$13:$Z$512,'PEGAR'!$O$13:$O$512,B504))</f>
      </c>
      <c r="R504" s="0" t="n">
        <f>IF(OR(B504="",D504=""),0,SUMPRODUCT(--($B$13:$B$512&lt;&gt;""),--($D$13:$D$512=D504),--($C$13:$C$512=C504))-1)</f>
        <v>0</v>
      </c>
      <c r="S504" s="0" t="n">
        <f>IF(OR(B504="",D504=""),0,SUMPRODUCT(--($B$13:$B$512&lt;&gt;""),--($D$13:$D$512=D504),--($C$13:$C$512&lt;&gt;C504)))</f>
        <v>0</v>
      </c>
      <c r="T504" s="0" t="n">
        <f>IF(OR(B504="",D504=""),0,SUMPRODUCT(--($B$13:$B$512&lt;&gt;""),--($D$13:$D$512=D504),--($E$13:$E$512&lt;&gt;E504)))</f>
        <v>0</v>
      </c>
      <c r="U504" s="0" t="n">
        <f>IF(B504="",0,IF(SUMPRODUCT(--('LÉEME'!$C$65:$C$86=E504))=0,1,0))</f>
        <v>0</v>
      </c>
      <c r="V504" s="0">
        <f>IF(B504="","",SUMIFS('PEGAR'!$AA$13:$AA$512,'PEGAR'!$O$13:$O$512,B504))</f>
      </c>
      <c r="W504" s="0">
        <f>IF(B504="","",IF(OR(L504=0,N504&gt;0,T504&gt;0,IF(ISNUMBER(H504),ROUND(ABS(H504),8)&gt;$F$6,FALSE)),2,IF(OR(M504=0,O504&gt;0,P504&gt;0,Q504&gt;0,R504&gt;0,S504&gt;0,U504&gt;0,V504&gt;0),1,0)))</f>
      </c>
      <c r="X504" s="0">
        <f>IF(B504="","",IF(ISNUMBER(G504),1,0))</f>
      </c>
      <c r="AB504" s="0">
        <f>IF(AND(ISNUMBER(W504),W504&gt;0),"ID "&amp;B504,"")</f>
      </c>
      <c r="AC504" s="0">
        <f>IF(AND(ISNUMBER(W504),W504&gt;0),C504,"")</f>
      </c>
      <c r="AD504" s="0">
        <f>IF(AND(ISNUMBER(W504),W504&gt;0),D504,"")</f>
      </c>
      <c r="AE504" s="0">
        <f>IF(AND(ISNUMBER(W504),W504&gt;0),IF(INDEX('PEGAR'!$D$13:$D$512,IF(L504&gt;0,L504,K504))="","Sin descripción",INDEX('PEGAR'!$D$13:$D$512,IF(L504&gt;0,L504,K504))),"")</f>
      </c>
      <c r="AF504" s="0">
        <f>IF(AND(ISNUMBER(W504),W504&gt;0),J504,"")</f>
      </c>
      <c r="AG504" s="0" t="n">
        <f>IF(AND(ISNUMBER(W504),W504&gt;0),W504,0)</f>
        <v>0</v>
      </c>
      <c r="AH504" s="0">
        <f>IF(AG504&gt;0,COUNTIFS($AG$13:AG504,"&gt;0"),"")</f>
      </c>
    </row>
    <row r="505" ht="22" customHeight="1">
      <c r="B505" s="27">
        <f>IF(K505="","",INDEX('PEGAR'!$O$13:$O$512,K505))</f>
      </c>
      <c r="C505" s="30">
        <f>IF(B505="","",IF(LEN(TRIM(INDEX('PEGAR'!$B$13:$B$512,IF(L505&gt;0,L505,K505))&amp;""))=0,"Sin capítulo",TRIM(INDEX('PEGAR'!$B$13:$B$512,IF(L505&gt;0,L505,K505))&amp;"")))</f>
      </c>
      <c r="D505" s="27">
        <f>IF(B505="","",IF(LEN(TRIM(INDEX('PEGAR'!$C$13:$C$512,IF(L505&gt;0,L505,K505))&amp;""))=0,"",TRIM(INDEX('PEGAR'!$C$13:$C$512,IF(L505&gt;0,L505,K505))&amp;"")))</f>
      </c>
      <c r="E505" s="27">
        <f>IF(B505="","",INDEX('PEGAR'!$S$13:$S$512,IF(L505&gt;0,L505,K505)))</f>
      </c>
      <c r="F505" s="39">
        <f>IF(B505="","",IF(L505&gt;0,INDEX('PEGAR'!$F$13:$F$512,L505),""))</f>
      </c>
      <c r="G505" s="39">
        <f>IF(B505="","",IF(OR(M505=0,N505&gt;0,O505&gt;0),"",SUMIFS('PEGAR'!$M$13:$M$512,'PEGAR'!$O$13:$O$512,B505)))</f>
      </c>
      <c r="H505" s="39">
        <f>IF(AND(ISNUMBER(F505),ISNUMBER(G505)),G505-F505,"")</f>
      </c>
      <c r="I505" s="27">
        <f>IF(B505="","",IF(W505=2,"ROJO",IF(W505=1,"ÁMBAR","VERDE")))</f>
      </c>
      <c r="J505" s="30">
        <f>IF(B505="","",IF(W505=0,"Sin avisos numéricos. Revisamos el alcance aparte.",IF(L505=0,"Faltan datos completos de partida; no elegimos un total por suposición."&amp;CHAR(10),"")&amp;IF(N505&gt;0,"Hay filas incompletas o contradictorias; las revisamos en PEGAR."&amp;CHAR(10),"")&amp;IF(O505&gt;0,"Faltan las medidas de alguna fila; no cerramos la suma."&amp;CHAR(10),"")&amp;IF(M505=0,"No constan líneas de medición."&amp;CHAR(10),"")&amp;IF(IF(ISNUMBER(H505),ROUND(ABS(H505),8)&gt;$F$6,FALSE),"Las líneas difieren del total en más de 0,01; confirmamos cantidad o exclusión."&amp;CHAR(10),"")&amp;IF(P505&gt;0,"Parece m³: encontramos tres dimensiones bajo m²."&amp;CHAR(10),"")&amp;IF(R505&gt;0,"Código repetido dentro del capítulo; mantenemos sus ID separados."&amp;CHAR(10),"")&amp;IF(S505&gt;0,"Código repetido en otro capítulo; no unimos las partidas."&amp;CHAR(10),"")&amp;IF(T505&gt;0,"Mismo código con unidades distintas; pedimos aclaración."&amp;CHAR(10),"")&amp;IF(Q505&gt;0,"Hay más precisión que los decimales indicados; cotejamos el formato original."&amp;CHAR(10),"")&amp;IF(U505&gt;0,"Unidad sin normalizar; cotejamos su significado antes de sumar unidades."&amp;CHAR(10),"")&amp;IF(V505&gt;0,"Revisamos dimensiones, cantidades directas, ceros o deducciones en PEGAR."&amp;CHAR(10),"")))</f>
      </c>
      <c r="K505" s="0">
        <f>IF(493&gt;'RESUMEN'!$E$6,"",MATCH(493,'PEGAR'!$W$13:$W$512,0))</f>
      </c>
      <c r="L505" s="0">
        <f>IF(K505="","",INDEX('PEGAR'!$R$13:$R$512,K505))</f>
      </c>
      <c r="M505" s="0">
        <f>IF(B505="","",COUNTIFS('PEGAR'!$O$13:$O$512,B505,'PEGAR'!$P$13:$P$512,"DIMENSIONES")+COUNTIFS('PEGAR'!$O$13:$O$512,B505,'PEGAR'!$P$13:$P$512,"DIRECTA"))</f>
      </c>
      <c r="N505" s="0">
        <f>IF(B505="","",COUNTIFS('PEGAR'!$O$13:$O$512,B505,'PEGAR'!$X$13:$X$512,2))</f>
      </c>
      <c r="O505" s="0">
        <f>IF(B505="","",COUNTIFS('PEGAR'!$O$13:$O$512,B505,'PEGAR'!$P$13:$P$512,"SIN LÍNEAS"))</f>
      </c>
      <c r="P505" s="0">
        <f>IF(B505="","",SUMIFS('PEGAR'!$Y$13:$Y$512,'PEGAR'!$O$13:$O$512,B505))</f>
      </c>
      <c r="Q505" s="0">
        <f>IF(B505="","",SUMIFS('PEGAR'!$Z$13:$Z$512,'PEGAR'!$O$13:$O$512,B505))</f>
      </c>
      <c r="R505" s="0" t="n">
        <f>IF(OR(B505="",D505=""),0,SUMPRODUCT(--($B$13:$B$512&lt;&gt;""),--($D$13:$D$512=D505),--($C$13:$C$512=C505))-1)</f>
        <v>0</v>
      </c>
      <c r="S505" s="0" t="n">
        <f>IF(OR(B505="",D505=""),0,SUMPRODUCT(--($B$13:$B$512&lt;&gt;""),--($D$13:$D$512=D505),--($C$13:$C$512&lt;&gt;C505)))</f>
        <v>0</v>
      </c>
      <c r="T505" s="0" t="n">
        <f>IF(OR(B505="",D505=""),0,SUMPRODUCT(--($B$13:$B$512&lt;&gt;""),--($D$13:$D$512=D505),--($E$13:$E$512&lt;&gt;E505)))</f>
        <v>0</v>
      </c>
      <c r="U505" s="0" t="n">
        <f>IF(B505="",0,IF(SUMPRODUCT(--('LÉEME'!$C$65:$C$86=E505))=0,1,0))</f>
        <v>0</v>
      </c>
      <c r="V505" s="0">
        <f>IF(B505="","",SUMIFS('PEGAR'!$AA$13:$AA$512,'PEGAR'!$O$13:$O$512,B505))</f>
      </c>
      <c r="W505" s="0">
        <f>IF(B505="","",IF(OR(L505=0,N505&gt;0,T505&gt;0,IF(ISNUMBER(H505),ROUND(ABS(H505),8)&gt;$F$6,FALSE)),2,IF(OR(M505=0,O505&gt;0,P505&gt;0,Q505&gt;0,R505&gt;0,S505&gt;0,U505&gt;0,V505&gt;0),1,0)))</f>
      </c>
      <c r="X505" s="0">
        <f>IF(B505="","",IF(ISNUMBER(G505),1,0))</f>
      </c>
      <c r="AB505" s="0">
        <f>IF(AND(ISNUMBER(W505),W505&gt;0),"ID "&amp;B505,"")</f>
      </c>
      <c r="AC505" s="0">
        <f>IF(AND(ISNUMBER(W505),W505&gt;0),C505,"")</f>
      </c>
      <c r="AD505" s="0">
        <f>IF(AND(ISNUMBER(W505),W505&gt;0),D505,"")</f>
      </c>
      <c r="AE505" s="0">
        <f>IF(AND(ISNUMBER(W505),W505&gt;0),IF(INDEX('PEGAR'!$D$13:$D$512,IF(L505&gt;0,L505,K505))="","Sin descripción",INDEX('PEGAR'!$D$13:$D$512,IF(L505&gt;0,L505,K505))),"")</f>
      </c>
      <c r="AF505" s="0">
        <f>IF(AND(ISNUMBER(W505),W505&gt;0),J505,"")</f>
      </c>
      <c r="AG505" s="0" t="n">
        <f>IF(AND(ISNUMBER(W505),W505&gt;0),W505,0)</f>
        <v>0</v>
      </c>
      <c r="AH505" s="0">
        <f>IF(AG505&gt;0,COUNTIFS($AG$13:AG505,"&gt;0"),"")</f>
      </c>
    </row>
    <row r="506" ht="22" customHeight="1">
      <c r="B506" s="27">
        <f>IF(K506="","",INDEX('PEGAR'!$O$13:$O$512,K506))</f>
      </c>
      <c r="C506" s="30">
        <f>IF(B506="","",IF(LEN(TRIM(INDEX('PEGAR'!$B$13:$B$512,IF(L506&gt;0,L506,K506))&amp;""))=0,"Sin capítulo",TRIM(INDEX('PEGAR'!$B$13:$B$512,IF(L506&gt;0,L506,K506))&amp;"")))</f>
      </c>
      <c r="D506" s="27">
        <f>IF(B506="","",IF(LEN(TRIM(INDEX('PEGAR'!$C$13:$C$512,IF(L506&gt;0,L506,K506))&amp;""))=0,"",TRIM(INDEX('PEGAR'!$C$13:$C$512,IF(L506&gt;0,L506,K506))&amp;"")))</f>
      </c>
      <c r="E506" s="27">
        <f>IF(B506="","",INDEX('PEGAR'!$S$13:$S$512,IF(L506&gt;0,L506,K506)))</f>
      </c>
      <c r="F506" s="39">
        <f>IF(B506="","",IF(L506&gt;0,INDEX('PEGAR'!$F$13:$F$512,L506),""))</f>
      </c>
      <c r="G506" s="39">
        <f>IF(B506="","",IF(OR(M506=0,N506&gt;0,O506&gt;0),"",SUMIFS('PEGAR'!$M$13:$M$512,'PEGAR'!$O$13:$O$512,B506)))</f>
      </c>
      <c r="H506" s="39">
        <f>IF(AND(ISNUMBER(F506),ISNUMBER(G506)),G506-F506,"")</f>
      </c>
      <c r="I506" s="27">
        <f>IF(B506="","",IF(W506=2,"ROJO",IF(W506=1,"ÁMBAR","VERDE")))</f>
      </c>
      <c r="J506" s="30">
        <f>IF(B506="","",IF(W506=0,"Sin avisos numéricos. Revisamos el alcance aparte.",IF(L506=0,"Faltan datos completos de partida; no elegimos un total por suposición."&amp;CHAR(10),"")&amp;IF(N506&gt;0,"Hay filas incompletas o contradictorias; las revisamos en PEGAR."&amp;CHAR(10),"")&amp;IF(O506&gt;0,"Faltan las medidas de alguna fila; no cerramos la suma."&amp;CHAR(10),"")&amp;IF(M506=0,"No constan líneas de medición."&amp;CHAR(10),"")&amp;IF(IF(ISNUMBER(H506),ROUND(ABS(H506),8)&gt;$F$6,FALSE),"Las líneas difieren del total en más de 0,01; confirmamos cantidad o exclusión."&amp;CHAR(10),"")&amp;IF(P506&gt;0,"Parece m³: encontramos tres dimensiones bajo m²."&amp;CHAR(10),"")&amp;IF(R506&gt;0,"Código repetido dentro del capítulo; mantenemos sus ID separados."&amp;CHAR(10),"")&amp;IF(S506&gt;0,"Código repetido en otro capítulo; no unimos las partidas."&amp;CHAR(10),"")&amp;IF(T506&gt;0,"Mismo código con unidades distintas; pedimos aclaración."&amp;CHAR(10),"")&amp;IF(Q506&gt;0,"Hay más precisión que los decimales indicados; cotejamos el formato original."&amp;CHAR(10),"")&amp;IF(U506&gt;0,"Unidad sin normalizar; cotejamos su significado antes de sumar unidades."&amp;CHAR(10),"")&amp;IF(V506&gt;0,"Revisamos dimensiones, cantidades directas, ceros o deducciones en PEGAR."&amp;CHAR(10),"")))</f>
      </c>
      <c r="K506" s="0">
        <f>IF(494&gt;'RESUMEN'!$E$6,"",MATCH(494,'PEGAR'!$W$13:$W$512,0))</f>
      </c>
      <c r="L506" s="0">
        <f>IF(K506="","",INDEX('PEGAR'!$R$13:$R$512,K506))</f>
      </c>
      <c r="M506" s="0">
        <f>IF(B506="","",COUNTIFS('PEGAR'!$O$13:$O$512,B506,'PEGAR'!$P$13:$P$512,"DIMENSIONES")+COUNTIFS('PEGAR'!$O$13:$O$512,B506,'PEGAR'!$P$13:$P$512,"DIRECTA"))</f>
      </c>
      <c r="N506" s="0">
        <f>IF(B506="","",COUNTIFS('PEGAR'!$O$13:$O$512,B506,'PEGAR'!$X$13:$X$512,2))</f>
      </c>
      <c r="O506" s="0">
        <f>IF(B506="","",COUNTIFS('PEGAR'!$O$13:$O$512,B506,'PEGAR'!$P$13:$P$512,"SIN LÍNEAS"))</f>
      </c>
      <c r="P506" s="0">
        <f>IF(B506="","",SUMIFS('PEGAR'!$Y$13:$Y$512,'PEGAR'!$O$13:$O$512,B506))</f>
      </c>
      <c r="Q506" s="0">
        <f>IF(B506="","",SUMIFS('PEGAR'!$Z$13:$Z$512,'PEGAR'!$O$13:$O$512,B506))</f>
      </c>
      <c r="R506" s="0" t="n">
        <f>IF(OR(B506="",D506=""),0,SUMPRODUCT(--($B$13:$B$512&lt;&gt;""),--($D$13:$D$512=D506),--($C$13:$C$512=C506))-1)</f>
        <v>0</v>
      </c>
      <c r="S506" s="0" t="n">
        <f>IF(OR(B506="",D506=""),0,SUMPRODUCT(--($B$13:$B$512&lt;&gt;""),--($D$13:$D$512=D506),--($C$13:$C$512&lt;&gt;C506)))</f>
        <v>0</v>
      </c>
      <c r="T506" s="0" t="n">
        <f>IF(OR(B506="",D506=""),0,SUMPRODUCT(--($B$13:$B$512&lt;&gt;""),--($D$13:$D$512=D506),--($E$13:$E$512&lt;&gt;E506)))</f>
        <v>0</v>
      </c>
      <c r="U506" s="0" t="n">
        <f>IF(B506="",0,IF(SUMPRODUCT(--('LÉEME'!$C$65:$C$86=E506))=0,1,0))</f>
        <v>0</v>
      </c>
      <c r="V506" s="0">
        <f>IF(B506="","",SUMIFS('PEGAR'!$AA$13:$AA$512,'PEGAR'!$O$13:$O$512,B506))</f>
      </c>
      <c r="W506" s="0">
        <f>IF(B506="","",IF(OR(L506=0,N506&gt;0,T506&gt;0,IF(ISNUMBER(H506),ROUND(ABS(H506),8)&gt;$F$6,FALSE)),2,IF(OR(M506=0,O506&gt;0,P506&gt;0,Q506&gt;0,R506&gt;0,S506&gt;0,U506&gt;0,V506&gt;0),1,0)))</f>
      </c>
      <c r="X506" s="0">
        <f>IF(B506="","",IF(ISNUMBER(G506),1,0))</f>
      </c>
      <c r="AB506" s="0">
        <f>IF(AND(ISNUMBER(W506),W506&gt;0),"ID "&amp;B506,"")</f>
      </c>
      <c r="AC506" s="0">
        <f>IF(AND(ISNUMBER(W506),W506&gt;0),C506,"")</f>
      </c>
      <c r="AD506" s="0">
        <f>IF(AND(ISNUMBER(W506),W506&gt;0),D506,"")</f>
      </c>
      <c r="AE506" s="0">
        <f>IF(AND(ISNUMBER(W506),W506&gt;0),IF(INDEX('PEGAR'!$D$13:$D$512,IF(L506&gt;0,L506,K506))="","Sin descripción",INDEX('PEGAR'!$D$13:$D$512,IF(L506&gt;0,L506,K506))),"")</f>
      </c>
      <c r="AF506" s="0">
        <f>IF(AND(ISNUMBER(W506),W506&gt;0),J506,"")</f>
      </c>
      <c r="AG506" s="0" t="n">
        <f>IF(AND(ISNUMBER(W506),W506&gt;0),W506,0)</f>
        <v>0</v>
      </c>
      <c r="AH506" s="0">
        <f>IF(AG506&gt;0,COUNTIFS($AG$13:AG506,"&gt;0"),"")</f>
      </c>
    </row>
    <row r="507" ht="22" customHeight="1">
      <c r="B507" s="27">
        <f>IF(K507="","",INDEX('PEGAR'!$O$13:$O$512,K507))</f>
      </c>
      <c r="C507" s="30">
        <f>IF(B507="","",IF(LEN(TRIM(INDEX('PEGAR'!$B$13:$B$512,IF(L507&gt;0,L507,K507))&amp;""))=0,"Sin capítulo",TRIM(INDEX('PEGAR'!$B$13:$B$512,IF(L507&gt;0,L507,K507))&amp;"")))</f>
      </c>
      <c r="D507" s="27">
        <f>IF(B507="","",IF(LEN(TRIM(INDEX('PEGAR'!$C$13:$C$512,IF(L507&gt;0,L507,K507))&amp;""))=0,"",TRIM(INDEX('PEGAR'!$C$13:$C$512,IF(L507&gt;0,L507,K507))&amp;"")))</f>
      </c>
      <c r="E507" s="27">
        <f>IF(B507="","",INDEX('PEGAR'!$S$13:$S$512,IF(L507&gt;0,L507,K507)))</f>
      </c>
      <c r="F507" s="39">
        <f>IF(B507="","",IF(L507&gt;0,INDEX('PEGAR'!$F$13:$F$512,L507),""))</f>
      </c>
      <c r="G507" s="39">
        <f>IF(B507="","",IF(OR(M507=0,N507&gt;0,O507&gt;0),"",SUMIFS('PEGAR'!$M$13:$M$512,'PEGAR'!$O$13:$O$512,B507)))</f>
      </c>
      <c r="H507" s="39">
        <f>IF(AND(ISNUMBER(F507),ISNUMBER(G507)),G507-F507,"")</f>
      </c>
      <c r="I507" s="27">
        <f>IF(B507="","",IF(W507=2,"ROJO",IF(W507=1,"ÁMBAR","VERDE")))</f>
      </c>
      <c r="J507" s="30">
        <f>IF(B507="","",IF(W507=0,"Sin avisos numéricos. Revisamos el alcance aparte.",IF(L507=0,"Faltan datos completos de partida; no elegimos un total por suposición."&amp;CHAR(10),"")&amp;IF(N507&gt;0,"Hay filas incompletas o contradictorias; las revisamos en PEGAR."&amp;CHAR(10),"")&amp;IF(O507&gt;0,"Faltan las medidas de alguna fila; no cerramos la suma."&amp;CHAR(10),"")&amp;IF(M507=0,"No constan líneas de medición."&amp;CHAR(10),"")&amp;IF(IF(ISNUMBER(H507),ROUND(ABS(H507),8)&gt;$F$6,FALSE),"Las líneas difieren del total en más de 0,01; confirmamos cantidad o exclusión."&amp;CHAR(10),"")&amp;IF(P507&gt;0,"Parece m³: encontramos tres dimensiones bajo m²."&amp;CHAR(10),"")&amp;IF(R507&gt;0,"Código repetido dentro del capítulo; mantenemos sus ID separados."&amp;CHAR(10),"")&amp;IF(S507&gt;0,"Código repetido en otro capítulo; no unimos las partidas."&amp;CHAR(10),"")&amp;IF(T507&gt;0,"Mismo código con unidades distintas; pedimos aclaración."&amp;CHAR(10),"")&amp;IF(Q507&gt;0,"Hay más precisión que los decimales indicados; cotejamos el formato original."&amp;CHAR(10),"")&amp;IF(U507&gt;0,"Unidad sin normalizar; cotejamos su significado antes de sumar unidades."&amp;CHAR(10),"")&amp;IF(V507&gt;0,"Revisamos dimensiones, cantidades directas, ceros o deducciones en PEGAR."&amp;CHAR(10),"")))</f>
      </c>
      <c r="K507" s="0">
        <f>IF(495&gt;'RESUMEN'!$E$6,"",MATCH(495,'PEGAR'!$W$13:$W$512,0))</f>
      </c>
      <c r="L507" s="0">
        <f>IF(K507="","",INDEX('PEGAR'!$R$13:$R$512,K507))</f>
      </c>
      <c r="M507" s="0">
        <f>IF(B507="","",COUNTIFS('PEGAR'!$O$13:$O$512,B507,'PEGAR'!$P$13:$P$512,"DIMENSIONES")+COUNTIFS('PEGAR'!$O$13:$O$512,B507,'PEGAR'!$P$13:$P$512,"DIRECTA"))</f>
      </c>
      <c r="N507" s="0">
        <f>IF(B507="","",COUNTIFS('PEGAR'!$O$13:$O$512,B507,'PEGAR'!$X$13:$X$512,2))</f>
      </c>
      <c r="O507" s="0">
        <f>IF(B507="","",COUNTIFS('PEGAR'!$O$13:$O$512,B507,'PEGAR'!$P$13:$P$512,"SIN LÍNEAS"))</f>
      </c>
      <c r="P507" s="0">
        <f>IF(B507="","",SUMIFS('PEGAR'!$Y$13:$Y$512,'PEGAR'!$O$13:$O$512,B507))</f>
      </c>
      <c r="Q507" s="0">
        <f>IF(B507="","",SUMIFS('PEGAR'!$Z$13:$Z$512,'PEGAR'!$O$13:$O$512,B507))</f>
      </c>
      <c r="R507" s="0" t="n">
        <f>IF(OR(B507="",D507=""),0,SUMPRODUCT(--($B$13:$B$512&lt;&gt;""),--($D$13:$D$512=D507),--($C$13:$C$512=C507))-1)</f>
        <v>0</v>
      </c>
      <c r="S507" s="0" t="n">
        <f>IF(OR(B507="",D507=""),0,SUMPRODUCT(--($B$13:$B$512&lt;&gt;""),--($D$13:$D$512=D507),--($C$13:$C$512&lt;&gt;C507)))</f>
        <v>0</v>
      </c>
      <c r="T507" s="0" t="n">
        <f>IF(OR(B507="",D507=""),0,SUMPRODUCT(--($B$13:$B$512&lt;&gt;""),--($D$13:$D$512=D507),--($E$13:$E$512&lt;&gt;E507)))</f>
        <v>0</v>
      </c>
      <c r="U507" s="0" t="n">
        <f>IF(B507="",0,IF(SUMPRODUCT(--('LÉEME'!$C$65:$C$86=E507))=0,1,0))</f>
        <v>0</v>
      </c>
      <c r="V507" s="0">
        <f>IF(B507="","",SUMIFS('PEGAR'!$AA$13:$AA$512,'PEGAR'!$O$13:$O$512,B507))</f>
      </c>
      <c r="W507" s="0">
        <f>IF(B507="","",IF(OR(L507=0,N507&gt;0,T507&gt;0,IF(ISNUMBER(H507),ROUND(ABS(H507),8)&gt;$F$6,FALSE)),2,IF(OR(M507=0,O507&gt;0,P507&gt;0,Q507&gt;0,R507&gt;0,S507&gt;0,U507&gt;0,V507&gt;0),1,0)))</f>
      </c>
      <c r="X507" s="0">
        <f>IF(B507="","",IF(ISNUMBER(G507),1,0))</f>
      </c>
      <c r="AB507" s="0">
        <f>IF(AND(ISNUMBER(W507),W507&gt;0),"ID "&amp;B507,"")</f>
      </c>
      <c r="AC507" s="0">
        <f>IF(AND(ISNUMBER(W507),W507&gt;0),C507,"")</f>
      </c>
      <c r="AD507" s="0">
        <f>IF(AND(ISNUMBER(W507),W507&gt;0),D507,"")</f>
      </c>
      <c r="AE507" s="0">
        <f>IF(AND(ISNUMBER(W507),W507&gt;0),IF(INDEX('PEGAR'!$D$13:$D$512,IF(L507&gt;0,L507,K507))="","Sin descripción",INDEX('PEGAR'!$D$13:$D$512,IF(L507&gt;0,L507,K507))),"")</f>
      </c>
      <c r="AF507" s="0">
        <f>IF(AND(ISNUMBER(W507),W507&gt;0),J507,"")</f>
      </c>
      <c r="AG507" s="0" t="n">
        <f>IF(AND(ISNUMBER(W507),W507&gt;0),W507,0)</f>
        <v>0</v>
      </c>
      <c r="AH507" s="0">
        <f>IF(AG507&gt;0,COUNTIFS($AG$13:AG507,"&gt;0"),"")</f>
      </c>
    </row>
    <row r="508" ht="22" customHeight="1">
      <c r="B508" s="27">
        <f>IF(K508="","",INDEX('PEGAR'!$O$13:$O$512,K508))</f>
      </c>
      <c r="C508" s="30">
        <f>IF(B508="","",IF(LEN(TRIM(INDEX('PEGAR'!$B$13:$B$512,IF(L508&gt;0,L508,K508))&amp;""))=0,"Sin capítulo",TRIM(INDEX('PEGAR'!$B$13:$B$512,IF(L508&gt;0,L508,K508))&amp;"")))</f>
      </c>
      <c r="D508" s="27">
        <f>IF(B508="","",IF(LEN(TRIM(INDEX('PEGAR'!$C$13:$C$512,IF(L508&gt;0,L508,K508))&amp;""))=0,"",TRIM(INDEX('PEGAR'!$C$13:$C$512,IF(L508&gt;0,L508,K508))&amp;"")))</f>
      </c>
      <c r="E508" s="27">
        <f>IF(B508="","",INDEX('PEGAR'!$S$13:$S$512,IF(L508&gt;0,L508,K508)))</f>
      </c>
      <c r="F508" s="39">
        <f>IF(B508="","",IF(L508&gt;0,INDEX('PEGAR'!$F$13:$F$512,L508),""))</f>
      </c>
      <c r="G508" s="39">
        <f>IF(B508="","",IF(OR(M508=0,N508&gt;0,O508&gt;0),"",SUMIFS('PEGAR'!$M$13:$M$512,'PEGAR'!$O$13:$O$512,B508)))</f>
      </c>
      <c r="H508" s="39">
        <f>IF(AND(ISNUMBER(F508),ISNUMBER(G508)),G508-F508,"")</f>
      </c>
      <c r="I508" s="27">
        <f>IF(B508="","",IF(W508=2,"ROJO",IF(W508=1,"ÁMBAR","VERDE")))</f>
      </c>
      <c r="J508" s="30">
        <f>IF(B508="","",IF(W508=0,"Sin avisos numéricos. Revisamos el alcance aparte.",IF(L508=0,"Faltan datos completos de partida; no elegimos un total por suposición."&amp;CHAR(10),"")&amp;IF(N508&gt;0,"Hay filas incompletas o contradictorias; las revisamos en PEGAR."&amp;CHAR(10),"")&amp;IF(O508&gt;0,"Faltan las medidas de alguna fila; no cerramos la suma."&amp;CHAR(10),"")&amp;IF(M508=0,"No constan líneas de medición."&amp;CHAR(10),"")&amp;IF(IF(ISNUMBER(H508),ROUND(ABS(H508),8)&gt;$F$6,FALSE),"Las líneas difieren del total en más de 0,01; confirmamos cantidad o exclusión."&amp;CHAR(10),"")&amp;IF(P508&gt;0,"Parece m³: encontramos tres dimensiones bajo m²."&amp;CHAR(10),"")&amp;IF(R508&gt;0,"Código repetido dentro del capítulo; mantenemos sus ID separados."&amp;CHAR(10),"")&amp;IF(S508&gt;0,"Código repetido en otro capítulo; no unimos las partidas."&amp;CHAR(10),"")&amp;IF(T508&gt;0,"Mismo código con unidades distintas; pedimos aclaración."&amp;CHAR(10),"")&amp;IF(Q508&gt;0,"Hay más precisión que los decimales indicados; cotejamos el formato original."&amp;CHAR(10),"")&amp;IF(U508&gt;0,"Unidad sin normalizar; cotejamos su significado antes de sumar unidades."&amp;CHAR(10),"")&amp;IF(V508&gt;0,"Revisamos dimensiones, cantidades directas, ceros o deducciones en PEGAR."&amp;CHAR(10),"")))</f>
      </c>
      <c r="K508" s="0">
        <f>IF(496&gt;'RESUMEN'!$E$6,"",MATCH(496,'PEGAR'!$W$13:$W$512,0))</f>
      </c>
      <c r="L508" s="0">
        <f>IF(K508="","",INDEX('PEGAR'!$R$13:$R$512,K508))</f>
      </c>
      <c r="M508" s="0">
        <f>IF(B508="","",COUNTIFS('PEGAR'!$O$13:$O$512,B508,'PEGAR'!$P$13:$P$512,"DIMENSIONES")+COUNTIFS('PEGAR'!$O$13:$O$512,B508,'PEGAR'!$P$13:$P$512,"DIRECTA"))</f>
      </c>
      <c r="N508" s="0">
        <f>IF(B508="","",COUNTIFS('PEGAR'!$O$13:$O$512,B508,'PEGAR'!$X$13:$X$512,2))</f>
      </c>
      <c r="O508" s="0">
        <f>IF(B508="","",COUNTIFS('PEGAR'!$O$13:$O$512,B508,'PEGAR'!$P$13:$P$512,"SIN LÍNEAS"))</f>
      </c>
      <c r="P508" s="0">
        <f>IF(B508="","",SUMIFS('PEGAR'!$Y$13:$Y$512,'PEGAR'!$O$13:$O$512,B508))</f>
      </c>
      <c r="Q508" s="0">
        <f>IF(B508="","",SUMIFS('PEGAR'!$Z$13:$Z$512,'PEGAR'!$O$13:$O$512,B508))</f>
      </c>
      <c r="R508" s="0" t="n">
        <f>IF(OR(B508="",D508=""),0,SUMPRODUCT(--($B$13:$B$512&lt;&gt;""),--($D$13:$D$512=D508),--($C$13:$C$512=C508))-1)</f>
        <v>0</v>
      </c>
      <c r="S508" s="0" t="n">
        <f>IF(OR(B508="",D508=""),0,SUMPRODUCT(--($B$13:$B$512&lt;&gt;""),--($D$13:$D$512=D508),--($C$13:$C$512&lt;&gt;C508)))</f>
        <v>0</v>
      </c>
      <c r="T508" s="0" t="n">
        <f>IF(OR(B508="",D508=""),0,SUMPRODUCT(--($B$13:$B$512&lt;&gt;""),--($D$13:$D$512=D508),--($E$13:$E$512&lt;&gt;E508)))</f>
        <v>0</v>
      </c>
      <c r="U508" s="0" t="n">
        <f>IF(B508="",0,IF(SUMPRODUCT(--('LÉEME'!$C$65:$C$86=E508))=0,1,0))</f>
        <v>0</v>
      </c>
      <c r="V508" s="0">
        <f>IF(B508="","",SUMIFS('PEGAR'!$AA$13:$AA$512,'PEGAR'!$O$13:$O$512,B508))</f>
      </c>
      <c r="W508" s="0">
        <f>IF(B508="","",IF(OR(L508=0,N508&gt;0,T508&gt;0,IF(ISNUMBER(H508),ROUND(ABS(H508),8)&gt;$F$6,FALSE)),2,IF(OR(M508=0,O508&gt;0,P508&gt;0,Q508&gt;0,R508&gt;0,S508&gt;0,U508&gt;0,V508&gt;0),1,0)))</f>
      </c>
      <c r="X508" s="0">
        <f>IF(B508="","",IF(ISNUMBER(G508),1,0))</f>
      </c>
      <c r="AB508" s="0">
        <f>IF(AND(ISNUMBER(W508),W508&gt;0),"ID "&amp;B508,"")</f>
      </c>
      <c r="AC508" s="0">
        <f>IF(AND(ISNUMBER(W508),W508&gt;0),C508,"")</f>
      </c>
      <c r="AD508" s="0">
        <f>IF(AND(ISNUMBER(W508),W508&gt;0),D508,"")</f>
      </c>
      <c r="AE508" s="0">
        <f>IF(AND(ISNUMBER(W508),W508&gt;0),IF(INDEX('PEGAR'!$D$13:$D$512,IF(L508&gt;0,L508,K508))="","Sin descripción",INDEX('PEGAR'!$D$13:$D$512,IF(L508&gt;0,L508,K508))),"")</f>
      </c>
      <c r="AF508" s="0">
        <f>IF(AND(ISNUMBER(W508),W508&gt;0),J508,"")</f>
      </c>
      <c r="AG508" s="0" t="n">
        <f>IF(AND(ISNUMBER(W508),W508&gt;0),W508,0)</f>
        <v>0</v>
      </c>
      <c r="AH508" s="0">
        <f>IF(AG508&gt;0,COUNTIFS($AG$13:AG508,"&gt;0"),"")</f>
      </c>
    </row>
    <row r="509" ht="22" customHeight="1">
      <c r="B509" s="27">
        <f>IF(K509="","",INDEX('PEGAR'!$O$13:$O$512,K509))</f>
      </c>
      <c r="C509" s="30">
        <f>IF(B509="","",IF(LEN(TRIM(INDEX('PEGAR'!$B$13:$B$512,IF(L509&gt;0,L509,K509))&amp;""))=0,"Sin capítulo",TRIM(INDEX('PEGAR'!$B$13:$B$512,IF(L509&gt;0,L509,K509))&amp;"")))</f>
      </c>
      <c r="D509" s="27">
        <f>IF(B509="","",IF(LEN(TRIM(INDEX('PEGAR'!$C$13:$C$512,IF(L509&gt;0,L509,K509))&amp;""))=0,"",TRIM(INDEX('PEGAR'!$C$13:$C$512,IF(L509&gt;0,L509,K509))&amp;"")))</f>
      </c>
      <c r="E509" s="27">
        <f>IF(B509="","",INDEX('PEGAR'!$S$13:$S$512,IF(L509&gt;0,L509,K509)))</f>
      </c>
      <c r="F509" s="39">
        <f>IF(B509="","",IF(L509&gt;0,INDEX('PEGAR'!$F$13:$F$512,L509),""))</f>
      </c>
      <c r="G509" s="39">
        <f>IF(B509="","",IF(OR(M509=0,N509&gt;0,O509&gt;0),"",SUMIFS('PEGAR'!$M$13:$M$512,'PEGAR'!$O$13:$O$512,B509)))</f>
      </c>
      <c r="H509" s="39">
        <f>IF(AND(ISNUMBER(F509),ISNUMBER(G509)),G509-F509,"")</f>
      </c>
      <c r="I509" s="27">
        <f>IF(B509="","",IF(W509=2,"ROJO",IF(W509=1,"ÁMBAR","VERDE")))</f>
      </c>
      <c r="J509" s="30">
        <f>IF(B509="","",IF(W509=0,"Sin avisos numéricos. Revisamos el alcance aparte.",IF(L509=0,"Faltan datos completos de partida; no elegimos un total por suposición."&amp;CHAR(10),"")&amp;IF(N509&gt;0,"Hay filas incompletas o contradictorias; las revisamos en PEGAR."&amp;CHAR(10),"")&amp;IF(O509&gt;0,"Faltan las medidas de alguna fila; no cerramos la suma."&amp;CHAR(10),"")&amp;IF(M509=0,"No constan líneas de medición."&amp;CHAR(10),"")&amp;IF(IF(ISNUMBER(H509),ROUND(ABS(H509),8)&gt;$F$6,FALSE),"Las líneas difieren del total en más de 0,01; confirmamos cantidad o exclusión."&amp;CHAR(10),"")&amp;IF(P509&gt;0,"Parece m³: encontramos tres dimensiones bajo m²."&amp;CHAR(10),"")&amp;IF(R509&gt;0,"Código repetido dentro del capítulo; mantenemos sus ID separados."&amp;CHAR(10),"")&amp;IF(S509&gt;0,"Código repetido en otro capítulo; no unimos las partidas."&amp;CHAR(10),"")&amp;IF(T509&gt;0,"Mismo código con unidades distintas; pedimos aclaración."&amp;CHAR(10),"")&amp;IF(Q509&gt;0,"Hay más precisión que los decimales indicados; cotejamos el formato original."&amp;CHAR(10),"")&amp;IF(U509&gt;0,"Unidad sin normalizar; cotejamos su significado antes de sumar unidades."&amp;CHAR(10),"")&amp;IF(V509&gt;0,"Revisamos dimensiones, cantidades directas, ceros o deducciones en PEGAR."&amp;CHAR(10),"")))</f>
      </c>
      <c r="K509" s="0">
        <f>IF(497&gt;'RESUMEN'!$E$6,"",MATCH(497,'PEGAR'!$W$13:$W$512,0))</f>
      </c>
      <c r="L509" s="0">
        <f>IF(K509="","",INDEX('PEGAR'!$R$13:$R$512,K509))</f>
      </c>
      <c r="M509" s="0">
        <f>IF(B509="","",COUNTIFS('PEGAR'!$O$13:$O$512,B509,'PEGAR'!$P$13:$P$512,"DIMENSIONES")+COUNTIFS('PEGAR'!$O$13:$O$512,B509,'PEGAR'!$P$13:$P$512,"DIRECTA"))</f>
      </c>
      <c r="N509" s="0">
        <f>IF(B509="","",COUNTIFS('PEGAR'!$O$13:$O$512,B509,'PEGAR'!$X$13:$X$512,2))</f>
      </c>
      <c r="O509" s="0">
        <f>IF(B509="","",COUNTIFS('PEGAR'!$O$13:$O$512,B509,'PEGAR'!$P$13:$P$512,"SIN LÍNEAS"))</f>
      </c>
      <c r="P509" s="0">
        <f>IF(B509="","",SUMIFS('PEGAR'!$Y$13:$Y$512,'PEGAR'!$O$13:$O$512,B509))</f>
      </c>
      <c r="Q509" s="0">
        <f>IF(B509="","",SUMIFS('PEGAR'!$Z$13:$Z$512,'PEGAR'!$O$13:$O$512,B509))</f>
      </c>
      <c r="R509" s="0" t="n">
        <f>IF(OR(B509="",D509=""),0,SUMPRODUCT(--($B$13:$B$512&lt;&gt;""),--($D$13:$D$512=D509),--($C$13:$C$512=C509))-1)</f>
        <v>0</v>
      </c>
      <c r="S509" s="0" t="n">
        <f>IF(OR(B509="",D509=""),0,SUMPRODUCT(--($B$13:$B$512&lt;&gt;""),--($D$13:$D$512=D509),--($C$13:$C$512&lt;&gt;C509)))</f>
        <v>0</v>
      </c>
      <c r="T509" s="0" t="n">
        <f>IF(OR(B509="",D509=""),0,SUMPRODUCT(--($B$13:$B$512&lt;&gt;""),--($D$13:$D$512=D509),--($E$13:$E$512&lt;&gt;E509)))</f>
        <v>0</v>
      </c>
      <c r="U509" s="0" t="n">
        <f>IF(B509="",0,IF(SUMPRODUCT(--('LÉEME'!$C$65:$C$86=E509))=0,1,0))</f>
        <v>0</v>
      </c>
      <c r="V509" s="0">
        <f>IF(B509="","",SUMIFS('PEGAR'!$AA$13:$AA$512,'PEGAR'!$O$13:$O$512,B509))</f>
      </c>
      <c r="W509" s="0">
        <f>IF(B509="","",IF(OR(L509=0,N509&gt;0,T509&gt;0,IF(ISNUMBER(H509),ROUND(ABS(H509),8)&gt;$F$6,FALSE)),2,IF(OR(M509=0,O509&gt;0,P509&gt;0,Q509&gt;0,R509&gt;0,S509&gt;0,U509&gt;0,V509&gt;0),1,0)))</f>
      </c>
      <c r="X509" s="0">
        <f>IF(B509="","",IF(ISNUMBER(G509),1,0))</f>
      </c>
      <c r="AB509" s="0">
        <f>IF(AND(ISNUMBER(W509),W509&gt;0),"ID "&amp;B509,"")</f>
      </c>
      <c r="AC509" s="0">
        <f>IF(AND(ISNUMBER(W509),W509&gt;0),C509,"")</f>
      </c>
      <c r="AD509" s="0">
        <f>IF(AND(ISNUMBER(W509),W509&gt;0),D509,"")</f>
      </c>
      <c r="AE509" s="0">
        <f>IF(AND(ISNUMBER(W509),W509&gt;0),IF(INDEX('PEGAR'!$D$13:$D$512,IF(L509&gt;0,L509,K509))="","Sin descripción",INDEX('PEGAR'!$D$13:$D$512,IF(L509&gt;0,L509,K509))),"")</f>
      </c>
      <c r="AF509" s="0">
        <f>IF(AND(ISNUMBER(W509),W509&gt;0),J509,"")</f>
      </c>
      <c r="AG509" s="0" t="n">
        <f>IF(AND(ISNUMBER(W509),W509&gt;0),W509,0)</f>
        <v>0</v>
      </c>
      <c r="AH509" s="0">
        <f>IF(AG509&gt;0,COUNTIFS($AG$13:AG509,"&gt;0"),"")</f>
      </c>
    </row>
    <row r="510" ht="22" customHeight="1">
      <c r="B510" s="27">
        <f>IF(K510="","",INDEX('PEGAR'!$O$13:$O$512,K510))</f>
      </c>
      <c r="C510" s="30">
        <f>IF(B510="","",IF(LEN(TRIM(INDEX('PEGAR'!$B$13:$B$512,IF(L510&gt;0,L510,K510))&amp;""))=0,"Sin capítulo",TRIM(INDEX('PEGAR'!$B$13:$B$512,IF(L510&gt;0,L510,K510))&amp;"")))</f>
      </c>
      <c r="D510" s="27">
        <f>IF(B510="","",IF(LEN(TRIM(INDEX('PEGAR'!$C$13:$C$512,IF(L510&gt;0,L510,K510))&amp;""))=0,"",TRIM(INDEX('PEGAR'!$C$13:$C$512,IF(L510&gt;0,L510,K510))&amp;"")))</f>
      </c>
      <c r="E510" s="27">
        <f>IF(B510="","",INDEX('PEGAR'!$S$13:$S$512,IF(L510&gt;0,L510,K510)))</f>
      </c>
      <c r="F510" s="39">
        <f>IF(B510="","",IF(L510&gt;0,INDEX('PEGAR'!$F$13:$F$512,L510),""))</f>
      </c>
      <c r="G510" s="39">
        <f>IF(B510="","",IF(OR(M510=0,N510&gt;0,O510&gt;0),"",SUMIFS('PEGAR'!$M$13:$M$512,'PEGAR'!$O$13:$O$512,B510)))</f>
      </c>
      <c r="H510" s="39">
        <f>IF(AND(ISNUMBER(F510),ISNUMBER(G510)),G510-F510,"")</f>
      </c>
      <c r="I510" s="27">
        <f>IF(B510="","",IF(W510=2,"ROJO",IF(W510=1,"ÁMBAR","VERDE")))</f>
      </c>
      <c r="J510" s="30">
        <f>IF(B510="","",IF(W510=0,"Sin avisos numéricos. Revisamos el alcance aparte.",IF(L510=0,"Faltan datos completos de partida; no elegimos un total por suposición."&amp;CHAR(10),"")&amp;IF(N510&gt;0,"Hay filas incompletas o contradictorias; las revisamos en PEGAR."&amp;CHAR(10),"")&amp;IF(O510&gt;0,"Faltan las medidas de alguna fila; no cerramos la suma."&amp;CHAR(10),"")&amp;IF(M510=0,"No constan líneas de medición."&amp;CHAR(10),"")&amp;IF(IF(ISNUMBER(H510),ROUND(ABS(H510),8)&gt;$F$6,FALSE),"Las líneas difieren del total en más de 0,01; confirmamos cantidad o exclusión."&amp;CHAR(10),"")&amp;IF(P510&gt;0,"Parece m³: encontramos tres dimensiones bajo m²."&amp;CHAR(10),"")&amp;IF(R510&gt;0,"Código repetido dentro del capítulo; mantenemos sus ID separados."&amp;CHAR(10),"")&amp;IF(S510&gt;0,"Código repetido en otro capítulo; no unimos las partidas."&amp;CHAR(10),"")&amp;IF(T510&gt;0,"Mismo código con unidades distintas; pedimos aclaración."&amp;CHAR(10),"")&amp;IF(Q510&gt;0,"Hay más precisión que los decimales indicados; cotejamos el formato original."&amp;CHAR(10),"")&amp;IF(U510&gt;0,"Unidad sin normalizar; cotejamos su significado antes de sumar unidades."&amp;CHAR(10),"")&amp;IF(V510&gt;0,"Revisamos dimensiones, cantidades directas, ceros o deducciones en PEGAR."&amp;CHAR(10),"")))</f>
      </c>
      <c r="K510" s="0">
        <f>IF(498&gt;'RESUMEN'!$E$6,"",MATCH(498,'PEGAR'!$W$13:$W$512,0))</f>
      </c>
      <c r="L510" s="0">
        <f>IF(K510="","",INDEX('PEGAR'!$R$13:$R$512,K510))</f>
      </c>
      <c r="M510" s="0">
        <f>IF(B510="","",COUNTIFS('PEGAR'!$O$13:$O$512,B510,'PEGAR'!$P$13:$P$512,"DIMENSIONES")+COUNTIFS('PEGAR'!$O$13:$O$512,B510,'PEGAR'!$P$13:$P$512,"DIRECTA"))</f>
      </c>
      <c r="N510" s="0">
        <f>IF(B510="","",COUNTIFS('PEGAR'!$O$13:$O$512,B510,'PEGAR'!$X$13:$X$512,2))</f>
      </c>
      <c r="O510" s="0">
        <f>IF(B510="","",COUNTIFS('PEGAR'!$O$13:$O$512,B510,'PEGAR'!$P$13:$P$512,"SIN LÍNEAS"))</f>
      </c>
      <c r="P510" s="0">
        <f>IF(B510="","",SUMIFS('PEGAR'!$Y$13:$Y$512,'PEGAR'!$O$13:$O$512,B510))</f>
      </c>
      <c r="Q510" s="0">
        <f>IF(B510="","",SUMIFS('PEGAR'!$Z$13:$Z$512,'PEGAR'!$O$13:$O$512,B510))</f>
      </c>
      <c r="R510" s="0" t="n">
        <f>IF(OR(B510="",D510=""),0,SUMPRODUCT(--($B$13:$B$512&lt;&gt;""),--($D$13:$D$512=D510),--($C$13:$C$512=C510))-1)</f>
        <v>0</v>
      </c>
      <c r="S510" s="0" t="n">
        <f>IF(OR(B510="",D510=""),0,SUMPRODUCT(--($B$13:$B$512&lt;&gt;""),--($D$13:$D$512=D510),--($C$13:$C$512&lt;&gt;C510)))</f>
        <v>0</v>
      </c>
      <c r="T510" s="0" t="n">
        <f>IF(OR(B510="",D510=""),0,SUMPRODUCT(--($B$13:$B$512&lt;&gt;""),--($D$13:$D$512=D510),--($E$13:$E$512&lt;&gt;E510)))</f>
        <v>0</v>
      </c>
      <c r="U510" s="0" t="n">
        <f>IF(B510="",0,IF(SUMPRODUCT(--('LÉEME'!$C$65:$C$86=E510))=0,1,0))</f>
        <v>0</v>
      </c>
      <c r="V510" s="0">
        <f>IF(B510="","",SUMIFS('PEGAR'!$AA$13:$AA$512,'PEGAR'!$O$13:$O$512,B510))</f>
      </c>
      <c r="W510" s="0">
        <f>IF(B510="","",IF(OR(L510=0,N510&gt;0,T510&gt;0,IF(ISNUMBER(H510),ROUND(ABS(H510),8)&gt;$F$6,FALSE)),2,IF(OR(M510=0,O510&gt;0,P510&gt;0,Q510&gt;0,R510&gt;0,S510&gt;0,U510&gt;0,V510&gt;0),1,0)))</f>
      </c>
      <c r="X510" s="0">
        <f>IF(B510="","",IF(ISNUMBER(G510),1,0))</f>
      </c>
      <c r="AB510" s="0">
        <f>IF(AND(ISNUMBER(W510),W510&gt;0),"ID "&amp;B510,"")</f>
      </c>
      <c r="AC510" s="0">
        <f>IF(AND(ISNUMBER(W510),W510&gt;0),C510,"")</f>
      </c>
      <c r="AD510" s="0">
        <f>IF(AND(ISNUMBER(W510),W510&gt;0),D510,"")</f>
      </c>
      <c r="AE510" s="0">
        <f>IF(AND(ISNUMBER(W510),W510&gt;0),IF(INDEX('PEGAR'!$D$13:$D$512,IF(L510&gt;0,L510,K510))="","Sin descripción",INDEX('PEGAR'!$D$13:$D$512,IF(L510&gt;0,L510,K510))),"")</f>
      </c>
      <c r="AF510" s="0">
        <f>IF(AND(ISNUMBER(W510),W510&gt;0),J510,"")</f>
      </c>
      <c r="AG510" s="0" t="n">
        <f>IF(AND(ISNUMBER(W510),W510&gt;0),W510,0)</f>
        <v>0</v>
      </c>
      <c r="AH510" s="0">
        <f>IF(AG510&gt;0,COUNTIFS($AG$13:AG510,"&gt;0"),"")</f>
      </c>
    </row>
    <row r="511" ht="22" customHeight="1">
      <c r="B511" s="27">
        <f>IF(K511="","",INDEX('PEGAR'!$O$13:$O$512,K511))</f>
      </c>
      <c r="C511" s="30">
        <f>IF(B511="","",IF(LEN(TRIM(INDEX('PEGAR'!$B$13:$B$512,IF(L511&gt;0,L511,K511))&amp;""))=0,"Sin capítulo",TRIM(INDEX('PEGAR'!$B$13:$B$512,IF(L511&gt;0,L511,K511))&amp;"")))</f>
      </c>
      <c r="D511" s="27">
        <f>IF(B511="","",IF(LEN(TRIM(INDEX('PEGAR'!$C$13:$C$512,IF(L511&gt;0,L511,K511))&amp;""))=0,"",TRIM(INDEX('PEGAR'!$C$13:$C$512,IF(L511&gt;0,L511,K511))&amp;"")))</f>
      </c>
      <c r="E511" s="27">
        <f>IF(B511="","",INDEX('PEGAR'!$S$13:$S$512,IF(L511&gt;0,L511,K511)))</f>
      </c>
      <c r="F511" s="39">
        <f>IF(B511="","",IF(L511&gt;0,INDEX('PEGAR'!$F$13:$F$512,L511),""))</f>
      </c>
      <c r="G511" s="39">
        <f>IF(B511="","",IF(OR(M511=0,N511&gt;0,O511&gt;0),"",SUMIFS('PEGAR'!$M$13:$M$512,'PEGAR'!$O$13:$O$512,B511)))</f>
      </c>
      <c r="H511" s="39">
        <f>IF(AND(ISNUMBER(F511),ISNUMBER(G511)),G511-F511,"")</f>
      </c>
      <c r="I511" s="27">
        <f>IF(B511="","",IF(W511=2,"ROJO",IF(W511=1,"ÁMBAR","VERDE")))</f>
      </c>
      <c r="J511" s="30">
        <f>IF(B511="","",IF(W511=0,"Sin avisos numéricos. Revisamos el alcance aparte.",IF(L511=0,"Faltan datos completos de partida; no elegimos un total por suposición."&amp;CHAR(10),"")&amp;IF(N511&gt;0,"Hay filas incompletas o contradictorias; las revisamos en PEGAR."&amp;CHAR(10),"")&amp;IF(O511&gt;0,"Faltan las medidas de alguna fila; no cerramos la suma."&amp;CHAR(10),"")&amp;IF(M511=0,"No constan líneas de medición."&amp;CHAR(10),"")&amp;IF(IF(ISNUMBER(H511),ROUND(ABS(H511),8)&gt;$F$6,FALSE),"Las líneas difieren del total en más de 0,01; confirmamos cantidad o exclusión."&amp;CHAR(10),"")&amp;IF(P511&gt;0,"Parece m³: encontramos tres dimensiones bajo m²."&amp;CHAR(10),"")&amp;IF(R511&gt;0,"Código repetido dentro del capítulo; mantenemos sus ID separados."&amp;CHAR(10),"")&amp;IF(S511&gt;0,"Código repetido en otro capítulo; no unimos las partidas."&amp;CHAR(10),"")&amp;IF(T511&gt;0,"Mismo código con unidades distintas; pedimos aclaración."&amp;CHAR(10),"")&amp;IF(Q511&gt;0,"Hay más precisión que los decimales indicados; cotejamos el formato original."&amp;CHAR(10),"")&amp;IF(U511&gt;0,"Unidad sin normalizar; cotejamos su significado antes de sumar unidades."&amp;CHAR(10),"")&amp;IF(V511&gt;0,"Revisamos dimensiones, cantidades directas, ceros o deducciones en PEGAR."&amp;CHAR(10),"")))</f>
      </c>
      <c r="K511" s="0">
        <f>IF(499&gt;'RESUMEN'!$E$6,"",MATCH(499,'PEGAR'!$W$13:$W$512,0))</f>
      </c>
      <c r="L511" s="0">
        <f>IF(K511="","",INDEX('PEGAR'!$R$13:$R$512,K511))</f>
      </c>
      <c r="M511" s="0">
        <f>IF(B511="","",COUNTIFS('PEGAR'!$O$13:$O$512,B511,'PEGAR'!$P$13:$P$512,"DIMENSIONES")+COUNTIFS('PEGAR'!$O$13:$O$512,B511,'PEGAR'!$P$13:$P$512,"DIRECTA"))</f>
      </c>
      <c r="N511" s="0">
        <f>IF(B511="","",COUNTIFS('PEGAR'!$O$13:$O$512,B511,'PEGAR'!$X$13:$X$512,2))</f>
      </c>
      <c r="O511" s="0">
        <f>IF(B511="","",COUNTIFS('PEGAR'!$O$13:$O$512,B511,'PEGAR'!$P$13:$P$512,"SIN LÍNEAS"))</f>
      </c>
      <c r="P511" s="0">
        <f>IF(B511="","",SUMIFS('PEGAR'!$Y$13:$Y$512,'PEGAR'!$O$13:$O$512,B511))</f>
      </c>
      <c r="Q511" s="0">
        <f>IF(B511="","",SUMIFS('PEGAR'!$Z$13:$Z$512,'PEGAR'!$O$13:$O$512,B511))</f>
      </c>
      <c r="R511" s="0" t="n">
        <f>IF(OR(B511="",D511=""),0,SUMPRODUCT(--($B$13:$B$512&lt;&gt;""),--($D$13:$D$512=D511),--($C$13:$C$512=C511))-1)</f>
        <v>0</v>
      </c>
      <c r="S511" s="0" t="n">
        <f>IF(OR(B511="",D511=""),0,SUMPRODUCT(--($B$13:$B$512&lt;&gt;""),--($D$13:$D$512=D511),--($C$13:$C$512&lt;&gt;C511)))</f>
        <v>0</v>
      </c>
      <c r="T511" s="0" t="n">
        <f>IF(OR(B511="",D511=""),0,SUMPRODUCT(--($B$13:$B$512&lt;&gt;""),--($D$13:$D$512=D511),--($E$13:$E$512&lt;&gt;E511)))</f>
        <v>0</v>
      </c>
      <c r="U511" s="0" t="n">
        <f>IF(B511="",0,IF(SUMPRODUCT(--('LÉEME'!$C$65:$C$86=E511))=0,1,0))</f>
        <v>0</v>
      </c>
      <c r="V511" s="0">
        <f>IF(B511="","",SUMIFS('PEGAR'!$AA$13:$AA$512,'PEGAR'!$O$13:$O$512,B511))</f>
      </c>
      <c r="W511" s="0">
        <f>IF(B511="","",IF(OR(L511=0,N511&gt;0,T511&gt;0,IF(ISNUMBER(H511),ROUND(ABS(H511),8)&gt;$F$6,FALSE)),2,IF(OR(M511=0,O511&gt;0,P511&gt;0,Q511&gt;0,R511&gt;0,S511&gt;0,U511&gt;0,V511&gt;0),1,0)))</f>
      </c>
      <c r="X511" s="0">
        <f>IF(B511="","",IF(ISNUMBER(G511),1,0))</f>
      </c>
      <c r="AB511" s="0">
        <f>IF(AND(ISNUMBER(W511),W511&gt;0),"ID "&amp;B511,"")</f>
      </c>
      <c r="AC511" s="0">
        <f>IF(AND(ISNUMBER(W511),W511&gt;0),C511,"")</f>
      </c>
      <c r="AD511" s="0">
        <f>IF(AND(ISNUMBER(W511),W511&gt;0),D511,"")</f>
      </c>
      <c r="AE511" s="0">
        <f>IF(AND(ISNUMBER(W511),W511&gt;0),IF(INDEX('PEGAR'!$D$13:$D$512,IF(L511&gt;0,L511,K511))="","Sin descripción",INDEX('PEGAR'!$D$13:$D$512,IF(L511&gt;0,L511,K511))),"")</f>
      </c>
      <c r="AF511" s="0">
        <f>IF(AND(ISNUMBER(W511),W511&gt;0),J511,"")</f>
      </c>
      <c r="AG511" s="0" t="n">
        <f>IF(AND(ISNUMBER(W511),W511&gt;0),W511,0)</f>
        <v>0</v>
      </c>
      <c r="AH511" s="0">
        <f>IF(AG511&gt;0,COUNTIFS($AG$13:AG511,"&gt;0"),"")</f>
      </c>
    </row>
    <row r="512" ht="22" customHeight="1">
      <c r="B512" s="27">
        <f>IF(K512="","",INDEX('PEGAR'!$O$13:$O$512,K512))</f>
      </c>
      <c r="C512" s="30">
        <f>IF(B512="","",IF(LEN(TRIM(INDEX('PEGAR'!$B$13:$B$512,IF(L512&gt;0,L512,K512))&amp;""))=0,"Sin capítulo",TRIM(INDEX('PEGAR'!$B$13:$B$512,IF(L512&gt;0,L512,K512))&amp;"")))</f>
      </c>
      <c r="D512" s="27">
        <f>IF(B512="","",IF(LEN(TRIM(INDEX('PEGAR'!$C$13:$C$512,IF(L512&gt;0,L512,K512))&amp;""))=0,"",TRIM(INDEX('PEGAR'!$C$13:$C$512,IF(L512&gt;0,L512,K512))&amp;"")))</f>
      </c>
      <c r="E512" s="27">
        <f>IF(B512="","",INDEX('PEGAR'!$S$13:$S$512,IF(L512&gt;0,L512,K512)))</f>
      </c>
      <c r="F512" s="39">
        <f>IF(B512="","",IF(L512&gt;0,INDEX('PEGAR'!$F$13:$F$512,L512),""))</f>
      </c>
      <c r="G512" s="39">
        <f>IF(B512="","",IF(OR(M512=0,N512&gt;0,O512&gt;0),"",SUMIFS('PEGAR'!$M$13:$M$512,'PEGAR'!$O$13:$O$512,B512)))</f>
      </c>
      <c r="H512" s="39">
        <f>IF(AND(ISNUMBER(F512),ISNUMBER(G512)),G512-F512,"")</f>
      </c>
      <c r="I512" s="27">
        <f>IF(B512="","",IF(W512=2,"ROJO",IF(W512=1,"ÁMBAR","VERDE")))</f>
      </c>
      <c r="J512" s="30">
        <f>IF(B512="","",IF(W512=0,"Sin avisos numéricos. Revisamos el alcance aparte.",IF(L512=0,"Faltan datos completos de partida; no elegimos un total por suposición."&amp;CHAR(10),"")&amp;IF(N512&gt;0,"Hay filas incompletas o contradictorias; las revisamos en PEGAR."&amp;CHAR(10),"")&amp;IF(O512&gt;0,"Faltan las medidas de alguna fila; no cerramos la suma."&amp;CHAR(10),"")&amp;IF(M512=0,"No constan líneas de medición."&amp;CHAR(10),"")&amp;IF(IF(ISNUMBER(H512),ROUND(ABS(H512),8)&gt;$F$6,FALSE),"Las líneas difieren del total en más de 0,01; confirmamos cantidad o exclusión."&amp;CHAR(10),"")&amp;IF(P512&gt;0,"Parece m³: encontramos tres dimensiones bajo m²."&amp;CHAR(10),"")&amp;IF(R512&gt;0,"Código repetido dentro del capítulo; mantenemos sus ID separados."&amp;CHAR(10),"")&amp;IF(S512&gt;0,"Código repetido en otro capítulo; no unimos las partidas."&amp;CHAR(10),"")&amp;IF(T512&gt;0,"Mismo código con unidades distintas; pedimos aclaración."&amp;CHAR(10),"")&amp;IF(Q512&gt;0,"Hay más precisión que los decimales indicados; cotejamos el formato original."&amp;CHAR(10),"")&amp;IF(U512&gt;0,"Unidad sin normalizar; cotejamos su significado antes de sumar unidades."&amp;CHAR(10),"")&amp;IF(V512&gt;0,"Revisamos dimensiones, cantidades directas, ceros o deducciones en PEGAR."&amp;CHAR(10),"")))</f>
      </c>
      <c r="K512" s="0">
        <f>IF(500&gt;'RESUMEN'!$E$6,"",MATCH(500,'PEGAR'!$W$13:$W$512,0))</f>
      </c>
      <c r="L512" s="0">
        <f>IF(K512="","",INDEX('PEGAR'!$R$13:$R$512,K512))</f>
      </c>
      <c r="M512" s="0">
        <f>IF(B512="","",COUNTIFS('PEGAR'!$O$13:$O$512,B512,'PEGAR'!$P$13:$P$512,"DIMENSIONES")+COUNTIFS('PEGAR'!$O$13:$O$512,B512,'PEGAR'!$P$13:$P$512,"DIRECTA"))</f>
      </c>
      <c r="N512" s="0">
        <f>IF(B512="","",COUNTIFS('PEGAR'!$O$13:$O$512,B512,'PEGAR'!$X$13:$X$512,2))</f>
      </c>
      <c r="O512" s="0">
        <f>IF(B512="","",COUNTIFS('PEGAR'!$O$13:$O$512,B512,'PEGAR'!$P$13:$P$512,"SIN LÍNEAS"))</f>
      </c>
      <c r="P512" s="0">
        <f>IF(B512="","",SUMIFS('PEGAR'!$Y$13:$Y$512,'PEGAR'!$O$13:$O$512,B512))</f>
      </c>
      <c r="Q512" s="0">
        <f>IF(B512="","",SUMIFS('PEGAR'!$Z$13:$Z$512,'PEGAR'!$O$13:$O$512,B512))</f>
      </c>
      <c r="R512" s="0" t="n">
        <f>IF(OR(B512="",D512=""),0,SUMPRODUCT(--($B$13:$B$512&lt;&gt;""),--($D$13:$D$512=D512),--($C$13:$C$512=C512))-1)</f>
        <v>0</v>
      </c>
      <c r="S512" s="0" t="n">
        <f>IF(OR(B512="",D512=""),0,SUMPRODUCT(--($B$13:$B$512&lt;&gt;""),--($D$13:$D$512=D512),--($C$13:$C$512&lt;&gt;C512)))</f>
        <v>0</v>
      </c>
      <c r="T512" s="0" t="n">
        <f>IF(OR(B512="",D512=""),0,SUMPRODUCT(--($B$13:$B$512&lt;&gt;""),--($D$13:$D$512=D512),--($E$13:$E$512&lt;&gt;E512)))</f>
        <v>0</v>
      </c>
      <c r="U512" s="0" t="n">
        <f>IF(B512="",0,IF(SUMPRODUCT(--('LÉEME'!$C$65:$C$86=E512))=0,1,0))</f>
        <v>0</v>
      </c>
      <c r="V512" s="0">
        <f>IF(B512="","",SUMIFS('PEGAR'!$AA$13:$AA$512,'PEGAR'!$O$13:$O$512,B512))</f>
      </c>
      <c r="W512" s="0">
        <f>IF(B512="","",IF(OR(L512=0,N512&gt;0,T512&gt;0,IF(ISNUMBER(H512),ROUND(ABS(H512),8)&gt;$F$6,FALSE)),2,IF(OR(M512=0,O512&gt;0,P512&gt;0,Q512&gt;0,R512&gt;0,S512&gt;0,U512&gt;0,V512&gt;0),1,0)))</f>
      </c>
      <c r="X512" s="0">
        <f>IF(B512="","",IF(ISNUMBER(G512),1,0))</f>
      </c>
      <c r="AB512" s="0">
        <f>IF(AND(ISNUMBER(W512),W512&gt;0),"ID "&amp;B512,"")</f>
      </c>
      <c r="AC512" s="0">
        <f>IF(AND(ISNUMBER(W512),W512&gt;0),C512,"")</f>
      </c>
      <c r="AD512" s="0">
        <f>IF(AND(ISNUMBER(W512),W512&gt;0),D512,"")</f>
      </c>
      <c r="AE512" s="0">
        <f>IF(AND(ISNUMBER(W512),W512&gt;0),IF(INDEX('PEGAR'!$D$13:$D$512,IF(L512&gt;0,L512,K512))="","Sin descripción",INDEX('PEGAR'!$D$13:$D$512,IF(L512&gt;0,L512,K512))),"")</f>
      </c>
      <c r="AF512" s="0">
        <f>IF(AND(ISNUMBER(W512),W512&gt;0),J512,"")</f>
      </c>
      <c r="AG512" s="0" t="n">
        <f>IF(AND(ISNUMBER(W512),W512&gt;0),W512,0)</f>
        <v>0</v>
      </c>
      <c r="AH512" s="0">
        <f>IF(AG512&gt;0,COUNTIFS($AG$13:AG512,"&gt;0"),"")</f>
      </c>
    </row>
    <row r="513" ht="22" customHeight="1">
      <c r="B513" s="27"/>
      <c r="C513" s="27"/>
      <c r="D513" s="27"/>
      <c r="E513" s="27"/>
      <c r="F513" s="27"/>
      <c r="G513" s="27"/>
      <c r="H513" s="27"/>
      <c r="I513" s="27"/>
      <c r="J513" s="27"/>
      <c r="AB513" s="0">
        <f>IF(AND('PEGAR'!O13=0,'PEGAR'!X13=2),"Fila 13","")</f>
      </c>
      <c r="AC513" s="0">
        <f>IF(AND('PEGAR'!O13=0,'PEGAR'!X13=2),'PEGAR'!B13&amp;"","")</f>
      </c>
      <c r="AD513" s="0">
        <f>IF(AND('PEGAR'!O13=0,'PEGAR'!X13=2),'PEGAR'!C13&amp;"","")</f>
      </c>
      <c r="AE513" s="0">
        <f>IF(AND('PEGAR'!O13=0,'PEGAR'!X13=2),'PEGAR'!D13&amp;"","")</f>
      </c>
      <c r="AF513" s="0">
        <f>IF(AND('PEGAR'!O13=0,'PEGAR'!X13=2),'PEGAR'!N13,"")</f>
      </c>
      <c r="AG513" s="0" t="n">
        <f>IF(AND('PEGAR'!O13=0,'PEGAR'!X13=2),2,0)</f>
        <v>0</v>
      </c>
      <c r="AH513" s="0">
        <f>IF(AG513&gt;0,COUNTIFS($AG$13:AG513,"&gt;0"),"")</f>
      </c>
    </row>
    <row r="514" ht="22" customHeight="1">
      <c r="B514" s="27"/>
      <c r="C514" s="27"/>
      <c r="D514" s="27"/>
      <c r="E514" s="27"/>
      <c r="F514" s="27"/>
      <c r="G514" s="27"/>
      <c r="H514" s="27"/>
      <c r="I514" s="27"/>
      <c r="J514" s="27"/>
      <c r="AB514" s="0">
        <f>IF(AND('PEGAR'!O14=0,'PEGAR'!X14=2),"Fila 14","")</f>
      </c>
      <c r="AC514" s="0">
        <f>IF(AND('PEGAR'!O14=0,'PEGAR'!X14=2),'PEGAR'!B14&amp;"","")</f>
      </c>
      <c r="AD514" s="0">
        <f>IF(AND('PEGAR'!O14=0,'PEGAR'!X14=2),'PEGAR'!C14&amp;"","")</f>
      </c>
      <c r="AE514" s="0">
        <f>IF(AND('PEGAR'!O14=0,'PEGAR'!X14=2),'PEGAR'!D14&amp;"","")</f>
      </c>
      <c r="AF514" s="0">
        <f>IF(AND('PEGAR'!O14=0,'PEGAR'!X14=2),'PEGAR'!N14,"")</f>
      </c>
      <c r="AG514" s="0" t="n">
        <f>IF(AND('PEGAR'!O14=0,'PEGAR'!X14=2),2,0)</f>
        <v>0</v>
      </c>
      <c r="AH514" s="0">
        <f>IF(AG514&gt;0,COUNTIFS($AG$13:AG514,"&gt;0"),"")</f>
      </c>
    </row>
    <row r="515" ht="22" customHeight="1">
      <c r="B515" s="27"/>
      <c r="C515" s="27"/>
      <c r="D515" s="27"/>
      <c r="E515" s="27"/>
      <c r="F515" s="27"/>
      <c r="G515" s="27"/>
      <c r="H515" s="27"/>
      <c r="I515" s="27"/>
      <c r="J515" s="27"/>
      <c r="AB515" s="0">
        <f>IF(AND('PEGAR'!O15=0,'PEGAR'!X15=2),"Fila 15","")</f>
      </c>
      <c r="AC515" s="0">
        <f>IF(AND('PEGAR'!O15=0,'PEGAR'!X15=2),'PEGAR'!B15&amp;"","")</f>
      </c>
      <c r="AD515" s="0">
        <f>IF(AND('PEGAR'!O15=0,'PEGAR'!X15=2),'PEGAR'!C15&amp;"","")</f>
      </c>
      <c r="AE515" s="0">
        <f>IF(AND('PEGAR'!O15=0,'PEGAR'!X15=2),'PEGAR'!D15&amp;"","")</f>
      </c>
      <c r="AF515" s="0">
        <f>IF(AND('PEGAR'!O15=0,'PEGAR'!X15=2),'PEGAR'!N15,"")</f>
      </c>
      <c r="AG515" s="0" t="n">
        <f>IF(AND('PEGAR'!O15=0,'PEGAR'!X15=2),2,0)</f>
        <v>0</v>
      </c>
      <c r="AH515" s="0">
        <f>IF(AG515&gt;0,COUNTIFS($AG$13:AG515,"&gt;0"),"")</f>
      </c>
    </row>
    <row r="516" ht="22" customHeight="1">
      <c r="B516" s="27"/>
      <c r="C516" s="27"/>
      <c r="D516" s="27"/>
      <c r="E516" s="27"/>
      <c r="F516" s="27"/>
      <c r="G516" s="27"/>
      <c r="H516" s="27"/>
      <c r="I516" s="27"/>
      <c r="J516" s="27"/>
      <c r="AB516" s="0">
        <f>IF(AND('PEGAR'!O16=0,'PEGAR'!X16=2),"Fila 16","")</f>
      </c>
      <c r="AC516" s="0">
        <f>IF(AND('PEGAR'!O16=0,'PEGAR'!X16=2),'PEGAR'!B16&amp;"","")</f>
      </c>
      <c r="AD516" s="0">
        <f>IF(AND('PEGAR'!O16=0,'PEGAR'!X16=2),'PEGAR'!C16&amp;"","")</f>
      </c>
      <c r="AE516" s="0">
        <f>IF(AND('PEGAR'!O16=0,'PEGAR'!X16=2),'PEGAR'!D16&amp;"","")</f>
      </c>
      <c r="AF516" s="0">
        <f>IF(AND('PEGAR'!O16=0,'PEGAR'!X16=2),'PEGAR'!N16,"")</f>
      </c>
      <c r="AG516" s="0" t="n">
        <f>IF(AND('PEGAR'!O16=0,'PEGAR'!X16=2),2,0)</f>
        <v>0</v>
      </c>
      <c r="AH516" s="0">
        <f>IF(AG516&gt;0,COUNTIFS($AG$13:AG516,"&gt;0"),"")</f>
      </c>
    </row>
    <row r="517" ht="22" customHeight="1">
      <c r="B517" s="27"/>
      <c r="C517" s="27"/>
      <c r="D517" s="27"/>
      <c r="E517" s="27"/>
      <c r="F517" s="27"/>
      <c r="G517" s="27"/>
      <c r="H517" s="27"/>
      <c r="I517" s="27"/>
      <c r="J517" s="27"/>
      <c r="AB517" s="0">
        <f>IF(AND('PEGAR'!O17=0,'PEGAR'!X17=2),"Fila 17","")</f>
      </c>
      <c r="AC517" s="0">
        <f>IF(AND('PEGAR'!O17=0,'PEGAR'!X17=2),'PEGAR'!B17&amp;"","")</f>
      </c>
      <c r="AD517" s="0">
        <f>IF(AND('PEGAR'!O17=0,'PEGAR'!X17=2),'PEGAR'!C17&amp;"","")</f>
      </c>
      <c r="AE517" s="0">
        <f>IF(AND('PEGAR'!O17=0,'PEGAR'!X17=2),'PEGAR'!D17&amp;"","")</f>
      </c>
      <c r="AF517" s="0">
        <f>IF(AND('PEGAR'!O17=0,'PEGAR'!X17=2),'PEGAR'!N17,"")</f>
      </c>
      <c r="AG517" s="0" t="n">
        <f>IF(AND('PEGAR'!O17=0,'PEGAR'!X17=2),2,0)</f>
        <v>0</v>
      </c>
      <c r="AH517" s="0">
        <f>IF(AG517&gt;0,COUNTIFS($AG$13:AG517,"&gt;0"),"")</f>
      </c>
    </row>
    <row r="518" ht="22" customHeight="1">
      <c r="B518" s="27"/>
      <c r="C518" s="27"/>
      <c r="D518" s="27"/>
      <c r="E518" s="27"/>
      <c r="F518" s="27"/>
      <c r="G518" s="27"/>
      <c r="H518" s="27"/>
      <c r="I518" s="27"/>
      <c r="J518" s="27"/>
      <c r="AB518" s="0">
        <f>IF(AND('PEGAR'!O18=0,'PEGAR'!X18=2),"Fila 18","")</f>
      </c>
      <c r="AC518" s="0">
        <f>IF(AND('PEGAR'!O18=0,'PEGAR'!X18=2),'PEGAR'!B18&amp;"","")</f>
      </c>
      <c r="AD518" s="0">
        <f>IF(AND('PEGAR'!O18=0,'PEGAR'!X18=2),'PEGAR'!C18&amp;"","")</f>
      </c>
      <c r="AE518" s="0">
        <f>IF(AND('PEGAR'!O18=0,'PEGAR'!X18=2),'PEGAR'!D18&amp;"","")</f>
      </c>
      <c r="AF518" s="0">
        <f>IF(AND('PEGAR'!O18=0,'PEGAR'!X18=2),'PEGAR'!N18,"")</f>
      </c>
      <c r="AG518" s="0" t="n">
        <f>IF(AND('PEGAR'!O18=0,'PEGAR'!X18=2),2,0)</f>
        <v>0</v>
      </c>
      <c r="AH518" s="0">
        <f>IF(AG518&gt;0,COUNTIFS($AG$13:AG518,"&gt;0"),"")</f>
      </c>
    </row>
    <row r="519" ht="22" customHeight="1">
      <c r="B519" s="27"/>
      <c r="C519" s="27"/>
      <c r="D519" s="27"/>
      <c r="E519" s="27"/>
      <c r="F519" s="27"/>
      <c r="G519" s="27"/>
      <c r="H519" s="27"/>
      <c r="I519" s="27"/>
      <c r="J519" s="27"/>
      <c r="AB519" s="0">
        <f>IF(AND('PEGAR'!O19=0,'PEGAR'!X19=2),"Fila 19","")</f>
      </c>
      <c r="AC519" s="0">
        <f>IF(AND('PEGAR'!O19=0,'PEGAR'!X19=2),'PEGAR'!B19&amp;"","")</f>
      </c>
      <c r="AD519" s="0">
        <f>IF(AND('PEGAR'!O19=0,'PEGAR'!X19=2),'PEGAR'!C19&amp;"","")</f>
      </c>
      <c r="AE519" s="0">
        <f>IF(AND('PEGAR'!O19=0,'PEGAR'!X19=2),'PEGAR'!D19&amp;"","")</f>
      </c>
      <c r="AF519" s="0">
        <f>IF(AND('PEGAR'!O19=0,'PEGAR'!X19=2),'PEGAR'!N19,"")</f>
      </c>
      <c r="AG519" s="0" t="n">
        <f>IF(AND('PEGAR'!O19=0,'PEGAR'!X19=2),2,0)</f>
        <v>0</v>
      </c>
      <c r="AH519" s="0">
        <f>IF(AG519&gt;0,COUNTIFS($AG$13:AG519,"&gt;0"),"")</f>
      </c>
    </row>
    <row r="520" ht="28" customHeight="1">
      <c r="B520" s="36" t="str">
        <v>Totales por unidad · declarados conocidos y sumas de líneas provisionales</v>
      </c>
      <c r="C520" s="36"/>
      <c r="D520" s="36"/>
      <c r="E520" s="36"/>
      <c r="F520" s="36"/>
      <c r="G520" s="36"/>
      <c r="H520" s="36"/>
      <c r="I520" s="36"/>
      <c r="J520" s="36"/>
      <c r="AB520" s="0">
        <f>IF(AND('PEGAR'!O20=0,'PEGAR'!X20=2),"Fila 20","")</f>
      </c>
      <c r="AC520" s="0">
        <f>IF(AND('PEGAR'!O20=0,'PEGAR'!X20=2),'PEGAR'!B20&amp;"","")</f>
      </c>
      <c r="AD520" s="0">
        <f>IF(AND('PEGAR'!O20=0,'PEGAR'!X20=2),'PEGAR'!C20&amp;"","")</f>
      </c>
      <c r="AE520" s="0">
        <f>IF(AND('PEGAR'!O20=0,'PEGAR'!X20=2),'PEGAR'!D20&amp;"","")</f>
      </c>
      <c r="AF520" s="0">
        <f>IF(AND('PEGAR'!O20=0,'PEGAR'!X20=2),'PEGAR'!N20,"")</f>
      </c>
      <c r="AG520" s="0" t="n">
        <f>IF(AND('PEGAR'!O20=0,'PEGAR'!X20=2),2,0)</f>
        <v>0</v>
      </c>
      <c r="AH520" s="0">
        <f>IF(AG520&gt;0,COUNTIFS($AG$13:AG520,"&gt;0"),"")</f>
      </c>
    </row>
    <row r="521" ht="22" customHeight="1">
      <c r="B521" s="27"/>
      <c r="C521" s="27"/>
      <c r="D521" s="27"/>
      <c r="E521" s="27"/>
      <c r="F521" s="27"/>
      <c r="G521" s="27"/>
      <c r="H521" s="27"/>
      <c r="I521" s="27"/>
      <c r="J521" s="27"/>
      <c r="AB521" s="0">
        <f>IF(AND('PEGAR'!O21=0,'PEGAR'!X21=2),"Fila 21","")</f>
      </c>
      <c r="AC521" s="0">
        <f>IF(AND('PEGAR'!O21=0,'PEGAR'!X21=2),'PEGAR'!B21&amp;"","")</f>
      </c>
      <c r="AD521" s="0">
        <f>IF(AND('PEGAR'!O21=0,'PEGAR'!X21=2),'PEGAR'!C21&amp;"","")</f>
      </c>
      <c r="AE521" s="0">
        <f>IF(AND('PEGAR'!O21=0,'PEGAR'!X21=2),'PEGAR'!D21&amp;"","")</f>
      </c>
      <c r="AF521" s="0">
        <f>IF(AND('PEGAR'!O21=0,'PEGAR'!X21=2),'PEGAR'!N21,"")</f>
      </c>
      <c r="AG521" s="0" t="n">
        <f>IF(AND('PEGAR'!O21=0,'PEGAR'!X21=2),2,0)</f>
        <v>0</v>
      </c>
      <c r="AH521" s="0">
        <f>IF(AG521&gt;0,COUNTIFS($AG$13:AG521,"&gt;0"),"")</f>
      </c>
    </row>
    <row r="522" ht="40" customHeight="1">
      <c r="B522" s="34" t="str">
        <v>Unidad</v>
      </c>
      <c r="C522" s="34" t="str">
        <v>Partidas</v>
      </c>
      <c r="D522" s="34" t="str">
        <v>Declarado conocido</v>
      </c>
      <c r="E522" s="34" t="str">
        <v>Líneas calculables</v>
      </c>
      <c r="F522" s="34" t="str">
        <v>Partidas con avisos</v>
      </c>
      <c r="G522" s="34" t="str">
        <v>Con suma disponible</v>
      </c>
      <c r="H522" s="27"/>
      <c r="I522" s="27"/>
      <c r="J522" s="27"/>
      <c r="AB522" s="0">
        <f>IF(AND('PEGAR'!O22=0,'PEGAR'!X22=2),"Fila 22","")</f>
      </c>
      <c r="AC522" s="0">
        <f>IF(AND('PEGAR'!O22=0,'PEGAR'!X22=2),'PEGAR'!B22&amp;"","")</f>
      </c>
      <c r="AD522" s="0">
        <f>IF(AND('PEGAR'!O22=0,'PEGAR'!X22=2),'PEGAR'!C22&amp;"","")</f>
      </c>
      <c r="AE522" s="0">
        <f>IF(AND('PEGAR'!O22=0,'PEGAR'!X22=2),'PEGAR'!D22&amp;"","")</f>
      </c>
      <c r="AF522" s="0">
        <f>IF(AND('PEGAR'!O22=0,'PEGAR'!X22=2),'PEGAR'!N22,"")</f>
      </c>
      <c r="AG522" s="0" t="n">
        <f>IF(AND('PEGAR'!O22=0,'PEGAR'!X22=2),2,0)</f>
        <v>0</v>
      </c>
      <c r="AH522" s="0">
        <f>IF(AG522&gt;0,COUNTIFS($AG$13:AG522,"&gt;0"),"")</f>
      </c>
    </row>
    <row r="523" ht="22" customHeight="1">
      <c r="B523" s="27" t="str">
        <v>m</v>
      </c>
      <c r="C523" s="27" t="n">
        <f>COUNTIFS($E$13:$E$512,B523)</f>
        <v>0</v>
      </c>
      <c r="D523" s="39">
        <f>IF(C523=0,"",SUMIFS($F$13:$F$512,$E$13:$E$512,B523))</f>
      </c>
      <c r="E523" s="39">
        <f>IF(G523=0,"",SUMIFS($G$13:$G$512,$E$13:$E$512,B523))</f>
      </c>
      <c r="F523" s="27" t="n">
        <f>COUNTIFS($E$13:$E$512,B523,$W$13:$W$512,"&gt;0")</f>
        <v>0</v>
      </c>
      <c r="G523" s="27" t="n">
        <f>SUMIFS($X$13:$X$512,$E$13:$E$512,B523)</f>
        <v>0</v>
      </c>
      <c r="H523" s="27"/>
      <c r="I523" s="27"/>
      <c r="J523" s="27"/>
      <c r="AB523" s="0">
        <f>IF(AND('PEGAR'!O23=0,'PEGAR'!X23=2),"Fila 23","")</f>
      </c>
      <c r="AC523" s="0">
        <f>IF(AND('PEGAR'!O23=0,'PEGAR'!X23=2),'PEGAR'!B23&amp;"","")</f>
      </c>
      <c r="AD523" s="0">
        <f>IF(AND('PEGAR'!O23=0,'PEGAR'!X23=2),'PEGAR'!C23&amp;"","")</f>
      </c>
      <c r="AE523" s="0">
        <f>IF(AND('PEGAR'!O23=0,'PEGAR'!X23=2),'PEGAR'!D23&amp;"","")</f>
      </c>
      <c r="AF523" s="0">
        <f>IF(AND('PEGAR'!O23=0,'PEGAR'!X23=2),'PEGAR'!N23,"")</f>
      </c>
      <c r="AG523" s="0" t="n">
        <f>IF(AND('PEGAR'!O23=0,'PEGAR'!X23=2),2,0)</f>
        <v>0</v>
      </c>
      <c r="AH523" s="0">
        <f>IF(AG523&gt;0,COUNTIFS($AG$13:AG523,"&gt;0"),"")</f>
      </c>
    </row>
    <row r="524" ht="22" customHeight="1">
      <c r="B524" s="27" t="str">
        <v>m²</v>
      </c>
      <c r="C524" s="27" t="n">
        <f>COUNTIFS($E$13:$E$512,B524)</f>
        <v>2</v>
      </c>
      <c r="D524" s="39" t="n">
        <f>IF(C524=0,"",SUMIFS($F$13:$F$512,$E$13:$E$512,B524))</f>
        <v>112.38</v>
      </c>
      <c r="E524" s="39" t="n">
        <f>IF(G524=0,"",SUMIFS($G$13:$G$512,$E$13:$E$512,B524))</f>
        <v>112.38</v>
      </c>
      <c r="F524" s="27" t="n">
        <f>COUNTIFS($E$13:$E$512,B524,$W$13:$W$512,"&gt;0")</f>
        <v>1</v>
      </c>
      <c r="G524" s="27" t="n">
        <f>SUMIFS($X$13:$X$512,$E$13:$E$512,B524)</f>
        <v>2</v>
      </c>
      <c r="H524" s="27"/>
      <c r="I524" s="27"/>
      <c r="J524" s="27"/>
      <c r="AB524" s="0">
        <f>IF(AND('PEGAR'!O24=0,'PEGAR'!X24=2),"Fila 24","")</f>
      </c>
      <c r="AC524" s="0">
        <f>IF(AND('PEGAR'!O24=0,'PEGAR'!X24=2),'PEGAR'!B24&amp;"","")</f>
      </c>
      <c r="AD524" s="0">
        <f>IF(AND('PEGAR'!O24=0,'PEGAR'!X24=2),'PEGAR'!C24&amp;"","")</f>
      </c>
      <c r="AE524" s="0">
        <f>IF(AND('PEGAR'!O24=0,'PEGAR'!X24=2),'PEGAR'!D24&amp;"","")</f>
      </c>
      <c r="AF524" s="0">
        <f>IF(AND('PEGAR'!O24=0,'PEGAR'!X24=2),'PEGAR'!N24,"")</f>
      </c>
      <c r="AG524" s="0" t="n">
        <f>IF(AND('PEGAR'!O24=0,'PEGAR'!X24=2),2,0)</f>
        <v>0</v>
      </c>
      <c r="AH524" s="0">
        <f>IF(AG524&gt;0,COUNTIFS($AG$13:AG524,"&gt;0"),"")</f>
      </c>
    </row>
    <row r="525" ht="22" customHeight="1">
      <c r="B525" s="27" t="str">
        <v>m³</v>
      </c>
      <c r="C525" s="27" t="n">
        <f>COUNTIFS($E$13:$E$512,B525)</f>
        <v>1</v>
      </c>
      <c r="D525" s="39" t="n">
        <f>IF(C525=0,"",SUMIFS($F$13:$F$512,$E$13:$E$512,B525))</f>
        <v>25</v>
      </c>
      <c r="E525" s="39" t="n">
        <f>IF(G525=0,"",SUMIFS($G$13:$G$512,$E$13:$E$512,B525))</f>
        <v>25</v>
      </c>
      <c r="F525" s="27" t="n">
        <f>COUNTIFS($E$13:$E$512,B525,$W$13:$W$512,"&gt;0")</f>
        <v>1</v>
      </c>
      <c r="G525" s="27" t="n">
        <f>SUMIFS($X$13:$X$512,$E$13:$E$512,B525)</f>
        <v>1</v>
      </c>
      <c r="H525" s="27"/>
      <c r="I525" s="27"/>
      <c r="J525" s="27"/>
      <c r="AB525" s="0">
        <f>IF(AND('PEGAR'!O25=0,'PEGAR'!X25=2),"Fila 25","")</f>
      </c>
      <c r="AC525" s="0">
        <f>IF(AND('PEGAR'!O25=0,'PEGAR'!X25=2),'PEGAR'!B25&amp;"","")</f>
      </c>
      <c r="AD525" s="0">
        <f>IF(AND('PEGAR'!O25=0,'PEGAR'!X25=2),'PEGAR'!C25&amp;"","")</f>
      </c>
      <c r="AE525" s="0">
        <f>IF(AND('PEGAR'!O25=0,'PEGAR'!X25=2),'PEGAR'!D25&amp;"","")</f>
      </c>
      <c r="AF525" s="0">
        <f>IF(AND('PEGAR'!O25=0,'PEGAR'!X25=2),'PEGAR'!N25,"")</f>
      </c>
      <c r="AG525" s="0" t="n">
        <f>IF(AND('PEGAR'!O25=0,'PEGAR'!X25=2),2,0)</f>
        <v>0</v>
      </c>
      <c r="AH525" s="0">
        <f>IF(AG525&gt;0,COUNTIFS($AG$13:AG525,"&gt;0"),"")</f>
      </c>
    </row>
    <row r="526" ht="22" customHeight="1">
      <c r="B526" s="27" t="str">
        <v>ud</v>
      </c>
      <c r="C526" s="27" t="n">
        <f>COUNTIFS($E$13:$E$512,B526)</f>
        <v>1</v>
      </c>
      <c r="D526" s="39" t="n">
        <f>IF(C526=0,"",SUMIFS($F$13:$F$512,$E$13:$E$512,B526))</f>
        <v>0</v>
      </c>
      <c r="E526" s="39" t="n">
        <f>IF(G526=0,"",SUMIFS($G$13:$G$512,$E$13:$E$512,B526))</f>
        <v>1</v>
      </c>
      <c r="F526" s="27" t="n">
        <f>COUNTIFS($E$13:$E$512,B526,$W$13:$W$512,"&gt;0")</f>
        <v>1</v>
      </c>
      <c r="G526" s="27" t="n">
        <f>SUMIFS($X$13:$X$512,$E$13:$E$512,B526)</f>
        <v>1</v>
      </c>
      <c r="H526" s="27"/>
      <c r="I526" s="27"/>
      <c r="J526" s="27"/>
      <c r="AB526" s="0">
        <f>IF(AND('PEGAR'!O26=0,'PEGAR'!X26=2),"Fila 26","")</f>
      </c>
      <c r="AC526" s="0">
        <f>IF(AND('PEGAR'!O26=0,'PEGAR'!X26=2),'PEGAR'!B26&amp;"","")</f>
      </c>
      <c r="AD526" s="0">
        <f>IF(AND('PEGAR'!O26=0,'PEGAR'!X26=2),'PEGAR'!C26&amp;"","")</f>
      </c>
      <c r="AE526" s="0">
        <f>IF(AND('PEGAR'!O26=0,'PEGAR'!X26=2),'PEGAR'!D26&amp;"","")</f>
      </c>
      <c r="AF526" s="0">
        <f>IF(AND('PEGAR'!O26=0,'PEGAR'!X26=2),'PEGAR'!N26,"")</f>
      </c>
      <c r="AG526" s="0" t="n">
        <f>IF(AND('PEGAR'!O26=0,'PEGAR'!X26=2),2,0)</f>
        <v>0</v>
      </c>
      <c r="AH526" s="0">
        <f>IF(AG526&gt;0,COUNTIFS($AG$13:AG526,"&gt;0"),"")</f>
      </c>
    </row>
    <row r="527" ht="22" customHeight="1">
      <c r="B527" s="27" t="str">
        <v>kg</v>
      </c>
      <c r="C527" s="27" t="n">
        <f>COUNTIFS($E$13:$E$512,B527)</f>
        <v>0</v>
      </c>
      <c r="D527" s="39">
        <f>IF(C527=0,"",SUMIFS($F$13:$F$512,$E$13:$E$512,B527))</f>
      </c>
      <c r="E527" s="39">
        <f>IF(G527=0,"",SUMIFS($G$13:$G$512,$E$13:$E$512,B527))</f>
      </c>
      <c r="F527" s="27" t="n">
        <f>COUNTIFS($E$13:$E$512,B527,$W$13:$W$512,"&gt;0")</f>
        <v>0</v>
      </c>
      <c r="G527" s="27" t="n">
        <f>SUMIFS($X$13:$X$512,$E$13:$E$512,B527)</f>
        <v>0</v>
      </c>
      <c r="H527" s="27"/>
      <c r="I527" s="27"/>
      <c r="J527" s="27"/>
      <c r="AB527" s="0">
        <f>IF(AND('PEGAR'!O27=0,'PEGAR'!X27=2),"Fila 27","")</f>
      </c>
      <c r="AC527" s="0">
        <f>IF(AND('PEGAR'!O27=0,'PEGAR'!X27=2),'PEGAR'!B27&amp;"","")</f>
      </c>
      <c r="AD527" s="0">
        <f>IF(AND('PEGAR'!O27=0,'PEGAR'!X27=2),'PEGAR'!C27&amp;"","")</f>
      </c>
      <c r="AE527" s="0">
        <f>IF(AND('PEGAR'!O27=0,'PEGAR'!X27=2),'PEGAR'!D27&amp;"","")</f>
      </c>
      <c r="AF527" s="0">
        <f>IF(AND('PEGAR'!O27=0,'PEGAR'!X27=2),'PEGAR'!N27,"")</f>
      </c>
      <c r="AG527" s="0" t="n">
        <f>IF(AND('PEGAR'!O27=0,'PEGAR'!X27=2),2,0)</f>
        <v>0</v>
      </c>
      <c r="AH527" s="0">
        <f>IF(AG527&gt;0,COUNTIFS($AG$13:AG527,"&gt;0"),"")</f>
      </c>
    </row>
    <row r="528" ht="22" customHeight="1">
      <c r="B528" s="27" t="str">
        <v>t</v>
      </c>
      <c r="C528" s="27" t="n">
        <f>COUNTIFS($E$13:$E$512,B528)</f>
        <v>0</v>
      </c>
      <c r="D528" s="39">
        <f>IF(C528=0,"",SUMIFS($F$13:$F$512,$E$13:$E$512,B528))</f>
      </c>
      <c r="E528" s="39">
        <f>IF(G528=0,"",SUMIFS($G$13:$G$512,$E$13:$E$512,B528))</f>
      </c>
      <c r="F528" s="27" t="n">
        <f>COUNTIFS($E$13:$E$512,B528,$W$13:$W$512,"&gt;0")</f>
        <v>0</v>
      </c>
      <c r="G528" s="27" t="n">
        <f>SUMIFS($X$13:$X$512,$E$13:$E$512,B528)</f>
        <v>0</v>
      </c>
      <c r="H528" s="27"/>
      <c r="I528" s="27"/>
      <c r="J528" s="27"/>
      <c r="AB528" s="0">
        <f>IF(AND('PEGAR'!O28=0,'PEGAR'!X28=2),"Fila 28","")</f>
      </c>
      <c r="AC528" s="0">
        <f>IF(AND('PEGAR'!O28=0,'PEGAR'!X28=2),'PEGAR'!B28&amp;"","")</f>
      </c>
      <c r="AD528" s="0">
        <f>IF(AND('PEGAR'!O28=0,'PEGAR'!X28=2),'PEGAR'!C28&amp;"","")</f>
      </c>
      <c r="AE528" s="0">
        <f>IF(AND('PEGAR'!O28=0,'PEGAR'!X28=2),'PEGAR'!D28&amp;"","")</f>
      </c>
      <c r="AF528" s="0">
        <f>IF(AND('PEGAR'!O28=0,'PEGAR'!X28=2),'PEGAR'!N28,"")</f>
      </c>
      <c r="AG528" s="0" t="n">
        <f>IF(AND('PEGAR'!O28=0,'PEGAR'!X28=2),2,0)</f>
        <v>0</v>
      </c>
      <c r="AH528" s="0">
        <f>IF(AG528&gt;0,COUNTIFS($AG$13:AG528,"&gt;0"),"")</f>
      </c>
    </row>
    <row r="529" ht="22" customHeight="1">
      <c r="B529" s="27" t="str">
        <v>h</v>
      </c>
      <c r="C529" s="27" t="n">
        <f>COUNTIFS($E$13:$E$512,B529)</f>
        <v>0</v>
      </c>
      <c r="D529" s="39">
        <f>IF(C529=0,"",SUMIFS($F$13:$F$512,$E$13:$E$512,B529))</f>
      </c>
      <c r="E529" s="39">
        <f>IF(G529=0,"",SUMIFS($G$13:$G$512,$E$13:$E$512,B529))</f>
      </c>
      <c r="F529" s="27" t="n">
        <f>COUNTIFS($E$13:$E$512,B529,$W$13:$W$512,"&gt;0")</f>
        <v>0</v>
      </c>
      <c r="G529" s="27" t="n">
        <f>SUMIFS($X$13:$X$512,$E$13:$E$512,B529)</f>
        <v>0</v>
      </c>
      <c r="H529" s="27"/>
      <c r="I529" s="27"/>
      <c r="J529" s="27"/>
      <c r="AB529" s="0">
        <f>IF(AND('PEGAR'!O29=0,'PEGAR'!X29=2),"Fila 29","")</f>
      </c>
      <c r="AC529" s="0">
        <f>IF(AND('PEGAR'!O29=0,'PEGAR'!X29=2),'PEGAR'!B29&amp;"","")</f>
      </c>
      <c r="AD529" s="0">
        <f>IF(AND('PEGAR'!O29=0,'PEGAR'!X29=2),'PEGAR'!C29&amp;"","")</f>
      </c>
      <c r="AE529" s="0">
        <f>IF(AND('PEGAR'!O29=0,'PEGAR'!X29=2),'PEGAR'!D29&amp;"","")</f>
      </c>
      <c r="AF529" s="0">
        <f>IF(AND('PEGAR'!O29=0,'PEGAR'!X29=2),'PEGAR'!N29,"")</f>
      </c>
      <c r="AG529" s="0" t="n">
        <f>IF(AND('PEGAR'!O29=0,'PEGAR'!X29=2),2,0)</f>
        <v>0</v>
      </c>
      <c r="AH529" s="0">
        <f>IF(AG529&gt;0,COUNTIFS($AG$13:AG529,"&gt;0"),"")</f>
      </c>
    </row>
    <row r="530" ht="22" customHeight="1">
      <c r="B530" s="27" t="str">
        <v>l</v>
      </c>
      <c r="C530" s="27" t="n">
        <f>COUNTIFS($E$13:$E$512,B530)</f>
        <v>0</v>
      </c>
      <c r="D530" s="39">
        <f>IF(C530=0,"",SUMIFS($F$13:$F$512,$E$13:$E$512,B530))</f>
      </c>
      <c r="E530" s="39">
        <f>IF(G530=0,"",SUMIFS($G$13:$G$512,$E$13:$E$512,B530))</f>
      </c>
      <c r="F530" s="27" t="n">
        <f>COUNTIFS($E$13:$E$512,B530,$W$13:$W$512,"&gt;0")</f>
        <v>0</v>
      </c>
      <c r="G530" s="27" t="n">
        <f>SUMIFS($X$13:$X$512,$E$13:$E$512,B530)</f>
        <v>0</v>
      </c>
      <c r="H530" s="27"/>
      <c r="I530" s="27"/>
      <c r="J530" s="27"/>
      <c r="AB530" s="0">
        <f>IF(AND('PEGAR'!O30=0,'PEGAR'!X30=2),"Fila 30","")</f>
      </c>
      <c r="AC530" s="0">
        <f>IF(AND('PEGAR'!O30=0,'PEGAR'!X30=2),'PEGAR'!B30&amp;"","")</f>
      </c>
      <c r="AD530" s="0">
        <f>IF(AND('PEGAR'!O30=0,'PEGAR'!X30=2),'PEGAR'!C30&amp;"","")</f>
      </c>
      <c r="AE530" s="0">
        <f>IF(AND('PEGAR'!O30=0,'PEGAR'!X30=2),'PEGAR'!D30&amp;"","")</f>
      </c>
      <c r="AF530" s="0">
        <f>IF(AND('PEGAR'!O30=0,'PEGAR'!X30=2),'PEGAR'!N30,"")</f>
      </c>
      <c r="AG530" s="0" t="n">
        <f>IF(AND('PEGAR'!O30=0,'PEGAR'!X30=2),2,0)</f>
        <v>0</v>
      </c>
      <c r="AH530" s="0">
        <f>IF(AG530&gt;0,COUNTIFS($AG$13:AG530,"&gt;0"),"")</f>
      </c>
    </row>
    <row r="531" ht="22" customHeight="1">
      <c r="B531" s="27" t="str">
        <v>pa</v>
      </c>
      <c r="C531" s="27" t="n">
        <f>COUNTIFS($E$13:$E$512,B531)</f>
        <v>0</v>
      </c>
      <c r="D531" s="39">
        <f>IF(C531=0,"",SUMIFS($F$13:$F$512,$E$13:$E$512,B531))</f>
      </c>
      <c r="E531" s="39">
        <f>IF(G531=0,"",SUMIFS($G$13:$G$512,$E$13:$E$512,B531))</f>
      </c>
      <c r="F531" s="27" t="n">
        <f>COUNTIFS($E$13:$E$512,B531,$W$13:$W$512,"&gt;0")</f>
        <v>0</v>
      </c>
      <c r="G531" s="27" t="n">
        <f>SUMIFS($X$13:$X$512,$E$13:$E$512,B531)</f>
        <v>0</v>
      </c>
      <c r="H531" s="27"/>
      <c r="I531" s="27"/>
      <c r="J531" s="27"/>
      <c r="AB531" s="0">
        <f>IF(AND('PEGAR'!O31=0,'PEGAR'!X31=2),"Fila 31","")</f>
      </c>
      <c r="AC531" s="0">
        <f>IF(AND('PEGAR'!O31=0,'PEGAR'!X31=2),'PEGAR'!B31&amp;"","")</f>
      </c>
      <c r="AD531" s="0">
        <f>IF(AND('PEGAR'!O31=0,'PEGAR'!X31=2),'PEGAR'!C31&amp;"","")</f>
      </c>
      <c r="AE531" s="0">
        <f>IF(AND('PEGAR'!O31=0,'PEGAR'!X31=2),'PEGAR'!D31&amp;"","")</f>
      </c>
      <c r="AF531" s="0">
        <f>IF(AND('PEGAR'!O31=0,'PEGAR'!X31=2),'PEGAR'!N31,"")</f>
      </c>
      <c r="AG531" s="0" t="n">
        <f>IF(AND('PEGAR'!O31=0,'PEGAR'!X31=2),2,0)</f>
        <v>0</v>
      </c>
      <c r="AH531" s="0">
        <f>IF(AG531&gt;0,COUNTIFS($AG$13:AG531,"&gt;0"),"")</f>
      </c>
    </row>
    <row r="532" ht="22" customHeight="1">
      <c r="B532" s="27" t="str">
        <v>d</v>
      </c>
      <c r="C532" s="27" t="n">
        <f>COUNTIFS($E$13:$E$512,B532)</f>
        <v>0</v>
      </c>
      <c r="D532" s="39">
        <f>IF(C532=0,"",SUMIFS($F$13:$F$512,$E$13:$E$512,B532))</f>
      </c>
      <c r="E532" s="39">
        <f>IF(G532=0,"",SUMIFS($G$13:$G$512,$E$13:$E$512,B532))</f>
      </c>
      <c r="F532" s="27" t="n">
        <f>COUNTIFS($E$13:$E$512,B532,$W$13:$W$512,"&gt;0")</f>
        <v>0</v>
      </c>
      <c r="G532" s="27" t="n">
        <f>SUMIFS($X$13:$X$512,$E$13:$E$512,B532)</f>
        <v>0</v>
      </c>
      <c r="H532" s="27"/>
      <c r="I532" s="27"/>
      <c r="J532" s="27"/>
      <c r="AB532" s="0">
        <f>IF(AND('PEGAR'!O32=0,'PEGAR'!X32=2),"Fila 32","")</f>
      </c>
      <c r="AC532" s="0">
        <f>IF(AND('PEGAR'!O32=0,'PEGAR'!X32=2),'PEGAR'!B32&amp;"","")</f>
      </c>
      <c r="AD532" s="0">
        <f>IF(AND('PEGAR'!O32=0,'PEGAR'!X32=2),'PEGAR'!C32&amp;"","")</f>
      </c>
      <c r="AE532" s="0">
        <f>IF(AND('PEGAR'!O32=0,'PEGAR'!X32=2),'PEGAR'!D32&amp;"","")</f>
      </c>
      <c r="AF532" s="0">
        <f>IF(AND('PEGAR'!O32=0,'PEGAR'!X32=2),'PEGAR'!N32,"")</f>
      </c>
      <c r="AG532" s="0" t="n">
        <f>IF(AND('PEGAR'!O32=0,'PEGAR'!X32=2),2,0)</f>
        <v>0</v>
      </c>
      <c r="AH532" s="0">
        <f>IF(AG532&gt;0,COUNTIFS($AG$13:AG532,"&gt;0"),"")</f>
      </c>
    </row>
    <row r="533" ht="22" customHeight="1">
      <c r="B533" s="27" t="str">
        <v>jornada</v>
      </c>
      <c r="C533" s="27" t="n">
        <f>COUNTIFS($E$13:$E$512,B533)</f>
        <v>0</v>
      </c>
      <c r="D533" s="39">
        <f>IF(C533=0,"",SUMIFS($F$13:$F$512,$E$13:$E$512,B533))</f>
      </c>
      <c r="E533" s="39">
        <f>IF(G533=0,"",SUMIFS($G$13:$G$512,$E$13:$E$512,B533))</f>
      </c>
      <c r="F533" s="27" t="n">
        <f>COUNTIFS($E$13:$E$512,B533,$W$13:$W$512,"&gt;0")</f>
        <v>0</v>
      </c>
      <c r="G533" s="27" t="n">
        <f>SUMIFS($X$13:$X$512,$E$13:$E$512,B533)</f>
        <v>0</v>
      </c>
      <c r="H533" s="27"/>
      <c r="I533" s="27"/>
      <c r="J533" s="27"/>
      <c r="AB533" s="0">
        <f>IF(AND('PEGAR'!O33=0,'PEGAR'!X33=2),"Fila 33","")</f>
      </c>
      <c r="AC533" s="0">
        <f>IF(AND('PEGAR'!O33=0,'PEGAR'!X33=2),'PEGAR'!B33&amp;"","")</f>
      </c>
      <c r="AD533" s="0">
        <f>IF(AND('PEGAR'!O33=0,'PEGAR'!X33=2),'PEGAR'!C33&amp;"","")</f>
      </c>
      <c r="AE533" s="0">
        <f>IF(AND('PEGAR'!O33=0,'PEGAR'!X33=2),'PEGAR'!D33&amp;"","")</f>
      </c>
      <c r="AF533" s="0">
        <f>IF(AND('PEGAR'!O33=0,'PEGAR'!X33=2),'PEGAR'!N33,"")</f>
      </c>
      <c r="AG533" s="0" t="n">
        <f>IF(AND('PEGAR'!O33=0,'PEGAR'!X33=2),2,0)</f>
        <v>0</v>
      </c>
      <c r="AH533" s="0">
        <f>IF(AG533&gt;0,COUNTIFS($AG$13:AG533,"&gt;0"),"")</f>
      </c>
    </row>
    <row r="534" ht="22" customHeight="1">
      <c r="B534" s="27"/>
      <c r="C534" s="27"/>
      <c r="D534" s="27"/>
      <c r="E534" s="27"/>
      <c r="F534" s="27"/>
      <c r="G534" s="27"/>
      <c r="H534" s="27"/>
      <c r="I534" s="27"/>
      <c r="J534" s="27"/>
      <c r="AB534" s="0">
        <f>IF(AND('PEGAR'!O34=0,'PEGAR'!X34=2),"Fila 34","")</f>
      </c>
      <c r="AC534" s="0">
        <f>IF(AND('PEGAR'!O34=0,'PEGAR'!X34=2),'PEGAR'!B34&amp;"","")</f>
      </c>
      <c r="AD534" s="0">
        <f>IF(AND('PEGAR'!O34=0,'PEGAR'!X34=2),'PEGAR'!C34&amp;"","")</f>
      </c>
      <c r="AE534" s="0">
        <f>IF(AND('PEGAR'!O34=0,'PEGAR'!X34=2),'PEGAR'!D34&amp;"","")</f>
      </c>
      <c r="AF534" s="0">
        <f>IF(AND('PEGAR'!O34=0,'PEGAR'!X34=2),'PEGAR'!N34,"")</f>
      </c>
      <c r="AG534" s="0" t="n">
        <f>IF(AND('PEGAR'!O34=0,'PEGAR'!X34=2),2,0)</f>
        <v>0</v>
      </c>
      <c r="AH534" s="0">
        <f>IF(AG534&gt;0,COUNTIFS($AG$13:AG534,"&gt;0"),"")</f>
      </c>
    </row>
    <row r="535" ht="25" customHeight="1">
      <c r="B535" s="33" t="str">
        <v>No sumamos unidades distintas. Los totales son provisionales mientras haya avisos. Las unidades sin normalizar se quedan fuera de estas sumas y se ven por partida.</v>
      </c>
      <c r="C535" s="33"/>
      <c r="D535" s="33"/>
      <c r="E535" s="33"/>
      <c r="F535" s="33"/>
      <c r="G535" s="33"/>
      <c r="H535" s="33"/>
      <c r="I535" s="33"/>
      <c r="J535" s="33"/>
      <c r="AB535" s="0">
        <f>IF(AND('PEGAR'!O35=0,'PEGAR'!X35=2),"Fila 35","")</f>
      </c>
      <c r="AC535" s="0">
        <f>IF(AND('PEGAR'!O35=0,'PEGAR'!X35=2),'PEGAR'!B35&amp;"","")</f>
      </c>
      <c r="AD535" s="0">
        <f>IF(AND('PEGAR'!O35=0,'PEGAR'!X35=2),'PEGAR'!C35&amp;"","")</f>
      </c>
      <c r="AE535" s="0">
        <f>IF(AND('PEGAR'!O35=0,'PEGAR'!X35=2),'PEGAR'!D35&amp;"","")</f>
      </c>
      <c r="AF535" s="0">
        <f>IF(AND('PEGAR'!O35=0,'PEGAR'!X35=2),'PEGAR'!N35,"")</f>
      </c>
      <c r="AG535" s="0" t="n">
        <f>IF(AND('PEGAR'!O35=0,'PEGAR'!X35=2),2,0)</f>
        <v>0</v>
      </c>
      <c r="AH535" s="0">
        <f>IF(AG535&gt;0,COUNTIFS($AG$13:AG535,"&gt;0"),"")</f>
      </c>
    </row>
    <row r="536" ht="25" customHeight="1">
      <c r="B536" s="33"/>
      <c r="C536" s="33"/>
      <c r="D536" s="33"/>
      <c r="E536" s="33"/>
      <c r="F536" s="33"/>
      <c r="G536" s="33"/>
      <c r="H536" s="33"/>
      <c r="I536" s="33"/>
      <c r="J536" s="33"/>
      <c r="AB536" s="0">
        <f>IF(AND('PEGAR'!O36=0,'PEGAR'!X36=2),"Fila 36","")</f>
      </c>
      <c r="AC536" s="0">
        <f>IF(AND('PEGAR'!O36=0,'PEGAR'!X36=2),'PEGAR'!B36&amp;"","")</f>
      </c>
      <c r="AD536" s="0">
        <f>IF(AND('PEGAR'!O36=0,'PEGAR'!X36=2),'PEGAR'!C36&amp;"","")</f>
      </c>
      <c r="AE536" s="0">
        <f>IF(AND('PEGAR'!O36=0,'PEGAR'!X36=2),'PEGAR'!D36&amp;"","")</f>
      </c>
      <c r="AF536" s="0">
        <f>IF(AND('PEGAR'!O36=0,'PEGAR'!X36=2),'PEGAR'!N36,"")</f>
      </c>
      <c r="AG536" s="0" t="n">
        <f>IF(AND('PEGAR'!O36=0,'PEGAR'!X36=2),2,0)</f>
        <v>0</v>
      </c>
      <c r="AH536" s="0">
        <f>IF(AG536&gt;0,COUNTIFS($AG$13:AG536,"&gt;0"),"")</f>
      </c>
    </row>
    <row r="537" ht="22" customHeight="1">
      <c r="B537" s="27"/>
      <c r="C537" s="27"/>
      <c r="D537" s="27"/>
      <c r="E537" s="27"/>
      <c r="F537" s="27"/>
      <c r="G537" s="27"/>
      <c r="H537" s="27"/>
      <c r="I537" s="27"/>
      <c r="J537" s="27"/>
      <c r="AB537" s="0">
        <f>IF(AND('PEGAR'!O37=0,'PEGAR'!X37=2),"Fila 37","")</f>
      </c>
      <c r="AC537" s="0">
        <f>IF(AND('PEGAR'!O37=0,'PEGAR'!X37=2),'PEGAR'!B37&amp;"","")</f>
      </c>
      <c r="AD537" s="0">
        <f>IF(AND('PEGAR'!O37=0,'PEGAR'!X37=2),'PEGAR'!C37&amp;"","")</f>
      </c>
      <c r="AE537" s="0">
        <f>IF(AND('PEGAR'!O37=0,'PEGAR'!X37=2),'PEGAR'!D37&amp;"","")</f>
      </c>
      <c r="AF537" s="0">
        <f>IF(AND('PEGAR'!O37=0,'PEGAR'!X37=2),'PEGAR'!N37,"")</f>
      </c>
      <c r="AG537" s="0" t="n">
        <f>IF(AND('PEGAR'!O37=0,'PEGAR'!X37=2),2,0)</f>
        <v>0</v>
      </c>
      <c r="AH537" s="0">
        <f>IF(AG537&gt;0,COUNTIFS($AG$13:AG537,"&gt;0"),"")</f>
      </c>
    </row>
    <row r="538" ht="22" customHeight="1">
      <c r="B538" s="27"/>
      <c r="C538" s="27"/>
      <c r="D538" s="27"/>
      <c r="E538" s="27"/>
      <c r="F538" s="27"/>
      <c r="G538" s="27"/>
      <c r="H538" s="27"/>
      <c r="I538" s="27"/>
      <c r="J538" s="27"/>
      <c r="AB538" s="0">
        <f>IF(AND('PEGAR'!O38=0,'PEGAR'!X38=2),"Fila 38","")</f>
      </c>
      <c r="AC538" s="0">
        <f>IF(AND('PEGAR'!O38=0,'PEGAR'!X38=2),'PEGAR'!B38&amp;"","")</f>
      </c>
      <c r="AD538" s="0">
        <f>IF(AND('PEGAR'!O38=0,'PEGAR'!X38=2),'PEGAR'!C38&amp;"","")</f>
      </c>
      <c r="AE538" s="0">
        <f>IF(AND('PEGAR'!O38=0,'PEGAR'!X38=2),'PEGAR'!D38&amp;"","")</f>
      </c>
      <c r="AF538" s="0">
        <f>IF(AND('PEGAR'!O38=0,'PEGAR'!X38=2),'PEGAR'!N38,"")</f>
      </c>
      <c r="AG538" s="0" t="n">
        <f>IF(AND('PEGAR'!O38=0,'PEGAR'!X38=2),2,0)</f>
        <v>0</v>
      </c>
      <c r="AH538" s="0">
        <f>IF(AG538&gt;0,COUNTIFS($AG$13:AG538,"&gt;0"),"")</f>
      </c>
    </row>
    <row r="539">
      <c r="AB539" s="0">
        <f>IF(AND('PEGAR'!O39=0,'PEGAR'!X39=2),"Fila 39","")</f>
      </c>
      <c r="AC539" s="0">
        <f>IF(AND('PEGAR'!O39=0,'PEGAR'!X39=2),'PEGAR'!B39&amp;"","")</f>
      </c>
      <c r="AD539" s="0">
        <f>IF(AND('PEGAR'!O39=0,'PEGAR'!X39=2),'PEGAR'!C39&amp;"","")</f>
      </c>
      <c r="AE539" s="0">
        <f>IF(AND('PEGAR'!O39=0,'PEGAR'!X39=2),'PEGAR'!D39&amp;"","")</f>
      </c>
      <c r="AF539" s="0">
        <f>IF(AND('PEGAR'!O39=0,'PEGAR'!X39=2),'PEGAR'!N39,"")</f>
      </c>
      <c r="AG539" s="0" t="n">
        <f>IF(AND('PEGAR'!O39=0,'PEGAR'!X39=2),2,0)</f>
        <v>0</v>
      </c>
      <c r="AH539" s="0">
        <f>IF(AG539&gt;0,COUNTIFS($AG$13:AG539,"&gt;0"),"")</f>
      </c>
    </row>
    <row r="540">
      <c r="AB540" s="0">
        <f>IF(AND('PEGAR'!O40=0,'PEGAR'!X40=2),"Fila 40","")</f>
      </c>
      <c r="AC540" s="0">
        <f>IF(AND('PEGAR'!O40=0,'PEGAR'!X40=2),'PEGAR'!B40&amp;"","")</f>
      </c>
      <c r="AD540" s="0">
        <f>IF(AND('PEGAR'!O40=0,'PEGAR'!X40=2),'PEGAR'!C40&amp;"","")</f>
      </c>
      <c r="AE540" s="0">
        <f>IF(AND('PEGAR'!O40=0,'PEGAR'!X40=2),'PEGAR'!D40&amp;"","")</f>
      </c>
      <c r="AF540" s="0">
        <f>IF(AND('PEGAR'!O40=0,'PEGAR'!X40=2),'PEGAR'!N40,"")</f>
      </c>
      <c r="AG540" s="0" t="n">
        <f>IF(AND('PEGAR'!O40=0,'PEGAR'!X40=2),2,0)</f>
        <v>0</v>
      </c>
      <c r="AH540" s="0">
        <f>IF(AG540&gt;0,COUNTIFS($AG$13:AG540,"&gt;0"),"")</f>
      </c>
    </row>
    <row r="541">
      <c r="AB541" s="0">
        <f>IF(AND('PEGAR'!O41=0,'PEGAR'!X41=2),"Fila 41","")</f>
      </c>
      <c r="AC541" s="0">
        <f>IF(AND('PEGAR'!O41=0,'PEGAR'!X41=2),'PEGAR'!B41&amp;"","")</f>
      </c>
      <c r="AD541" s="0">
        <f>IF(AND('PEGAR'!O41=0,'PEGAR'!X41=2),'PEGAR'!C41&amp;"","")</f>
      </c>
      <c r="AE541" s="0">
        <f>IF(AND('PEGAR'!O41=0,'PEGAR'!X41=2),'PEGAR'!D41&amp;"","")</f>
      </c>
      <c r="AF541" s="0">
        <f>IF(AND('PEGAR'!O41=0,'PEGAR'!X41=2),'PEGAR'!N41,"")</f>
      </c>
      <c r="AG541" s="0" t="n">
        <f>IF(AND('PEGAR'!O41=0,'PEGAR'!X41=2),2,0)</f>
        <v>0</v>
      </c>
      <c r="AH541" s="0">
        <f>IF(AG541&gt;0,COUNTIFS($AG$13:AG541,"&gt;0"),"")</f>
      </c>
    </row>
    <row r="542">
      <c r="AB542" s="0">
        <f>IF(AND('PEGAR'!O42=0,'PEGAR'!X42=2),"Fila 42","")</f>
      </c>
      <c r="AC542" s="0">
        <f>IF(AND('PEGAR'!O42=0,'PEGAR'!X42=2),'PEGAR'!B42&amp;"","")</f>
      </c>
      <c r="AD542" s="0">
        <f>IF(AND('PEGAR'!O42=0,'PEGAR'!X42=2),'PEGAR'!C42&amp;"","")</f>
      </c>
      <c r="AE542" s="0">
        <f>IF(AND('PEGAR'!O42=0,'PEGAR'!X42=2),'PEGAR'!D42&amp;"","")</f>
      </c>
      <c r="AF542" s="0">
        <f>IF(AND('PEGAR'!O42=0,'PEGAR'!X42=2),'PEGAR'!N42,"")</f>
      </c>
      <c r="AG542" s="0" t="n">
        <f>IF(AND('PEGAR'!O42=0,'PEGAR'!X42=2),2,0)</f>
        <v>0</v>
      </c>
      <c r="AH542" s="0">
        <f>IF(AG542&gt;0,COUNTIFS($AG$13:AG542,"&gt;0"),"")</f>
      </c>
    </row>
    <row r="543">
      <c r="AB543" s="0">
        <f>IF(AND('PEGAR'!O43=0,'PEGAR'!X43=2),"Fila 43","")</f>
      </c>
      <c r="AC543" s="0">
        <f>IF(AND('PEGAR'!O43=0,'PEGAR'!X43=2),'PEGAR'!B43&amp;"","")</f>
      </c>
      <c r="AD543" s="0">
        <f>IF(AND('PEGAR'!O43=0,'PEGAR'!X43=2),'PEGAR'!C43&amp;"","")</f>
      </c>
      <c r="AE543" s="0">
        <f>IF(AND('PEGAR'!O43=0,'PEGAR'!X43=2),'PEGAR'!D43&amp;"","")</f>
      </c>
      <c r="AF543" s="0">
        <f>IF(AND('PEGAR'!O43=0,'PEGAR'!X43=2),'PEGAR'!N43,"")</f>
      </c>
      <c r="AG543" s="0" t="n">
        <f>IF(AND('PEGAR'!O43=0,'PEGAR'!X43=2),2,0)</f>
        <v>0</v>
      </c>
      <c r="AH543" s="0">
        <f>IF(AG543&gt;0,COUNTIFS($AG$13:AG543,"&gt;0"),"")</f>
      </c>
    </row>
    <row r="544">
      <c r="AB544" s="0">
        <f>IF(AND('PEGAR'!O44=0,'PEGAR'!X44=2),"Fila 44","")</f>
      </c>
      <c r="AC544" s="0">
        <f>IF(AND('PEGAR'!O44=0,'PEGAR'!X44=2),'PEGAR'!B44&amp;"","")</f>
      </c>
      <c r="AD544" s="0">
        <f>IF(AND('PEGAR'!O44=0,'PEGAR'!X44=2),'PEGAR'!C44&amp;"","")</f>
      </c>
      <c r="AE544" s="0">
        <f>IF(AND('PEGAR'!O44=0,'PEGAR'!X44=2),'PEGAR'!D44&amp;"","")</f>
      </c>
      <c r="AF544" s="0">
        <f>IF(AND('PEGAR'!O44=0,'PEGAR'!X44=2),'PEGAR'!N44,"")</f>
      </c>
      <c r="AG544" s="0" t="n">
        <f>IF(AND('PEGAR'!O44=0,'PEGAR'!X44=2),2,0)</f>
        <v>0</v>
      </c>
      <c r="AH544" s="0">
        <f>IF(AG544&gt;0,COUNTIFS($AG$13:AG544,"&gt;0"),"")</f>
      </c>
    </row>
    <row r="545">
      <c r="AB545" s="0">
        <f>IF(AND('PEGAR'!O45=0,'PEGAR'!X45=2),"Fila 45","")</f>
      </c>
      <c r="AC545" s="0">
        <f>IF(AND('PEGAR'!O45=0,'PEGAR'!X45=2),'PEGAR'!B45&amp;"","")</f>
      </c>
      <c r="AD545" s="0">
        <f>IF(AND('PEGAR'!O45=0,'PEGAR'!X45=2),'PEGAR'!C45&amp;"","")</f>
      </c>
      <c r="AE545" s="0">
        <f>IF(AND('PEGAR'!O45=0,'PEGAR'!X45=2),'PEGAR'!D45&amp;"","")</f>
      </c>
      <c r="AF545" s="0">
        <f>IF(AND('PEGAR'!O45=0,'PEGAR'!X45=2),'PEGAR'!N45,"")</f>
      </c>
      <c r="AG545" s="0" t="n">
        <f>IF(AND('PEGAR'!O45=0,'PEGAR'!X45=2),2,0)</f>
        <v>0</v>
      </c>
      <c r="AH545" s="0">
        <f>IF(AG545&gt;0,COUNTIFS($AG$13:AG545,"&gt;0"),"")</f>
      </c>
    </row>
    <row r="546">
      <c r="AB546" s="0">
        <f>IF(AND('PEGAR'!O46=0,'PEGAR'!X46=2),"Fila 46","")</f>
      </c>
      <c r="AC546" s="0">
        <f>IF(AND('PEGAR'!O46=0,'PEGAR'!X46=2),'PEGAR'!B46&amp;"","")</f>
      </c>
      <c r="AD546" s="0">
        <f>IF(AND('PEGAR'!O46=0,'PEGAR'!X46=2),'PEGAR'!C46&amp;"","")</f>
      </c>
      <c r="AE546" s="0">
        <f>IF(AND('PEGAR'!O46=0,'PEGAR'!X46=2),'PEGAR'!D46&amp;"","")</f>
      </c>
      <c r="AF546" s="0">
        <f>IF(AND('PEGAR'!O46=0,'PEGAR'!X46=2),'PEGAR'!N46,"")</f>
      </c>
      <c r="AG546" s="0" t="n">
        <f>IF(AND('PEGAR'!O46=0,'PEGAR'!X46=2),2,0)</f>
        <v>0</v>
      </c>
      <c r="AH546" s="0">
        <f>IF(AG546&gt;0,COUNTIFS($AG$13:AG546,"&gt;0"),"")</f>
      </c>
    </row>
    <row r="547">
      <c r="AB547" s="0">
        <f>IF(AND('PEGAR'!O47=0,'PEGAR'!X47=2),"Fila 47","")</f>
      </c>
      <c r="AC547" s="0">
        <f>IF(AND('PEGAR'!O47=0,'PEGAR'!X47=2),'PEGAR'!B47&amp;"","")</f>
      </c>
      <c r="AD547" s="0">
        <f>IF(AND('PEGAR'!O47=0,'PEGAR'!X47=2),'PEGAR'!C47&amp;"","")</f>
      </c>
      <c r="AE547" s="0">
        <f>IF(AND('PEGAR'!O47=0,'PEGAR'!X47=2),'PEGAR'!D47&amp;"","")</f>
      </c>
      <c r="AF547" s="0">
        <f>IF(AND('PEGAR'!O47=0,'PEGAR'!X47=2),'PEGAR'!N47,"")</f>
      </c>
      <c r="AG547" s="0" t="n">
        <f>IF(AND('PEGAR'!O47=0,'PEGAR'!X47=2),2,0)</f>
        <v>0</v>
      </c>
      <c r="AH547" s="0">
        <f>IF(AG547&gt;0,COUNTIFS($AG$13:AG547,"&gt;0"),"")</f>
      </c>
    </row>
    <row r="548">
      <c r="AB548" s="0">
        <f>IF(AND('PEGAR'!O48=0,'PEGAR'!X48=2),"Fila 48","")</f>
      </c>
      <c r="AC548" s="0">
        <f>IF(AND('PEGAR'!O48=0,'PEGAR'!X48=2),'PEGAR'!B48&amp;"","")</f>
      </c>
      <c r="AD548" s="0">
        <f>IF(AND('PEGAR'!O48=0,'PEGAR'!X48=2),'PEGAR'!C48&amp;"","")</f>
      </c>
      <c r="AE548" s="0">
        <f>IF(AND('PEGAR'!O48=0,'PEGAR'!X48=2),'PEGAR'!D48&amp;"","")</f>
      </c>
      <c r="AF548" s="0">
        <f>IF(AND('PEGAR'!O48=0,'PEGAR'!X48=2),'PEGAR'!N48,"")</f>
      </c>
      <c r="AG548" s="0" t="n">
        <f>IF(AND('PEGAR'!O48=0,'PEGAR'!X48=2),2,0)</f>
        <v>0</v>
      </c>
      <c r="AH548" s="0">
        <f>IF(AG548&gt;0,COUNTIFS($AG$13:AG548,"&gt;0"),"")</f>
      </c>
    </row>
    <row r="549">
      <c r="AB549" s="0">
        <f>IF(AND('PEGAR'!O49=0,'PEGAR'!X49=2),"Fila 49","")</f>
      </c>
      <c r="AC549" s="0">
        <f>IF(AND('PEGAR'!O49=0,'PEGAR'!X49=2),'PEGAR'!B49&amp;"","")</f>
      </c>
      <c r="AD549" s="0">
        <f>IF(AND('PEGAR'!O49=0,'PEGAR'!X49=2),'PEGAR'!C49&amp;"","")</f>
      </c>
      <c r="AE549" s="0">
        <f>IF(AND('PEGAR'!O49=0,'PEGAR'!X49=2),'PEGAR'!D49&amp;"","")</f>
      </c>
      <c r="AF549" s="0">
        <f>IF(AND('PEGAR'!O49=0,'PEGAR'!X49=2),'PEGAR'!N49,"")</f>
      </c>
      <c r="AG549" s="0" t="n">
        <f>IF(AND('PEGAR'!O49=0,'PEGAR'!X49=2),2,0)</f>
        <v>0</v>
      </c>
      <c r="AH549" s="0">
        <f>IF(AG549&gt;0,COUNTIFS($AG$13:AG549,"&gt;0"),"")</f>
      </c>
    </row>
    <row r="550">
      <c r="AB550" s="0">
        <f>IF(AND('PEGAR'!O50=0,'PEGAR'!X50=2),"Fila 50","")</f>
      </c>
      <c r="AC550" s="0">
        <f>IF(AND('PEGAR'!O50=0,'PEGAR'!X50=2),'PEGAR'!B50&amp;"","")</f>
      </c>
      <c r="AD550" s="0">
        <f>IF(AND('PEGAR'!O50=0,'PEGAR'!X50=2),'PEGAR'!C50&amp;"","")</f>
      </c>
      <c r="AE550" s="0">
        <f>IF(AND('PEGAR'!O50=0,'PEGAR'!X50=2),'PEGAR'!D50&amp;"","")</f>
      </c>
      <c r="AF550" s="0">
        <f>IF(AND('PEGAR'!O50=0,'PEGAR'!X50=2),'PEGAR'!N50,"")</f>
      </c>
      <c r="AG550" s="0" t="n">
        <f>IF(AND('PEGAR'!O50=0,'PEGAR'!X50=2),2,0)</f>
        <v>0</v>
      </c>
      <c r="AH550" s="0">
        <f>IF(AG550&gt;0,COUNTIFS($AG$13:AG550,"&gt;0"),"")</f>
      </c>
    </row>
    <row r="551">
      <c r="AB551" s="0">
        <f>IF(AND('PEGAR'!O51=0,'PEGAR'!X51=2),"Fila 51","")</f>
      </c>
      <c r="AC551" s="0">
        <f>IF(AND('PEGAR'!O51=0,'PEGAR'!X51=2),'PEGAR'!B51&amp;"","")</f>
      </c>
      <c r="AD551" s="0">
        <f>IF(AND('PEGAR'!O51=0,'PEGAR'!X51=2),'PEGAR'!C51&amp;"","")</f>
      </c>
      <c r="AE551" s="0">
        <f>IF(AND('PEGAR'!O51=0,'PEGAR'!X51=2),'PEGAR'!D51&amp;"","")</f>
      </c>
      <c r="AF551" s="0">
        <f>IF(AND('PEGAR'!O51=0,'PEGAR'!X51=2),'PEGAR'!N51,"")</f>
      </c>
      <c r="AG551" s="0" t="n">
        <f>IF(AND('PEGAR'!O51=0,'PEGAR'!X51=2),2,0)</f>
        <v>0</v>
      </c>
      <c r="AH551" s="0">
        <f>IF(AG551&gt;0,COUNTIFS($AG$13:AG551,"&gt;0"),"")</f>
      </c>
    </row>
    <row r="552">
      <c r="AB552" s="0">
        <f>IF(AND('PEGAR'!O52=0,'PEGAR'!X52=2),"Fila 52","")</f>
      </c>
      <c r="AC552" s="0">
        <f>IF(AND('PEGAR'!O52=0,'PEGAR'!X52=2),'PEGAR'!B52&amp;"","")</f>
      </c>
      <c r="AD552" s="0">
        <f>IF(AND('PEGAR'!O52=0,'PEGAR'!X52=2),'PEGAR'!C52&amp;"","")</f>
      </c>
      <c r="AE552" s="0">
        <f>IF(AND('PEGAR'!O52=0,'PEGAR'!X52=2),'PEGAR'!D52&amp;"","")</f>
      </c>
      <c r="AF552" s="0">
        <f>IF(AND('PEGAR'!O52=0,'PEGAR'!X52=2),'PEGAR'!N52,"")</f>
      </c>
      <c r="AG552" s="0" t="n">
        <f>IF(AND('PEGAR'!O52=0,'PEGAR'!X52=2),2,0)</f>
        <v>0</v>
      </c>
      <c r="AH552" s="0">
        <f>IF(AG552&gt;0,COUNTIFS($AG$13:AG552,"&gt;0"),"")</f>
      </c>
    </row>
    <row r="553">
      <c r="AB553" s="0">
        <f>IF(AND('PEGAR'!O53=0,'PEGAR'!X53=2),"Fila 53","")</f>
      </c>
      <c r="AC553" s="0">
        <f>IF(AND('PEGAR'!O53=0,'PEGAR'!X53=2),'PEGAR'!B53&amp;"","")</f>
      </c>
      <c r="AD553" s="0">
        <f>IF(AND('PEGAR'!O53=0,'PEGAR'!X53=2),'PEGAR'!C53&amp;"","")</f>
      </c>
      <c r="AE553" s="0">
        <f>IF(AND('PEGAR'!O53=0,'PEGAR'!X53=2),'PEGAR'!D53&amp;"","")</f>
      </c>
      <c r="AF553" s="0">
        <f>IF(AND('PEGAR'!O53=0,'PEGAR'!X53=2),'PEGAR'!N53,"")</f>
      </c>
      <c r="AG553" s="0" t="n">
        <f>IF(AND('PEGAR'!O53=0,'PEGAR'!X53=2),2,0)</f>
        <v>0</v>
      </c>
      <c r="AH553" s="0">
        <f>IF(AG553&gt;0,COUNTIFS($AG$13:AG553,"&gt;0"),"")</f>
      </c>
    </row>
    <row r="554">
      <c r="AB554" s="0">
        <f>IF(AND('PEGAR'!O54=0,'PEGAR'!X54=2),"Fila 54","")</f>
      </c>
      <c r="AC554" s="0">
        <f>IF(AND('PEGAR'!O54=0,'PEGAR'!X54=2),'PEGAR'!B54&amp;"","")</f>
      </c>
      <c r="AD554" s="0">
        <f>IF(AND('PEGAR'!O54=0,'PEGAR'!X54=2),'PEGAR'!C54&amp;"","")</f>
      </c>
      <c r="AE554" s="0">
        <f>IF(AND('PEGAR'!O54=0,'PEGAR'!X54=2),'PEGAR'!D54&amp;"","")</f>
      </c>
      <c r="AF554" s="0">
        <f>IF(AND('PEGAR'!O54=0,'PEGAR'!X54=2),'PEGAR'!N54,"")</f>
      </c>
      <c r="AG554" s="0" t="n">
        <f>IF(AND('PEGAR'!O54=0,'PEGAR'!X54=2),2,0)</f>
        <v>0</v>
      </c>
      <c r="AH554" s="0">
        <f>IF(AG554&gt;0,COUNTIFS($AG$13:AG554,"&gt;0"),"")</f>
      </c>
    </row>
    <row r="555">
      <c r="AB555" s="0">
        <f>IF(AND('PEGAR'!O55=0,'PEGAR'!X55=2),"Fila 55","")</f>
      </c>
      <c r="AC555" s="0">
        <f>IF(AND('PEGAR'!O55=0,'PEGAR'!X55=2),'PEGAR'!B55&amp;"","")</f>
      </c>
      <c r="AD555" s="0">
        <f>IF(AND('PEGAR'!O55=0,'PEGAR'!X55=2),'PEGAR'!C55&amp;"","")</f>
      </c>
      <c r="AE555" s="0">
        <f>IF(AND('PEGAR'!O55=0,'PEGAR'!X55=2),'PEGAR'!D55&amp;"","")</f>
      </c>
      <c r="AF555" s="0">
        <f>IF(AND('PEGAR'!O55=0,'PEGAR'!X55=2),'PEGAR'!N55,"")</f>
      </c>
      <c r="AG555" s="0" t="n">
        <f>IF(AND('PEGAR'!O55=0,'PEGAR'!X55=2),2,0)</f>
        <v>0</v>
      </c>
      <c r="AH555" s="0">
        <f>IF(AG555&gt;0,COUNTIFS($AG$13:AG555,"&gt;0"),"")</f>
      </c>
    </row>
    <row r="556">
      <c r="AB556" s="0">
        <f>IF(AND('PEGAR'!O56=0,'PEGAR'!X56=2),"Fila 56","")</f>
      </c>
      <c r="AC556" s="0">
        <f>IF(AND('PEGAR'!O56=0,'PEGAR'!X56=2),'PEGAR'!B56&amp;"","")</f>
      </c>
      <c r="AD556" s="0">
        <f>IF(AND('PEGAR'!O56=0,'PEGAR'!X56=2),'PEGAR'!C56&amp;"","")</f>
      </c>
      <c r="AE556" s="0">
        <f>IF(AND('PEGAR'!O56=0,'PEGAR'!X56=2),'PEGAR'!D56&amp;"","")</f>
      </c>
      <c r="AF556" s="0">
        <f>IF(AND('PEGAR'!O56=0,'PEGAR'!X56=2),'PEGAR'!N56,"")</f>
      </c>
      <c r="AG556" s="0" t="n">
        <f>IF(AND('PEGAR'!O56=0,'PEGAR'!X56=2),2,0)</f>
        <v>0</v>
      </c>
      <c r="AH556" s="0">
        <f>IF(AG556&gt;0,COUNTIFS($AG$13:AG556,"&gt;0"),"")</f>
      </c>
    </row>
    <row r="557">
      <c r="AB557" s="0">
        <f>IF(AND('PEGAR'!O57=0,'PEGAR'!X57=2),"Fila 57","")</f>
      </c>
      <c r="AC557" s="0">
        <f>IF(AND('PEGAR'!O57=0,'PEGAR'!X57=2),'PEGAR'!B57&amp;"","")</f>
      </c>
      <c r="AD557" s="0">
        <f>IF(AND('PEGAR'!O57=0,'PEGAR'!X57=2),'PEGAR'!C57&amp;"","")</f>
      </c>
      <c r="AE557" s="0">
        <f>IF(AND('PEGAR'!O57=0,'PEGAR'!X57=2),'PEGAR'!D57&amp;"","")</f>
      </c>
      <c r="AF557" s="0">
        <f>IF(AND('PEGAR'!O57=0,'PEGAR'!X57=2),'PEGAR'!N57,"")</f>
      </c>
      <c r="AG557" s="0" t="n">
        <f>IF(AND('PEGAR'!O57=0,'PEGAR'!X57=2),2,0)</f>
        <v>0</v>
      </c>
      <c r="AH557" s="0">
        <f>IF(AG557&gt;0,COUNTIFS($AG$13:AG557,"&gt;0"),"")</f>
      </c>
    </row>
    <row r="558">
      <c r="AB558" s="0">
        <f>IF(AND('PEGAR'!O58=0,'PEGAR'!X58=2),"Fila 58","")</f>
      </c>
      <c r="AC558" s="0">
        <f>IF(AND('PEGAR'!O58=0,'PEGAR'!X58=2),'PEGAR'!B58&amp;"","")</f>
      </c>
      <c r="AD558" s="0">
        <f>IF(AND('PEGAR'!O58=0,'PEGAR'!X58=2),'PEGAR'!C58&amp;"","")</f>
      </c>
      <c r="AE558" s="0">
        <f>IF(AND('PEGAR'!O58=0,'PEGAR'!X58=2),'PEGAR'!D58&amp;"","")</f>
      </c>
      <c r="AF558" s="0">
        <f>IF(AND('PEGAR'!O58=0,'PEGAR'!X58=2),'PEGAR'!N58,"")</f>
      </c>
      <c r="AG558" s="0" t="n">
        <f>IF(AND('PEGAR'!O58=0,'PEGAR'!X58=2),2,0)</f>
        <v>0</v>
      </c>
      <c r="AH558" s="0">
        <f>IF(AG558&gt;0,COUNTIFS($AG$13:AG558,"&gt;0"),"")</f>
      </c>
    </row>
    <row r="559">
      <c r="AB559" s="0">
        <f>IF(AND('PEGAR'!O59=0,'PEGAR'!X59=2),"Fila 59","")</f>
      </c>
      <c r="AC559" s="0">
        <f>IF(AND('PEGAR'!O59=0,'PEGAR'!X59=2),'PEGAR'!B59&amp;"","")</f>
      </c>
      <c r="AD559" s="0">
        <f>IF(AND('PEGAR'!O59=0,'PEGAR'!X59=2),'PEGAR'!C59&amp;"","")</f>
      </c>
      <c r="AE559" s="0">
        <f>IF(AND('PEGAR'!O59=0,'PEGAR'!X59=2),'PEGAR'!D59&amp;"","")</f>
      </c>
      <c r="AF559" s="0">
        <f>IF(AND('PEGAR'!O59=0,'PEGAR'!X59=2),'PEGAR'!N59,"")</f>
      </c>
      <c r="AG559" s="0" t="n">
        <f>IF(AND('PEGAR'!O59=0,'PEGAR'!X59=2),2,0)</f>
        <v>0</v>
      </c>
      <c r="AH559" s="0">
        <f>IF(AG559&gt;0,COUNTIFS($AG$13:AG559,"&gt;0"),"")</f>
      </c>
    </row>
    <row r="560">
      <c r="AB560" s="0">
        <f>IF(AND('PEGAR'!O60=0,'PEGAR'!X60=2),"Fila 60","")</f>
      </c>
      <c r="AC560" s="0">
        <f>IF(AND('PEGAR'!O60=0,'PEGAR'!X60=2),'PEGAR'!B60&amp;"","")</f>
      </c>
      <c r="AD560" s="0">
        <f>IF(AND('PEGAR'!O60=0,'PEGAR'!X60=2),'PEGAR'!C60&amp;"","")</f>
      </c>
      <c r="AE560" s="0">
        <f>IF(AND('PEGAR'!O60=0,'PEGAR'!X60=2),'PEGAR'!D60&amp;"","")</f>
      </c>
      <c r="AF560" s="0">
        <f>IF(AND('PEGAR'!O60=0,'PEGAR'!X60=2),'PEGAR'!N60,"")</f>
      </c>
      <c r="AG560" s="0" t="n">
        <f>IF(AND('PEGAR'!O60=0,'PEGAR'!X60=2),2,0)</f>
        <v>0</v>
      </c>
      <c r="AH560" s="0">
        <f>IF(AG560&gt;0,COUNTIFS($AG$13:AG560,"&gt;0"),"")</f>
      </c>
    </row>
    <row r="561">
      <c r="AB561" s="0">
        <f>IF(AND('PEGAR'!O61=0,'PEGAR'!X61=2),"Fila 61","")</f>
      </c>
      <c r="AC561" s="0">
        <f>IF(AND('PEGAR'!O61=0,'PEGAR'!X61=2),'PEGAR'!B61&amp;"","")</f>
      </c>
      <c r="AD561" s="0">
        <f>IF(AND('PEGAR'!O61=0,'PEGAR'!X61=2),'PEGAR'!C61&amp;"","")</f>
      </c>
      <c r="AE561" s="0">
        <f>IF(AND('PEGAR'!O61=0,'PEGAR'!X61=2),'PEGAR'!D61&amp;"","")</f>
      </c>
      <c r="AF561" s="0">
        <f>IF(AND('PEGAR'!O61=0,'PEGAR'!X61=2),'PEGAR'!N61,"")</f>
      </c>
      <c r="AG561" s="0" t="n">
        <f>IF(AND('PEGAR'!O61=0,'PEGAR'!X61=2),2,0)</f>
        <v>0</v>
      </c>
      <c r="AH561" s="0">
        <f>IF(AG561&gt;0,COUNTIFS($AG$13:AG561,"&gt;0"),"")</f>
      </c>
    </row>
    <row r="562">
      <c r="AB562" s="0">
        <f>IF(AND('PEGAR'!O62=0,'PEGAR'!X62=2),"Fila 62","")</f>
      </c>
      <c r="AC562" s="0">
        <f>IF(AND('PEGAR'!O62=0,'PEGAR'!X62=2),'PEGAR'!B62&amp;"","")</f>
      </c>
      <c r="AD562" s="0">
        <f>IF(AND('PEGAR'!O62=0,'PEGAR'!X62=2),'PEGAR'!C62&amp;"","")</f>
      </c>
      <c r="AE562" s="0">
        <f>IF(AND('PEGAR'!O62=0,'PEGAR'!X62=2),'PEGAR'!D62&amp;"","")</f>
      </c>
      <c r="AF562" s="0">
        <f>IF(AND('PEGAR'!O62=0,'PEGAR'!X62=2),'PEGAR'!N62,"")</f>
      </c>
      <c r="AG562" s="0" t="n">
        <f>IF(AND('PEGAR'!O62=0,'PEGAR'!X62=2),2,0)</f>
        <v>0</v>
      </c>
      <c r="AH562" s="0">
        <f>IF(AG562&gt;0,COUNTIFS($AG$13:AG562,"&gt;0"),"")</f>
      </c>
    </row>
    <row r="563">
      <c r="AB563" s="0">
        <f>IF(AND('PEGAR'!O63=0,'PEGAR'!X63=2),"Fila 63","")</f>
      </c>
      <c r="AC563" s="0">
        <f>IF(AND('PEGAR'!O63=0,'PEGAR'!X63=2),'PEGAR'!B63&amp;"","")</f>
      </c>
      <c r="AD563" s="0">
        <f>IF(AND('PEGAR'!O63=0,'PEGAR'!X63=2),'PEGAR'!C63&amp;"","")</f>
      </c>
      <c r="AE563" s="0">
        <f>IF(AND('PEGAR'!O63=0,'PEGAR'!X63=2),'PEGAR'!D63&amp;"","")</f>
      </c>
      <c r="AF563" s="0">
        <f>IF(AND('PEGAR'!O63=0,'PEGAR'!X63=2),'PEGAR'!N63,"")</f>
      </c>
      <c r="AG563" s="0" t="n">
        <f>IF(AND('PEGAR'!O63=0,'PEGAR'!X63=2),2,0)</f>
        <v>0</v>
      </c>
      <c r="AH563" s="0">
        <f>IF(AG563&gt;0,COUNTIFS($AG$13:AG563,"&gt;0"),"")</f>
      </c>
    </row>
    <row r="564">
      <c r="AB564" s="0">
        <f>IF(AND('PEGAR'!O64=0,'PEGAR'!X64=2),"Fila 64","")</f>
      </c>
      <c r="AC564" s="0">
        <f>IF(AND('PEGAR'!O64=0,'PEGAR'!X64=2),'PEGAR'!B64&amp;"","")</f>
      </c>
      <c r="AD564" s="0">
        <f>IF(AND('PEGAR'!O64=0,'PEGAR'!X64=2),'PEGAR'!C64&amp;"","")</f>
      </c>
      <c r="AE564" s="0">
        <f>IF(AND('PEGAR'!O64=0,'PEGAR'!X64=2),'PEGAR'!D64&amp;"","")</f>
      </c>
      <c r="AF564" s="0">
        <f>IF(AND('PEGAR'!O64=0,'PEGAR'!X64=2),'PEGAR'!N64,"")</f>
      </c>
      <c r="AG564" s="0" t="n">
        <f>IF(AND('PEGAR'!O64=0,'PEGAR'!X64=2),2,0)</f>
        <v>0</v>
      </c>
      <c r="AH564" s="0">
        <f>IF(AG564&gt;0,COUNTIFS($AG$13:AG564,"&gt;0"),"")</f>
      </c>
    </row>
    <row r="565">
      <c r="AB565" s="0">
        <f>IF(AND('PEGAR'!O65=0,'PEGAR'!X65=2),"Fila 65","")</f>
      </c>
      <c r="AC565" s="0">
        <f>IF(AND('PEGAR'!O65=0,'PEGAR'!X65=2),'PEGAR'!B65&amp;"","")</f>
      </c>
      <c r="AD565" s="0">
        <f>IF(AND('PEGAR'!O65=0,'PEGAR'!X65=2),'PEGAR'!C65&amp;"","")</f>
      </c>
      <c r="AE565" s="0">
        <f>IF(AND('PEGAR'!O65=0,'PEGAR'!X65=2),'PEGAR'!D65&amp;"","")</f>
      </c>
      <c r="AF565" s="0">
        <f>IF(AND('PEGAR'!O65=0,'PEGAR'!X65=2),'PEGAR'!N65,"")</f>
      </c>
      <c r="AG565" s="0" t="n">
        <f>IF(AND('PEGAR'!O65=0,'PEGAR'!X65=2),2,0)</f>
        <v>0</v>
      </c>
      <c r="AH565" s="0">
        <f>IF(AG565&gt;0,COUNTIFS($AG$13:AG565,"&gt;0"),"")</f>
      </c>
    </row>
    <row r="566">
      <c r="AB566" s="0">
        <f>IF(AND('PEGAR'!O66=0,'PEGAR'!X66=2),"Fila 66","")</f>
      </c>
      <c r="AC566" s="0">
        <f>IF(AND('PEGAR'!O66=0,'PEGAR'!X66=2),'PEGAR'!B66&amp;"","")</f>
      </c>
      <c r="AD566" s="0">
        <f>IF(AND('PEGAR'!O66=0,'PEGAR'!X66=2),'PEGAR'!C66&amp;"","")</f>
      </c>
      <c r="AE566" s="0">
        <f>IF(AND('PEGAR'!O66=0,'PEGAR'!X66=2),'PEGAR'!D66&amp;"","")</f>
      </c>
      <c r="AF566" s="0">
        <f>IF(AND('PEGAR'!O66=0,'PEGAR'!X66=2),'PEGAR'!N66,"")</f>
      </c>
      <c r="AG566" s="0" t="n">
        <f>IF(AND('PEGAR'!O66=0,'PEGAR'!X66=2),2,0)</f>
        <v>0</v>
      </c>
      <c r="AH566" s="0">
        <f>IF(AG566&gt;0,COUNTIFS($AG$13:AG566,"&gt;0"),"")</f>
      </c>
    </row>
    <row r="567">
      <c r="AB567" s="0">
        <f>IF(AND('PEGAR'!O67=0,'PEGAR'!X67=2),"Fila 67","")</f>
      </c>
      <c r="AC567" s="0">
        <f>IF(AND('PEGAR'!O67=0,'PEGAR'!X67=2),'PEGAR'!B67&amp;"","")</f>
      </c>
      <c r="AD567" s="0">
        <f>IF(AND('PEGAR'!O67=0,'PEGAR'!X67=2),'PEGAR'!C67&amp;"","")</f>
      </c>
      <c r="AE567" s="0">
        <f>IF(AND('PEGAR'!O67=0,'PEGAR'!X67=2),'PEGAR'!D67&amp;"","")</f>
      </c>
      <c r="AF567" s="0">
        <f>IF(AND('PEGAR'!O67=0,'PEGAR'!X67=2),'PEGAR'!N67,"")</f>
      </c>
      <c r="AG567" s="0" t="n">
        <f>IF(AND('PEGAR'!O67=0,'PEGAR'!X67=2),2,0)</f>
        <v>0</v>
      </c>
      <c r="AH567" s="0">
        <f>IF(AG567&gt;0,COUNTIFS($AG$13:AG567,"&gt;0"),"")</f>
      </c>
    </row>
    <row r="568">
      <c r="AB568" s="0">
        <f>IF(AND('PEGAR'!O68=0,'PEGAR'!X68=2),"Fila 68","")</f>
      </c>
      <c r="AC568" s="0">
        <f>IF(AND('PEGAR'!O68=0,'PEGAR'!X68=2),'PEGAR'!B68&amp;"","")</f>
      </c>
      <c r="AD568" s="0">
        <f>IF(AND('PEGAR'!O68=0,'PEGAR'!X68=2),'PEGAR'!C68&amp;"","")</f>
      </c>
      <c r="AE568" s="0">
        <f>IF(AND('PEGAR'!O68=0,'PEGAR'!X68=2),'PEGAR'!D68&amp;"","")</f>
      </c>
      <c r="AF568" s="0">
        <f>IF(AND('PEGAR'!O68=0,'PEGAR'!X68=2),'PEGAR'!N68,"")</f>
      </c>
      <c r="AG568" s="0" t="n">
        <f>IF(AND('PEGAR'!O68=0,'PEGAR'!X68=2),2,0)</f>
        <v>0</v>
      </c>
      <c r="AH568" s="0">
        <f>IF(AG568&gt;0,COUNTIFS($AG$13:AG568,"&gt;0"),"")</f>
      </c>
    </row>
    <row r="569">
      <c r="AB569" s="0">
        <f>IF(AND('PEGAR'!O69=0,'PEGAR'!X69=2),"Fila 69","")</f>
      </c>
      <c r="AC569" s="0">
        <f>IF(AND('PEGAR'!O69=0,'PEGAR'!X69=2),'PEGAR'!B69&amp;"","")</f>
      </c>
      <c r="AD569" s="0">
        <f>IF(AND('PEGAR'!O69=0,'PEGAR'!X69=2),'PEGAR'!C69&amp;"","")</f>
      </c>
      <c r="AE569" s="0">
        <f>IF(AND('PEGAR'!O69=0,'PEGAR'!X69=2),'PEGAR'!D69&amp;"","")</f>
      </c>
      <c r="AF569" s="0">
        <f>IF(AND('PEGAR'!O69=0,'PEGAR'!X69=2),'PEGAR'!N69,"")</f>
      </c>
      <c r="AG569" s="0" t="n">
        <f>IF(AND('PEGAR'!O69=0,'PEGAR'!X69=2),2,0)</f>
        <v>0</v>
      </c>
      <c r="AH569" s="0">
        <f>IF(AG569&gt;0,COUNTIFS($AG$13:AG569,"&gt;0"),"")</f>
      </c>
    </row>
    <row r="570">
      <c r="AB570" s="0">
        <f>IF(AND('PEGAR'!O70=0,'PEGAR'!X70=2),"Fila 70","")</f>
      </c>
      <c r="AC570" s="0">
        <f>IF(AND('PEGAR'!O70=0,'PEGAR'!X70=2),'PEGAR'!B70&amp;"","")</f>
      </c>
      <c r="AD570" s="0">
        <f>IF(AND('PEGAR'!O70=0,'PEGAR'!X70=2),'PEGAR'!C70&amp;"","")</f>
      </c>
      <c r="AE570" s="0">
        <f>IF(AND('PEGAR'!O70=0,'PEGAR'!X70=2),'PEGAR'!D70&amp;"","")</f>
      </c>
      <c r="AF570" s="0">
        <f>IF(AND('PEGAR'!O70=0,'PEGAR'!X70=2),'PEGAR'!N70,"")</f>
      </c>
      <c r="AG570" s="0" t="n">
        <f>IF(AND('PEGAR'!O70=0,'PEGAR'!X70=2),2,0)</f>
        <v>0</v>
      </c>
      <c r="AH570" s="0">
        <f>IF(AG570&gt;0,COUNTIFS($AG$13:AG570,"&gt;0"),"")</f>
      </c>
    </row>
    <row r="571">
      <c r="AB571" s="0">
        <f>IF(AND('PEGAR'!O71=0,'PEGAR'!X71=2),"Fila 71","")</f>
      </c>
      <c r="AC571" s="0">
        <f>IF(AND('PEGAR'!O71=0,'PEGAR'!X71=2),'PEGAR'!B71&amp;"","")</f>
      </c>
      <c r="AD571" s="0">
        <f>IF(AND('PEGAR'!O71=0,'PEGAR'!X71=2),'PEGAR'!C71&amp;"","")</f>
      </c>
      <c r="AE571" s="0">
        <f>IF(AND('PEGAR'!O71=0,'PEGAR'!X71=2),'PEGAR'!D71&amp;"","")</f>
      </c>
      <c r="AF571" s="0">
        <f>IF(AND('PEGAR'!O71=0,'PEGAR'!X71=2),'PEGAR'!N71,"")</f>
      </c>
      <c r="AG571" s="0" t="n">
        <f>IF(AND('PEGAR'!O71=0,'PEGAR'!X71=2),2,0)</f>
        <v>0</v>
      </c>
      <c r="AH571" s="0">
        <f>IF(AG571&gt;0,COUNTIFS($AG$13:AG571,"&gt;0"),"")</f>
      </c>
    </row>
    <row r="572">
      <c r="AB572" s="0">
        <f>IF(AND('PEGAR'!O72=0,'PEGAR'!X72=2),"Fila 72","")</f>
      </c>
      <c r="AC572" s="0">
        <f>IF(AND('PEGAR'!O72=0,'PEGAR'!X72=2),'PEGAR'!B72&amp;"","")</f>
      </c>
      <c r="AD572" s="0">
        <f>IF(AND('PEGAR'!O72=0,'PEGAR'!X72=2),'PEGAR'!C72&amp;"","")</f>
      </c>
      <c r="AE572" s="0">
        <f>IF(AND('PEGAR'!O72=0,'PEGAR'!X72=2),'PEGAR'!D72&amp;"","")</f>
      </c>
      <c r="AF572" s="0">
        <f>IF(AND('PEGAR'!O72=0,'PEGAR'!X72=2),'PEGAR'!N72,"")</f>
      </c>
      <c r="AG572" s="0" t="n">
        <f>IF(AND('PEGAR'!O72=0,'PEGAR'!X72=2),2,0)</f>
        <v>0</v>
      </c>
      <c r="AH572" s="0">
        <f>IF(AG572&gt;0,COUNTIFS($AG$13:AG572,"&gt;0"),"")</f>
      </c>
    </row>
    <row r="573">
      <c r="AB573" s="0">
        <f>IF(AND('PEGAR'!O73=0,'PEGAR'!X73=2),"Fila 73","")</f>
      </c>
      <c r="AC573" s="0">
        <f>IF(AND('PEGAR'!O73=0,'PEGAR'!X73=2),'PEGAR'!B73&amp;"","")</f>
      </c>
      <c r="AD573" s="0">
        <f>IF(AND('PEGAR'!O73=0,'PEGAR'!X73=2),'PEGAR'!C73&amp;"","")</f>
      </c>
      <c r="AE573" s="0">
        <f>IF(AND('PEGAR'!O73=0,'PEGAR'!X73=2),'PEGAR'!D73&amp;"","")</f>
      </c>
      <c r="AF573" s="0">
        <f>IF(AND('PEGAR'!O73=0,'PEGAR'!X73=2),'PEGAR'!N73,"")</f>
      </c>
      <c r="AG573" s="0" t="n">
        <f>IF(AND('PEGAR'!O73=0,'PEGAR'!X73=2),2,0)</f>
        <v>0</v>
      </c>
      <c r="AH573" s="0">
        <f>IF(AG573&gt;0,COUNTIFS($AG$13:AG573,"&gt;0"),"")</f>
      </c>
    </row>
    <row r="574">
      <c r="AB574" s="0">
        <f>IF(AND('PEGAR'!O74=0,'PEGAR'!X74=2),"Fila 74","")</f>
      </c>
      <c r="AC574" s="0">
        <f>IF(AND('PEGAR'!O74=0,'PEGAR'!X74=2),'PEGAR'!B74&amp;"","")</f>
      </c>
      <c r="AD574" s="0">
        <f>IF(AND('PEGAR'!O74=0,'PEGAR'!X74=2),'PEGAR'!C74&amp;"","")</f>
      </c>
      <c r="AE574" s="0">
        <f>IF(AND('PEGAR'!O74=0,'PEGAR'!X74=2),'PEGAR'!D74&amp;"","")</f>
      </c>
      <c r="AF574" s="0">
        <f>IF(AND('PEGAR'!O74=0,'PEGAR'!X74=2),'PEGAR'!N74,"")</f>
      </c>
      <c r="AG574" s="0" t="n">
        <f>IF(AND('PEGAR'!O74=0,'PEGAR'!X74=2),2,0)</f>
        <v>0</v>
      </c>
      <c r="AH574" s="0">
        <f>IF(AG574&gt;0,COUNTIFS($AG$13:AG574,"&gt;0"),"")</f>
      </c>
    </row>
    <row r="575">
      <c r="AB575" s="0">
        <f>IF(AND('PEGAR'!O75=0,'PEGAR'!X75=2),"Fila 75","")</f>
      </c>
      <c r="AC575" s="0">
        <f>IF(AND('PEGAR'!O75=0,'PEGAR'!X75=2),'PEGAR'!B75&amp;"","")</f>
      </c>
      <c r="AD575" s="0">
        <f>IF(AND('PEGAR'!O75=0,'PEGAR'!X75=2),'PEGAR'!C75&amp;"","")</f>
      </c>
      <c r="AE575" s="0">
        <f>IF(AND('PEGAR'!O75=0,'PEGAR'!X75=2),'PEGAR'!D75&amp;"","")</f>
      </c>
      <c r="AF575" s="0">
        <f>IF(AND('PEGAR'!O75=0,'PEGAR'!X75=2),'PEGAR'!N75,"")</f>
      </c>
      <c r="AG575" s="0" t="n">
        <f>IF(AND('PEGAR'!O75=0,'PEGAR'!X75=2),2,0)</f>
        <v>0</v>
      </c>
      <c r="AH575" s="0">
        <f>IF(AG575&gt;0,COUNTIFS($AG$13:AG575,"&gt;0"),"")</f>
      </c>
    </row>
    <row r="576">
      <c r="AB576" s="0">
        <f>IF(AND('PEGAR'!O76=0,'PEGAR'!X76=2),"Fila 76","")</f>
      </c>
      <c r="AC576" s="0">
        <f>IF(AND('PEGAR'!O76=0,'PEGAR'!X76=2),'PEGAR'!B76&amp;"","")</f>
      </c>
      <c r="AD576" s="0">
        <f>IF(AND('PEGAR'!O76=0,'PEGAR'!X76=2),'PEGAR'!C76&amp;"","")</f>
      </c>
      <c r="AE576" s="0">
        <f>IF(AND('PEGAR'!O76=0,'PEGAR'!X76=2),'PEGAR'!D76&amp;"","")</f>
      </c>
      <c r="AF576" s="0">
        <f>IF(AND('PEGAR'!O76=0,'PEGAR'!X76=2),'PEGAR'!N76,"")</f>
      </c>
      <c r="AG576" s="0" t="n">
        <f>IF(AND('PEGAR'!O76=0,'PEGAR'!X76=2),2,0)</f>
        <v>0</v>
      </c>
      <c r="AH576" s="0">
        <f>IF(AG576&gt;0,COUNTIFS($AG$13:AG576,"&gt;0"),"")</f>
      </c>
    </row>
    <row r="577">
      <c r="AB577" s="0">
        <f>IF(AND('PEGAR'!O77=0,'PEGAR'!X77=2),"Fila 77","")</f>
      </c>
      <c r="AC577" s="0">
        <f>IF(AND('PEGAR'!O77=0,'PEGAR'!X77=2),'PEGAR'!B77&amp;"","")</f>
      </c>
      <c r="AD577" s="0">
        <f>IF(AND('PEGAR'!O77=0,'PEGAR'!X77=2),'PEGAR'!C77&amp;"","")</f>
      </c>
      <c r="AE577" s="0">
        <f>IF(AND('PEGAR'!O77=0,'PEGAR'!X77=2),'PEGAR'!D77&amp;"","")</f>
      </c>
      <c r="AF577" s="0">
        <f>IF(AND('PEGAR'!O77=0,'PEGAR'!X77=2),'PEGAR'!N77,"")</f>
      </c>
      <c r="AG577" s="0" t="n">
        <f>IF(AND('PEGAR'!O77=0,'PEGAR'!X77=2),2,0)</f>
        <v>0</v>
      </c>
      <c r="AH577" s="0">
        <f>IF(AG577&gt;0,COUNTIFS($AG$13:AG577,"&gt;0"),"")</f>
      </c>
    </row>
    <row r="578">
      <c r="AB578" s="0">
        <f>IF(AND('PEGAR'!O78=0,'PEGAR'!X78=2),"Fila 78","")</f>
      </c>
      <c r="AC578" s="0">
        <f>IF(AND('PEGAR'!O78=0,'PEGAR'!X78=2),'PEGAR'!B78&amp;"","")</f>
      </c>
      <c r="AD578" s="0">
        <f>IF(AND('PEGAR'!O78=0,'PEGAR'!X78=2),'PEGAR'!C78&amp;"","")</f>
      </c>
      <c r="AE578" s="0">
        <f>IF(AND('PEGAR'!O78=0,'PEGAR'!X78=2),'PEGAR'!D78&amp;"","")</f>
      </c>
      <c r="AF578" s="0">
        <f>IF(AND('PEGAR'!O78=0,'PEGAR'!X78=2),'PEGAR'!N78,"")</f>
      </c>
      <c r="AG578" s="0" t="n">
        <f>IF(AND('PEGAR'!O78=0,'PEGAR'!X78=2),2,0)</f>
        <v>0</v>
      </c>
      <c r="AH578" s="0">
        <f>IF(AG578&gt;0,COUNTIFS($AG$13:AG578,"&gt;0"),"")</f>
      </c>
    </row>
    <row r="579">
      <c r="AB579" s="0">
        <f>IF(AND('PEGAR'!O79=0,'PEGAR'!X79=2),"Fila 79","")</f>
      </c>
      <c r="AC579" s="0">
        <f>IF(AND('PEGAR'!O79=0,'PEGAR'!X79=2),'PEGAR'!B79&amp;"","")</f>
      </c>
      <c r="AD579" s="0">
        <f>IF(AND('PEGAR'!O79=0,'PEGAR'!X79=2),'PEGAR'!C79&amp;"","")</f>
      </c>
      <c r="AE579" s="0">
        <f>IF(AND('PEGAR'!O79=0,'PEGAR'!X79=2),'PEGAR'!D79&amp;"","")</f>
      </c>
      <c r="AF579" s="0">
        <f>IF(AND('PEGAR'!O79=0,'PEGAR'!X79=2),'PEGAR'!N79,"")</f>
      </c>
      <c r="AG579" s="0" t="n">
        <f>IF(AND('PEGAR'!O79=0,'PEGAR'!X79=2),2,0)</f>
        <v>0</v>
      </c>
      <c r="AH579" s="0">
        <f>IF(AG579&gt;0,COUNTIFS($AG$13:AG579,"&gt;0"),"")</f>
      </c>
    </row>
    <row r="580">
      <c r="AB580" s="0">
        <f>IF(AND('PEGAR'!O80=0,'PEGAR'!X80=2),"Fila 80","")</f>
      </c>
      <c r="AC580" s="0">
        <f>IF(AND('PEGAR'!O80=0,'PEGAR'!X80=2),'PEGAR'!B80&amp;"","")</f>
      </c>
      <c r="AD580" s="0">
        <f>IF(AND('PEGAR'!O80=0,'PEGAR'!X80=2),'PEGAR'!C80&amp;"","")</f>
      </c>
      <c r="AE580" s="0">
        <f>IF(AND('PEGAR'!O80=0,'PEGAR'!X80=2),'PEGAR'!D80&amp;"","")</f>
      </c>
      <c r="AF580" s="0">
        <f>IF(AND('PEGAR'!O80=0,'PEGAR'!X80=2),'PEGAR'!N80,"")</f>
      </c>
      <c r="AG580" s="0" t="n">
        <f>IF(AND('PEGAR'!O80=0,'PEGAR'!X80=2),2,0)</f>
        <v>0</v>
      </c>
      <c r="AH580" s="0">
        <f>IF(AG580&gt;0,COUNTIFS($AG$13:AG580,"&gt;0"),"")</f>
      </c>
    </row>
    <row r="581">
      <c r="AB581" s="0">
        <f>IF(AND('PEGAR'!O81=0,'PEGAR'!X81=2),"Fila 81","")</f>
      </c>
      <c r="AC581" s="0">
        <f>IF(AND('PEGAR'!O81=0,'PEGAR'!X81=2),'PEGAR'!B81&amp;"","")</f>
      </c>
      <c r="AD581" s="0">
        <f>IF(AND('PEGAR'!O81=0,'PEGAR'!X81=2),'PEGAR'!C81&amp;"","")</f>
      </c>
      <c r="AE581" s="0">
        <f>IF(AND('PEGAR'!O81=0,'PEGAR'!X81=2),'PEGAR'!D81&amp;"","")</f>
      </c>
      <c r="AF581" s="0">
        <f>IF(AND('PEGAR'!O81=0,'PEGAR'!X81=2),'PEGAR'!N81,"")</f>
      </c>
      <c r="AG581" s="0" t="n">
        <f>IF(AND('PEGAR'!O81=0,'PEGAR'!X81=2),2,0)</f>
        <v>0</v>
      </c>
      <c r="AH581" s="0">
        <f>IF(AG581&gt;0,COUNTIFS($AG$13:AG581,"&gt;0"),"")</f>
      </c>
    </row>
    <row r="582">
      <c r="AB582" s="0">
        <f>IF(AND('PEGAR'!O82=0,'PEGAR'!X82=2),"Fila 82","")</f>
      </c>
      <c r="AC582" s="0">
        <f>IF(AND('PEGAR'!O82=0,'PEGAR'!X82=2),'PEGAR'!B82&amp;"","")</f>
      </c>
      <c r="AD582" s="0">
        <f>IF(AND('PEGAR'!O82=0,'PEGAR'!X82=2),'PEGAR'!C82&amp;"","")</f>
      </c>
      <c r="AE582" s="0">
        <f>IF(AND('PEGAR'!O82=0,'PEGAR'!X82=2),'PEGAR'!D82&amp;"","")</f>
      </c>
      <c r="AF582" s="0">
        <f>IF(AND('PEGAR'!O82=0,'PEGAR'!X82=2),'PEGAR'!N82,"")</f>
      </c>
      <c r="AG582" s="0" t="n">
        <f>IF(AND('PEGAR'!O82=0,'PEGAR'!X82=2),2,0)</f>
        <v>0</v>
      </c>
      <c r="AH582" s="0">
        <f>IF(AG582&gt;0,COUNTIFS($AG$13:AG582,"&gt;0"),"")</f>
      </c>
    </row>
    <row r="583">
      <c r="AB583" s="0">
        <f>IF(AND('PEGAR'!O83=0,'PEGAR'!X83=2),"Fila 83","")</f>
      </c>
      <c r="AC583" s="0">
        <f>IF(AND('PEGAR'!O83=0,'PEGAR'!X83=2),'PEGAR'!B83&amp;"","")</f>
      </c>
      <c r="AD583" s="0">
        <f>IF(AND('PEGAR'!O83=0,'PEGAR'!X83=2),'PEGAR'!C83&amp;"","")</f>
      </c>
      <c r="AE583" s="0">
        <f>IF(AND('PEGAR'!O83=0,'PEGAR'!X83=2),'PEGAR'!D83&amp;"","")</f>
      </c>
      <c r="AF583" s="0">
        <f>IF(AND('PEGAR'!O83=0,'PEGAR'!X83=2),'PEGAR'!N83,"")</f>
      </c>
      <c r="AG583" s="0" t="n">
        <f>IF(AND('PEGAR'!O83=0,'PEGAR'!X83=2),2,0)</f>
        <v>0</v>
      </c>
      <c r="AH583" s="0">
        <f>IF(AG583&gt;0,COUNTIFS($AG$13:AG583,"&gt;0"),"")</f>
      </c>
    </row>
    <row r="584">
      <c r="AB584" s="0">
        <f>IF(AND('PEGAR'!O84=0,'PEGAR'!X84=2),"Fila 84","")</f>
      </c>
      <c r="AC584" s="0">
        <f>IF(AND('PEGAR'!O84=0,'PEGAR'!X84=2),'PEGAR'!B84&amp;"","")</f>
      </c>
      <c r="AD584" s="0">
        <f>IF(AND('PEGAR'!O84=0,'PEGAR'!X84=2),'PEGAR'!C84&amp;"","")</f>
      </c>
      <c r="AE584" s="0">
        <f>IF(AND('PEGAR'!O84=0,'PEGAR'!X84=2),'PEGAR'!D84&amp;"","")</f>
      </c>
      <c r="AF584" s="0">
        <f>IF(AND('PEGAR'!O84=0,'PEGAR'!X84=2),'PEGAR'!N84,"")</f>
      </c>
      <c r="AG584" s="0" t="n">
        <f>IF(AND('PEGAR'!O84=0,'PEGAR'!X84=2),2,0)</f>
        <v>0</v>
      </c>
      <c r="AH584" s="0">
        <f>IF(AG584&gt;0,COUNTIFS($AG$13:AG584,"&gt;0"),"")</f>
      </c>
    </row>
    <row r="585">
      <c r="AB585" s="0">
        <f>IF(AND('PEGAR'!O85=0,'PEGAR'!X85=2),"Fila 85","")</f>
      </c>
      <c r="AC585" s="0">
        <f>IF(AND('PEGAR'!O85=0,'PEGAR'!X85=2),'PEGAR'!B85&amp;"","")</f>
      </c>
      <c r="AD585" s="0">
        <f>IF(AND('PEGAR'!O85=0,'PEGAR'!X85=2),'PEGAR'!C85&amp;"","")</f>
      </c>
      <c r="AE585" s="0">
        <f>IF(AND('PEGAR'!O85=0,'PEGAR'!X85=2),'PEGAR'!D85&amp;"","")</f>
      </c>
      <c r="AF585" s="0">
        <f>IF(AND('PEGAR'!O85=0,'PEGAR'!X85=2),'PEGAR'!N85,"")</f>
      </c>
      <c r="AG585" s="0" t="n">
        <f>IF(AND('PEGAR'!O85=0,'PEGAR'!X85=2),2,0)</f>
        <v>0</v>
      </c>
      <c r="AH585" s="0">
        <f>IF(AG585&gt;0,COUNTIFS($AG$13:AG585,"&gt;0"),"")</f>
      </c>
    </row>
    <row r="586">
      <c r="AB586" s="0">
        <f>IF(AND('PEGAR'!O86=0,'PEGAR'!X86=2),"Fila 86","")</f>
      </c>
      <c r="AC586" s="0">
        <f>IF(AND('PEGAR'!O86=0,'PEGAR'!X86=2),'PEGAR'!B86&amp;"","")</f>
      </c>
      <c r="AD586" s="0">
        <f>IF(AND('PEGAR'!O86=0,'PEGAR'!X86=2),'PEGAR'!C86&amp;"","")</f>
      </c>
      <c r="AE586" s="0">
        <f>IF(AND('PEGAR'!O86=0,'PEGAR'!X86=2),'PEGAR'!D86&amp;"","")</f>
      </c>
      <c r="AF586" s="0">
        <f>IF(AND('PEGAR'!O86=0,'PEGAR'!X86=2),'PEGAR'!N86,"")</f>
      </c>
      <c r="AG586" s="0" t="n">
        <f>IF(AND('PEGAR'!O86=0,'PEGAR'!X86=2),2,0)</f>
        <v>0</v>
      </c>
      <c r="AH586" s="0">
        <f>IF(AG586&gt;0,COUNTIFS($AG$13:AG586,"&gt;0"),"")</f>
      </c>
    </row>
    <row r="587">
      <c r="AB587" s="0">
        <f>IF(AND('PEGAR'!O87=0,'PEGAR'!X87=2),"Fila 87","")</f>
      </c>
      <c r="AC587" s="0">
        <f>IF(AND('PEGAR'!O87=0,'PEGAR'!X87=2),'PEGAR'!B87&amp;"","")</f>
      </c>
      <c r="AD587" s="0">
        <f>IF(AND('PEGAR'!O87=0,'PEGAR'!X87=2),'PEGAR'!C87&amp;"","")</f>
      </c>
      <c r="AE587" s="0">
        <f>IF(AND('PEGAR'!O87=0,'PEGAR'!X87=2),'PEGAR'!D87&amp;"","")</f>
      </c>
      <c r="AF587" s="0">
        <f>IF(AND('PEGAR'!O87=0,'PEGAR'!X87=2),'PEGAR'!N87,"")</f>
      </c>
      <c r="AG587" s="0" t="n">
        <f>IF(AND('PEGAR'!O87=0,'PEGAR'!X87=2),2,0)</f>
        <v>0</v>
      </c>
      <c r="AH587" s="0">
        <f>IF(AG587&gt;0,COUNTIFS($AG$13:AG587,"&gt;0"),"")</f>
      </c>
    </row>
    <row r="588">
      <c r="AB588" s="0">
        <f>IF(AND('PEGAR'!O88=0,'PEGAR'!X88=2),"Fila 88","")</f>
      </c>
      <c r="AC588" s="0">
        <f>IF(AND('PEGAR'!O88=0,'PEGAR'!X88=2),'PEGAR'!B88&amp;"","")</f>
      </c>
      <c r="AD588" s="0">
        <f>IF(AND('PEGAR'!O88=0,'PEGAR'!X88=2),'PEGAR'!C88&amp;"","")</f>
      </c>
      <c r="AE588" s="0">
        <f>IF(AND('PEGAR'!O88=0,'PEGAR'!X88=2),'PEGAR'!D88&amp;"","")</f>
      </c>
      <c r="AF588" s="0">
        <f>IF(AND('PEGAR'!O88=0,'PEGAR'!X88=2),'PEGAR'!N88,"")</f>
      </c>
      <c r="AG588" s="0" t="n">
        <f>IF(AND('PEGAR'!O88=0,'PEGAR'!X88=2),2,0)</f>
        <v>0</v>
      </c>
      <c r="AH588" s="0">
        <f>IF(AG588&gt;0,COUNTIFS($AG$13:AG588,"&gt;0"),"")</f>
      </c>
    </row>
    <row r="589">
      <c r="AB589" s="0">
        <f>IF(AND('PEGAR'!O89=0,'PEGAR'!X89=2),"Fila 89","")</f>
      </c>
      <c r="AC589" s="0">
        <f>IF(AND('PEGAR'!O89=0,'PEGAR'!X89=2),'PEGAR'!B89&amp;"","")</f>
      </c>
      <c r="AD589" s="0">
        <f>IF(AND('PEGAR'!O89=0,'PEGAR'!X89=2),'PEGAR'!C89&amp;"","")</f>
      </c>
      <c r="AE589" s="0">
        <f>IF(AND('PEGAR'!O89=0,'PEGAR'!X89=2),'PEGAR'!D89&amp;"","")</f>
      </c>
      <c r="AF589" s="0">
        <f>IF(AND('PEGAR'!O89=0,'PEGAR'!X89=2),'PEGAR'!N89,"")</f>
      </c>
      <c r="AG589" s="0" t="n">
        <f>IF(AND('PEGAR'!O89=0,'PEGAR'!X89=2),2,0)</f>
        <v>0</v>
      </c>
      <c r="AH589" s="0">
        <f>IF(AG589&gt;0,COUNTIFS($AG$13:AG589,"&gt;0"),"")</f>
      </c>
    </row>
    <row r="590">
      <c r="AB590" s="0">
        <f>IF(AND('PEGAR'!O90=0,'PEGAR'!X90=2),"Fila 90","")</f>
      </c>
      <c r="AC590" s="0">
        <f>IF(AND('PEGAR'!O90=0,'PEGAR'!X90=2),'PEGAR'!B90&amp;"","")</f>
      </c>
      <c r="AD590" s="0">
        <f>IF(AND('PEGAR'!O90=0,'PEGAR'!X90=2),'PEGAR'!C90&amp;"","")</f>
      </c>
      <c r="AE590" s="0">
        <f>IF(AND('PEGAR'!O90=0,'PEGAR'!X90=2),'PEGAR'!D90&amp;"","")</f>
      </c>
      <c r="AF590" s="0">
        <f>IF(AND('PEGAR'!O90=0,'PEGAR'!X90=2),'PEGAR'!N90,"")</f>
      </c>
      <c r="AG590" s="0" t="n">
        <f>IF(AND('PEGAR'!O90=0,'PEGAR'!X90=2),2,0)</f>
        <v>0</v>
      </c>
      <c r="AH590" s="0">
        <f>IF(AG590&gt;0,COUNTIFS($AG$13:AG590,"&gt;0"),"")</f>
      </c>
    </row>
    <row r="591">
      <c r="AB591" s="0">
        <f>IF(AND('PEGAR'!O91=0,'PEGAR'!X91=2),"Fila 91","")</f>
      </c>
      <c r="AC591" s="0">
        <f>IF(AND('PEGAR'!O91=0,'PEGAR'!X91=2),'PEGAR'!B91&amp;"","")</f>
      </c>
      <c r="AD591" s="0">
        <f>IF(AND('PEGAR'!O91=0,'PEGAR'!X91=2),'PEGAR'!C91&amp;"","")</f>
      </c>
      <c r="AE591" s="0">
        <f>IF(AND('PEGAR'!O91=0,'PEGAR'!X91=2),'PEGAR'!D91&amp;"","")</f>
      </c>
      <c r="AF591" s="0">
        <f>IF(AND('PEGAR'!O91=0,'PEGAR'!X91=2),'PEGAR'!N91,"")</f>
      </c>
      <c r="AG591" s="0" t="n">
        <f>IF(AND('PEGAR'!O91=0,'PEGAR'!X91=2),2,0)</f>
        <v>0</v>
      </c>
      <c r="AH591" s="0">
        <f>IF(AG591&gt;0,COUNTIFS($AG$13:AG591,"&gt;0"),"")</f>
      </c>
    </row>
    <row r="592">
      <c r="AB592" s="0">
        <f>IF(AND('PEGAR'!O92=0,'PEGAR'!X92=2),"Fila 92","")</f>
      </c>
      <c r="AC592" s="0">
        <f>IF(AND('PEGAR'!O92=0,'PEGAR'!X92=2),'PEGAR'!B92&amp;"","")</f>
      </c>
      <c r="AD592" s="0">
        <f>IF(AND('PEGAR'!O92=0,'PEGAR'!X92=2),'PEGAR'!C92&amp;"","")</f>
      </c>
      <c r="AE592" s="0">
        <f>IF(AND('PEGAR'!O92=0,'PEGAR'!X92=2),'PEGAR'!D92&amp;"","")</f>
      </c>
      <c r="AF592" s="0">
        <f>IF(AND('PEGAR'!O92=0,'PEGAR'!X92=2),'PEGAR'!N92,"")</f>
      </c>
      <c r="AG592" s="0" t="n">
        <f>IF(AND('PEGAR'!O92=0,'PEGAR'!X92=2),2,0)</f>
        <v>0</v>
      </c>
      <c r="AH592" s="0">
        <f>IF(AG592&gt;0,COUNTIFS($AG$13:AG592,"&gt;0"),"")</f>
      </c>
    </row>
    <row r="593">
      <c r="AB593" s="0">
        <f>IF(AND('PEGAR'!O93=0,'PEGAR'!X93=2),"Fila 93","")</f>
      </c>
      <c r="AC593" s="0">
        <f>IF(AND('PEGAR'!O93=0,'PEGAR'!X93=2),'PEGAR'!B93&amp;"","")</f>
      </c>
      <c r="AD593" s="0">
        <f>IF(AND('PEGAR'!O93=0,'PEGAR'!X93=2),'PEGAR'!C93&amp;"","")</f>
      </c>
      <c r="AE593" s="0">
        <f>IF(AND('PEGAR'!O93=0,'PEGAR'!X93=2),'PEGAR'!D93&amp;"","")</f>
      </c>
      <c r="AF593" s="0">
        <f>IF(AND('PEGAR'!O93=0,'PEGAR'!X93=2),'PEGAR'!N93,"")</f>
      </c>
      <c r="AG593" s="0" t="n">
        <f>IF(AND('PEGAR'!O93=0,'PEGAR'!X93=2),2,0)</f>
        <v>0</v>
      </c>
      <c r="AH593" s="0">
        <f>IF(AG593&gt;0,COUNTIFS($AG$13:AG593,"&gt;0"),"")</f>
      </c>
    </row>
    <row r="594">
      <c r="AB594" s="0">
        <f>IF(AND('PEGAR'!O94=0,'PEGAR'!X94=2),"Fila 94","")</f>
      </c>
      <c r="AC594" s="0">
        <f>IF(AND('PEGAR'!O94=0,'PEGAR'!X94=2),'PEGAR'!B94&amp;"","")</f>
      </c>
      <c r="AD594" s="0">
        <f>IF(AND('PEGAR'!O94=0,'PEGAR'!X94=2),'PEGAR'!C94&amp;"","")</f>
      </c>
      <c r="AE594" s="0">
        <f>IF(AND('PEGAR'!O94=0,'PEGAR'!X94=2),'PEGAR'!D94&amp;"","")</f>
      </c>
      <c r="AF594" s="0">
        <f>IF(AND('PEGAR'!O94=0,'PEGAR'!X94=2),'PEGAR'!N94,"")</f>
      </c>
      <c r="AG594" s="0" t="n">
        <f>IF(AND('PEGAR'!O94=0,'PEGAR'!X94=2),2,0)</f>
        <v>0</v>
      </c>
      <c r="AH594" s="0">
        <f>IF(AG594&gt;0,COUNTIFS($AG$13:AG594,"&gt;0"),"")</f>
      </c>
    </row>
    <row r="595">
      <c r="AB595" s="0">
        <f>IF(AND('PEGAR'!O95=0,'PEGAR'!X95=2),"Fila 95","")</f>
      </c>
      <c r="AC595" s="0">
        <f>IF(AND('PEGAR'!O95=0,'PEGAR'!X95=2),'PEGAR'!B95&amp;"","")</f>
      </c>
      <c r="AD595" s="0">
        <f>IF(AND('PEGAR'!O95=0,'PEGAR'!X95=2),'PEGAR'!C95&amp;"","")</f>
      </c>
      <c r="AE595" s="0">
        <f>IF(AND('PEGAR'!O95=0,'PEGAR'!X95=2),'PEGAR'!D95&amp;"","")</f>
      </c>
      <c r="AF595" s="0">
        <f>IF(AND('PEGAR'!O95=0,'PEGAR'!X95=2),'PEGAR'!N95,"")</f>
      </c>
      <c r="AG595" s="0" t="n">
        <f>IF(AND('PEGAR'!O95=0,'PEGAR'!X95=2),2,0)</f>
        <v>0</v>
      </c>
      <c r="AH595" s="0">
        <f>IF(AG595&gt;0,COUNTIFS($AG$13:AG595,"&gt;0"),"")</f>
      </c>
    </row>
    <row r="596">
      <c r="AB596" s="0">
        <f>IF(AND('PEGAR'!O96=0,'PEGAR'!X96=2),"Fila 96","")</f>
      </c>
      <c r="AC596" s="0">
        <f>IF(AND('PEGAR'!O96=0,'PEGAR'!X96=2),'PEGAR'!B96&amp;"","")</f>
      </c>
      <c r="AD596" s="0">
        <f>IF(AND('PEGAR'!O96=0,'PEGAR'!X96=2),'PEGAR'!C96&amp;"","")</f>
      </c>
      <c r="AE596" s="0">
        <f>IF(AND('PEGAR'!O96=0,'PEGAR'!X96=2),'PEGAR'!D96&amp;"","")</f>
      </c>
      <c r="AF596" s="0">
        <f>IF(AND('PEGAR'!O96=0,'PEGAR'!X96=2),'PEGAR'!N96,"")</f>
      </c>
      <c r="AG596" s="0" t="n">
        <f>IF(AND('PEGAR'!O96=0,'PEGAR'!X96=2),2,0)</f>
        <v>0</v>
      </c>
      <c r="AH596" s="0">
        <f>IF(AG596&gt;0,COUNTIFS($AG$13:AG596,"&gt;0"),"")</f>
      </c>
    </row>
    <row r="597">
      <c r="AB597" s="0">
        <f>IF(AND('PEGAR'!O97=0,'PEGAR'!X97=2),"Fila 97","")</f>
      </c>
      <c r="AC597" s="0">
        <f>IF(AND('PEGAR'!O97=0,'PEGAR'!X97=2),'PEGAR'!B97&amp;"","")</f>
      </c>
      <c r="AD597" s="0">
        <f>IF(AND('PEGAR'!O97=0,'PEGAR'!X97=2),'PEGAR'!C97&amp;"","")</f>
      </c>
      <c r="AE597" s="0">
        <f>IF(AND('PEGAR'!O97=0,'PEGAR'!X97=2),'PEGAR'!D97&amp;"","")</f>
      </c>
      <c r="AF597" s="0">
        <f>IF(AND('PEGAR'!O97=0,'PEGAR'!X97=2),'PEGAR'!N97,"")</f>
      </c>
      <c r="AG597" s="0" t="n">
        <f>IF(AND('PEGAR'!O97=0,'PEGAR'!X97=2),2,0)</f>
        <v>0</v>
      </c>
      <c r="AH597" s="0">
        <f>IF(AG597&gt;0,COUNTIFS($AG$13:AG597,"&gt;0"),"")</f>
      </c>
    </row>
    <row r="598">
      <c r="AB598" s="0">
        <f>IF(AND('PEGAR'!O98=0,'PEGAR'!X98=2),"Fila 98","")</f>
      </c>
      <c r="AC598" s="0">
        <f>IF(AND('PEGAR'!O98=0,'PEGAR'!X98=2),'PEGAR'!B98&amp;"","")</f>
      </c>
      <c r="AD598" s="0">
        <f>IF(AND('PEGAR'!O98=0,'PEGAR'!X98=2),'PEGAR'!C98&amp;"","")</f>
      </c>
      <c r="AE598" s="0">
        <f>IF(AND('PEGAR'!O98=0,'PEGAR'!X98=2),'PEGAR'!D98&amp;"","")</f>
      </c>
      <c r="AF598" s="0">
        <f>IF(AND('PEGAR'!O98=0,'PEGAR'!X98=2),'PEGAR'!N98,"")</f>
      </c>
      <c r="AG598" s="0" t="n">
        <f>IF(AND('PEGAR'!O98=0,'PEGAR'!X98=2),2,0)</f>
        <v>0</v>
      </c>
      <c r="AH598" s="0">
        <f>IF(AG598&gt;0,COUNTIFS($AG$13:AG598,"&gt;0"),"")</f>
      </c>
    </row>
    <row r="599">
      <c r="AB599" s="0">
        <f>IF(AND('PEGAR'!O99=0,'PEGAR'!X99=2),"Fila 99","")</f>
      </c>
      <c r="AC599" s="0">
        <f>IF(AND('PEGAR'!O99=0,'PEGAR'!X99=2),'PEGAR'!B99&amp;"","")</f>
      </c>
      <c r="AD599" s="0">
        <f>IF(AND('PEGAR'!O99=0,'PEGAR'!X99=2),'PEGAR'!C99&amp;"","")</f>
      </c>
      <c r="AE599" s="0">
        <f>IF(AND('PEGAR'!O99=0,'PEGAR'!X99=2),'PEGAR'!D99&amp;"","")</f>
      </c>
      <c r="AF599" s="0">
        <f>IF(AND('PEGAR'!O99=0,'PEGAR'!X99=2),'PEGAR'!N99,"")</f>
      </c>
      <c r="AG599" s="0" t="n">
        <f>IF(AND('PEGAR'!O99=0,'PEGAR'!X99=2),2,0)</f>
        <v>0</v>
      </c>
      <c r="AH599" s="0">
        <f>IF(AG599&gt;0,COUNTIFS($AG$13:AG599,"&gt;0"),"")</f>
      </c>
    </row>
    <row r="600">
      <c r="AB600" s="0">
        <f>IF(AND('PEGAR'!O100=0,'PEGAR'!X100=2),"Fila 100","")</f>
      </c>
      <c r="AC600" s="0">
        <f>IF(AND('PEGAR'!O100=0,'PEGAR'!X100=2),'PEGAR'!B100&amp;"","")</f>
      </c>
      <c r="AD600" s="0">
        <f>IF(AND('PEGAR'!O100=0,'PEGAR'!X100=2),'PEGAR'!C100&amp;"","")</f>
      </c>
      <c r="AE600" s="0">
        <f>IF(AND('PEGAR'!O100=0,'PEGAR'!X100=2),'PEGAR'!D100&amp;"","")</f>
      </c>
      <c r="AF600" s="0">
        <f>IF(AND('PEGAR'!O100=0,'PEGAR'!X100=2),'PEGAR'!N100,"")</f>
      </c>
      <c r="AG600" s="0" t="n">
        <f>IF(AND('PEGAR'!O100=0,'PEGAR'!X100=2),2,0)</f>
        <v>0</v>
      </c>
      <c r="AH600" s="0">
        <f>IF(AG600&gt;0,COUNTIFS($AG$13:AG600,"&gt;0"),"")</f>
      </c>
    </row>
    <row r="601">
      <c r="AB601" s="0">
        <f>IF(AND('PEGAR'!O101=0,'PEGAR'!X101=2),"Fila 101","")</f>
      </c>
      <c r="AC601" s="0">
        <f>IF(AND('PEGAR'!O101=0,'PEGAR'!X101=2),'PEGAR'!B101&amp;"","")</f>
      </c>
      <c r="AD601" s="0">
        <f>IF(AND('PEGAR'!O101=0,'PEGAR'!X101=2),'PEGAR'!C101&amp;"","")</f>
      </c>
      <c r="AE601" s="0">
        <f>IF(AND('PEGAR'!O101=0,'PEGAR'!X101=2),'PEGAR'!D101&amp;"","")</f>
      </c>
      <c r="AF601" s="0">
        <f>IF(AND('PEGAR'!O101=0,'PEGAR'!X101=2),'PEGAR'!N101,"")</f>
      </c>
      <c r="AG601" s="0" t="n">
        <f>IF(AND('PEGAR'!O101=0,'PEGAR'!X101=2),2,0)</f>
        <v>0</v>
      </c>
      <c r="AH601" s="0">
        <f>IF(AG601&gt;0,COUNTIFS($AG$13:AG601,"&gt;0"),"")</f>
      </c>
    </row>
    <row r="602">
      <c r="AB602" s="0">
        <f>IF(AND('PEGAR'!O102=0,'PEGAR'!X102=2),"Fila 102","")</f>
      </c>
      <c r="AC602" s="0">
        <f>IF(AND('PEGAR'!O102=0,'PEGAR'!X102=2),'PEGAR'!B102&amp;"","")</f>
      </c>
      <c r="AD602" s="0">
        <f>IF(AND('PEGAR'!O102=0,'PEGAR'!X102=2),'PEGAR'!C102&amp;"","")</f>
      </c>
      <c r="AE602" s="0">
        <f>IF(AND('PEGAR'!O102=0,'PEGAR'!X102=2),'PEGAR'!D102&amp;"","")</f>
      </c>
      <c r="AF602" s="0">
        <f>IF(AND('PEGAR'!O102=0,'PEGAR'!X102=2),'PEGAR'!N102,"")</f>
      </c>
      <c r="AG602" s="0" t="n">
        <f>IF(AND('PEGAR'!O102=0,'PEGAR'!X102=2),2,0)</f>
        <v>0</v>
      </c>
      <c r="AH602" s="0">
        <f>IF(AG602&gt;0,COUNTIFS($AG$13:AG602,"&gt;0"),"")</f>
      </c>
    </row>
    <row r="603">
      <c r="AB603" s="0">
        <f>IF(AND('PEGAR'!O103=0,'PEGAR'!X103=2),"Fila 103","")</f>
      </c>
      <c r="AC603" s="0">
        <f>IF(AND('PEGAR'!O103=0,'PEGAR'!X103=2),'PEGAR'!B103&amp;"","")</f>
      </c>
      <c r="AD603" s="0">
        <f>IF(AND('PEGAR'!O103=0,'PEGAR'!X103=2),'PEGAR'!C103&amp;"","")</f>
      </c>
      <c r="AE603" s="0">
        <f>IF(AND('PEGAR'!O103=0,'PEGAR'!X103=2),'PEGAR'!D103&amp;"","")</f>
      </c>
      <c r="AF603" s="0">
        <f>IF(AND('PEGAR'!O103=0,'PEGAR'!X103=2),'PEGAR'!N103,"")</f>
      </c>
      <c r="AG603" s="0" t="n">
        <f>IF(AND('PEGAR'!O103=0,'PEGAR'!X103=2),2,0)</f>
        <v>0</v>
      </c>
      <c r="AH603" s="0">
        <f>IF(AG603&gt;0,COUNTIFS($AG$13:AG603,"&gt;0"),"")</f>
      </c>
    </row>
    <row r="604">
      <c r="AB604" s="0">
        <f>IF(AND('PEGAR'!O104=0,'PEGAR'!X104=2),"Fila 104","")</f>
      </c>
      <c r="AC604" s="0">
        <f>IF(AND('PEGAR'!O104=0,'PEGAR'!X104=2),'PEGAR'!B104&amp;"","")</f>
      </c>
      <c r="AD604" s="0">
        <f>IF(AND('PEGAR'!O104=0,'PEGAR'!X104=2),'PEGAR'!C104&amp;"","")</f>
      </c>
      <c r="AE604" s="0">
        <f>IF(AND('PEGAR'!O104=0,'PEGAR'!X104=2),'PEGAR'!D104&amp;"","")</f>
      </c>
      <c r="AF604" s="0">
        <f>IF(AND('PEGAR'!O104=0,'PEGAR'!X104=2),'PEGAR'!N104,"")</f>
      </c>
      <c r="AG604" s="0" t="n">
        <f>IF(AND('PEGAR'!O104=0,'PEGAR'!X104=2),2,0)</f>
        <v>0</v>
      </c>
      <c r="AH604" s="0">
        <f>IF(AG604&gt;0,COUNTIFS($AG$13:AG604,"&gt;0"),"")</f>
      </c>
    </row>
    <row r="605">
      <c r="AB605" s="0">
        <f>IF(AND('PEGAR'!O105=0,'PEGAR'!X105=2),"Fila 105","")</f>
      </c>
      <c r="AC605" s="0">
        <f>IF(AND('PEGAR'!O105=0,'PEGAR'!X105=2),'PEGAR'!B105&amp;"","")</f>
      </c>
      <c r="AD605" s="0">
        <f>IF(AND('PEGAR'!O105=0,'PEGAR'!X105=2),'PEGAR'!C105&amp;"","")</f>
      </c>
      <c r="AE605" s="0">
        <f>IF(AND('PEGAR'!O105=0,'PEGAR'!X105=2),'PEGAR'!D105&amp;"","")</f>
      </c>
      <c r="AF605" s="0">
        <f>IF(AND('PEGAR'!O105=0,'PEGAR'!X105=2),'PEGAR'!N105,"")</f>
      </c>
      <c r="AG605" s="0" t="n">
        <f>IF(AND('PEGAR'!O105=0,'PEGAR'!X105=2),2,0)</f>
        <v>0</v>
      </c>
      <c r="AH605" s="0">
        <f>IF(AG605&gt;0,COUNTIFS($AG$13:AG605,"&gt;0"),"")</f>
      </c>
    </row>
    <row r="606">
      <c r="AB606" s="0">
        <f>IF(AND('PEGAR'!O106=0,'PEGAR'!X106=2),"Fila 106","")</f>
      </c>
      <c r="AC606" s="0">
        <f>IF(AND('PEGAR'!O106=0,'PEGAR'!X106=2),'PEGAR'!B106&amp;"","")</f>
      </c>
      <c r="AD606" s="0">
        <f>IF(AND('PEGAR'!O106=0,'PEGAR'!X106=2),'PEGAR'!C106&amp;"","")</f>
      </c>
      <c r="AE606" s="0">
        <f>IF(AND('PEGAR'!O106=0,'PEGAR'!X106=2),'PEGAR'!D106&amp;"","")</f>
      </c>
      <c r="AF606" s="0">
        <f>IF(AND('PEGAR'!O106=0,'PEGAR'!X106=2),'PEGAR'!N106,"")</f>
      </c>
      <c r="AG606" s="0" t="n">
        <f>IF(AND('PEGAR'!O106=0,'PEGAR'!X106=2),2,0)</f>
        <v>0</v>
      </c>
      <c r="AH606" s="0">
        <f>IF(AG606&gt;0,COUNTIFS($AG$13:AG606,"&gt;0"),"")</f>
      </c>
    </row>
    <row r="607">
      <c r="AB607" s="0">
        <f>IF(AND('PEGAR'!O107=0,'PEGAR'!X107=2),"Fila 107","")</f>
      </c>
      <c r="AC607" s="0">
        <f>IF(AND('PEGAR'!O107=0,'PEGAR'!X107=2),'PEGAR'!B107&amp;"","")</f>
      </c>
      <c r="AD607" s="0">
        <f>IF(AND('PEGAR'!O107=0,'PEGAR'!X107=2),'PEGAR'!C107&amp;"","")</f>
      </c>
      <c r="AE607" s="0">
        <f>IF(AND('PEGAR'!O107=0,'PEGAR'!X107=2),'PEGAR'!D107&amp;"","")</f>
      </c>
      <c r="AF607" s="0">
        <f>IF(AND('PEGAR'!O107=0,'PEGAR'!X107=2),'PEGAR'!N107,"")</f>
      </c>
      <c r="AG607" s="0" t="n">
        <f>IF(AND('PEGAR'!O107=0,'PEGAR'!X107=2),2,0)</f>
        <v>0</v>
      </c>
      <c r="AH607" s="0">
        <f>IF(AG607&gt;0,COUNTIFS($AG$13:AG607,"&gt;0"),"")</f>
      </c>
    </row>
    <row r="608">
      <c r="AB608" s="0">
        <f>IF(AND('PEGAR'!O108=0,'PEGAR'!X108=2),"Fila 108","")</f>
      </c>
      <c r="AC608" s="0">
        <f>IF(AND('PEGAR'!O108=0,'PEGAR'!X108=2),'PEGAR'!B108&amp;"","")</f>
      </c>
      <c r="AD608" s="0">
        <f>IF(AND('PEGAR'!O108=0,'PEGAR'!X108=2),'PEGAR'!C108&amp;"","")</f>
      </c>
      <c r="AE608" s="0">
        <f>IF(AND('PEGAR'!O108=0,'PEGAR'!X108=2),'PEGAR'!D108&amp;"","")</f>
      </c>
      <c r="AF608" s="0">
        <f>IF(AND('PEGAR'!O108=0,'PEGAR'!X108=2),'PEGAR'!N108,"")</f>
      </c>
      <c r="AG608" s="0" t="n">
        <f>IF(AND('PEGAR'!O108=0,'PEGAR'!X108=2),2,0)</f>
        <v>0</v>
      </c>
      <c r="AH608" s="0">
        <f>IF(AG608&gt;0,COUNTIFS($AG$13:AG608,"&gt;0"),"")</f>
      </c>
    </row>
    <row r="609">
      <c r="AB609" s="0">
        <f>IF(AND('PEGAR'!O109=0,'PEGAR'!X109=2),"Fila 109","")</f>
      </c>
      <c r="AC609" s="0">
        <f>IF(AND('PEGAR'!O109=0,'PEGAR'!X109=2),'PEGAR'!B109&amp;"","")</f>
      </c>
      <c r="AD609" s="0">
        <f>IF(AND('PEGAR'!O109=0,'PEGAR'!X109=2),'PEGAR'!C109&amp;"","")</f>
      </c>
      <c r="AE609" s="0">
        <f>IF(AND('PEGAR'!O109=0,'PEGAR'!X109=2),'PEGAR'!D109&amp;"","")</f>
      </c>
      <c r="AF609" s="0">
        <f>IF(AND('PEGAR'!O109=0,'PEGAR'!X109=2),'PEGAR'!N109,"")</f>
      </c>
      <c r="AG609" s="0" t="n">
        <f>IF(AND('PEGAR'!O109=0,'PEGAR'!X109=2),2,0)</f>
        <v>0</v>
      </c>
      <c r="AH609" s="0">
        <f>IF(AG609&gt;0,COUNTIFS($AG$13:AG609,"&gt;0"),"")</f>
      </c>
    </row>
    <row r="610">
      <c r="AB610" s="0">
        <f>IF(AND('PEGAR'!O110=0,'PEGAR'!X110=2),"Fila 110","")</f>
      </c>
      <c r="AC610" s="0">
        <f>IF(AND('PEGAR'!O110=0,'PEGAR'!X110=2),'PEGAR'!B110&amp;"","")</f>
      </c>
      <c r="AD610" s="0">
        <f>IF(AND('PEGAR'!O110=0,'PEGAR'!X110=2),'PEGAR'!C110&amp;"","")</f>
      </c>
      <c r="AE610" s="0">
        <f>IF(AND('PEGAR'!O110=0,'PEGAR'!X110=2),'PEGAR'!D110&amp;"","")</f>
      </c>
      <c r="AF610" s="0">
        <f>IF(AND('PEGAR'!O110=0,'PEGAR'!X110=2),'PEGAR'!N110,"")</f>
      </c>
      <c r="AG610" s="0" t="n">
        <f>IF(AND('PEGAR'!O110=0,'PEGAR'!X110=2),2,0)</f>
        <v>0</v>
      </c>
      <c r="AH610" s="0">
        <f>IF(AG610&gt;0,COUNTIFS($AG$13:AG610,"&gt;0"),"")</f>
      </c>
    </row>
    <row r="611">
      <c r="AB611" s="0">
        <f>IF(AND('PEGAR'!O111=0,'PEGAR'!X111=2),"Fila 111","")</f>
      </c>
      <c r="AC611" s="0">
        <f>IF(AND('PEGAR'!O111=0,'PEGAR'!X111=2),'PEGAR'!B111&amp;"","")</f>
      </c>
      <c r="AD611" s="0">
        <f>IF(AND('PEGAR'!O111=0,'PEGAR'!X111=2),'PEGAR'!C111&amp;"","")</f>
      </c>
      <c r="AE611" s="0">
        <f>IF(AND('PEGAR'!O111=0,'PEGAR'!X111=2),'PEGAR'!D111&amp;"","")</f>
      </c>
      <c r="AF611" s="0">
        <f>IF(AND('PEGAR'!O111=0,'PEGAR'!X111=2),'PEGAR'!N111,"")</f>
      </c>
      <c r="AG611" s="0" t="n">
        <f>IF(AND('PEGAR'!O111=0,'PEGAR'!X111=2),2,0)</f>
        <v>0</v>
      </c>
      <c r="AH611" s="0">
        <f>IF(AG611&gt;0,COUNTIFS($AG$13:AG611,"&gt;0"),"")</f>
      </c>
    </row>
    <row r="612">
      <c r="AB612" s="0">
        <f>IF(AND('PEGAR'!O112=0,'PEGAR'!X112=2),"Fila 112","")</f>
      </c>
      <c r="AC612" s="0">
        <f>IF(AND('PEGAR'!O112=0,'PEGAR'!X112=2),'PEGAR'!B112&amp;"","")</f>
      </c>
      <c r="AD612" s="0">
        <f>IF(AND('PEGAR'!O112=0,'PEGAR'!X112=2),'PEGAR'!C112&amp;"","")</f>
      </c>
      <c r="AE612" s="0">
        <f>IF(AND('PEGAR'!O112=0,'PEGAR'!X112=2),'PEGAR'!D112&amp;"","")</f>
      </c>
      <c r="AF612" s="0">
        <f>IF(AND('PEGAR'!O112=0,'PEGAR'!X112=2),'PEGAR'!N112,"")</f>
      </c>
      <c r="AG612" s="0" t="n">
        <f>IF(AND('PEGAR'!O112=0,'PEGAR'!X112=2),2,0)</f>
        <v>0</v>
      </c>
      <c r="AH612" s="0">
        <f>IF(AG612&gt;0,COUNTIFS($AG$13:AG612,"&gt;0"),"")</f>
      </c>
    </row>
    <row r="613">
      <c r="AB613" s="0">
        <f>IF(AND('PEGAR'!O113=0,'PEGAR'!X113=2),"Fila 113","")</f>
      </c>
      <c r="AC613" s="0">
        <f>IF(AND('PEGAR'!O113=0,'PEGAR'!X113=2),'PEGAR'!B113&amp;"","")</f>
      </c>
      <c r="AD613" s="0">
        <f>IF(AND('PEGAR'!O113=0,'PEGAR'!X113=2),'PEGAR'!C113&amp;"","")</f>
      </c>
      <c r="AE613" s="0">
        <f>IF(AND('PEGAR'!O113=0,'PEGAR'!X113=2),'PEGAR'!D113&amp;"","")</f>
      </c>
      <c r="AF613" s="0">
        <f>IF(AND('PEGAR'!O113=0,'PEGAR'!X113=2),'PEGAR'!N113,"")</f>
      </c>
      <c r="AG613" s="0" t="n">
        <f>IF(AND('PEGAR'!O113=0,'PEGAR'!X113=2),2,0)</f>
        <v>0</v>
      </c>
      <c r="AH613" s="0">
        <f>IF(AG613&gt;0,COUNTIFS($AG$13:AG613,"&gt;0"),"")</f>
      </c>
    </row>
    <row r="614">
      <c r="AB614" s="0">
        <f>IF(AND('PEGAR'!O114=0,'PEGAR'!X114=2),"Fila 114","")</f>
      </c>
      <c r="AC614" s="0">
        <f>IF(AND('PEGAR'!O114=0,'PEGAR'!X114=2),'PEGAR'!B114&amp;"","")</f>
      </c>
      <c r="AD614" s="0">
        <f>IF(AND('PEGAR'!O114=0,'PEGAR'!X114=2),'PEGAR'!C114&amp;"","")</f>
      </c>
      <c r="AE614" s="0">
        <f>IF(AND('PEGAR'!O114=0,'PEGAR'!X114=2),'PEGAR'!D114&amp;"","")</f>
      </c>
      <c r="AF614" s="0">
        <f>IF(AND('PEGAR'!O114=0,'PEGAR'!X114=2),'PEGAR'!N114,"")</f>
      </c>
      <c r="AG614" s="0" t="n">
        <f>IF(AND('PEGAR'!O114=0,'PEGAR'!X114=2),2,0)</f>
        <v>0</v>
      </c>
      <c r="AH614" s="0">
        <f>IF(AG614&gt;0,COUNTIFS($AG$13:AG614,"&gt;0"),"")</f>
      </c>
    </row>
    <row r="615">
      <c r="AB615" s="0">
        <f>IF(AND('PEGAR'!O115=0,'PEGAR'!X115=2),"Fila 115","")</f>
      </c>
      <c r="AC615" s="0">
        <f>IF(AND('PEGAR'!O115=0,'PEGAR'!X115=2),'PEGAR'!B115&amp;"","")</f>
      </c>
      <c r="AD615" s="0">
        <f>IF(AND('PEGAR'!O115=0,'PEGAR'!X115=2),'PEGAR'!C115&amp;"","")</f>
      </c>
      <c r="AE615" s="0">
        <f>IF(AND('PEGAR'!O115=0,'PEGAR'!X115=2),'PEGAR'!D115&amp;"","")</f>
      </c>
      <c r="AF615" s="0">
        <f>IF(AND('PEGAR'!O115=0,'PEGAR'!X115=2),'PEGAR'!N115,"")</f>
      </c>
      <c r="AG615" s="0" t="n">
        <f>IF(AND('PEGAR'!O115=0,'PEGAR'!X115=2),2,0)</f>
        <v>0</v>
      </c>
      <c r="AH615" s="0">
        <f>IF(AG615&gt;0,COUNTIFS($AG$13:AG615,"&gt;0"),"")</f>
      </c>
    </row>
    <row r="616">
      <c r="AB616" s="0">
        <f>IF(AND('PEGAR'!O116=0,'PEGAR'!X116=2),"Fila 116","")</f>
      </c>
      <c r="AC616" s="0">
        <f>IF(AND('PEGAR'!O116=0,'PEGAR'!X116=2),'PEGAR'!B116&amp;"","")</f>
      </c>
      <c r="AD616" s="0">
        <f>IF(AND('PEGAR'!O116=0,'PEGAR'!X116=2),'PEGAR'!C116&amp;"","")</f>
      </c>
      <c r="AE616" s="0">
        <f>IF(AND('PEGAR'!O116=0,'PEGAR'!X116=2),'PEGAR'!D116&amp;"","")</f>
      </c>
      <c r="AF616" s="0">
        <f>IF(AND('PEGAR'!O116=0,'PEGAR'!X116=2),'PEGAR'!N116,"")</f>
      </c>
      <c r="AG616" s="0" t="n">
        <f>IF(AND('PEGAR'!O116=0,'PEGAR'!X116=2),2,0)</f>
        <v>0</v>
      </c>
      <c r="AH616" s="0">
        <f>IF(AG616&gt;0,COUNTIFS($AG$13:AG616,"&gt;0"),"")</f>
      </c>
    </row>
    <row r="617">
      <c r="AB617" s="0">
        <f>IF(AND('PEGAR'!O117=0,'PEGAR'!X117=2),"Fila 117","")</f>
      </c>
      <c r="AC617" s="0">
        <f>IF(AND('PEGAR'!O117=0,'PEGAR'!X117=2),'PEGAR'!B117&amp;"","")</f>
      </c>
      <c r="AD617" s="0">
        <f>IF(AND('PEGAR'!O117=0,'PEGAR'!X117=2),'PEGAR'!C117&amp;"","")</f>
      </c>
      <c r="AE617" s="0">
        <f>IF(AND('PEGAR'!O117=0,'PEGAR'!X117=2),'PEGAR'!D117&amp;"","")</f>
      </c>
      <c r="AF617" s="0">
        <f>IF(AND('PEGAR'!O117=0,'PEGAR'!X117=2),'PEGAR'!N117,"")</f>
      </c>
      <c r="AG617" s="0" t="n">
        <f>IF(AND('PEGAR'!O117=0,'PEGAR'!X117=2),2,0)</f>
        <v>0</v>
      </c>
      <c r="AH617" s="0">
        <f>IF(AG617&gt;0,COUNTIFS($AG$13:AG617,"&gt;0"),"")</f>
      </c>
    </row>
    <row r="618">
      <c r="AB618" s="0">
        <f>IF(AND('PEGAR'!O118=0,'PEGAR'!X118=2),"Fila 118","")</f>
      </c>
      <c r="AC618" s="0">
        <f>IF(AND('PEGAR'!O118=0,'PEGAR'!X118=2),'PEGAR'!B118&amp;"","")</f>
      </c>
      <c r="AD618" s="0">
        <f>IF(AND('PEGAR'!O118=0,'PEGAR'!X118=2),'PEGAR'!C118&amp;"","")</f>
      </c>
      <c r="AE618" s="0">
        <f>IF(AND('PEGAR'!O118=0,'PEGAR'!X118=2),'PEGAR'!D118&amp;"","")</f>
      </c>
      <c r="AF618" s="0">
        <f>IF(AND('PEGAR'!O118=0,'PEGAR'!X118=2),'PEGAR'!N118,"")</f>
      </c>
      <c r="AG618" s="0" t="n">
        <f>IF(AND('PEGAR'!O118=0,'PEGAR'!X118=2),2,0)</f>
        <v>0</v>
      </c>
      <c r="AH618" s="0">
        <f>IF(AG618&gt;0,COUNTIFS($AG$13:AG618,"&gt;0"),"")</f>
      </c>
    </row>
    <row r="619">
      <c r="AB619" s="0">
        <f>IF(AND('PEGAR'!O119=0,'PEGAR'!X119=2),"Fila 119","")</f>
      </c>
      <c r="AC619" s="0">
        <f>IF(AND('PEGAR'!O119=0,'PEGAR'!X119=2),'PEGAR'!B119&amp;"","")</f>
      </c>
      <c r="AD619" s="0">
        <f>IF(AND('PEGAR'!O119=0,'PEGAR'!X119=2),'PEGAR'!C119&amp;"","")</f>
      </c>
      <c r="AE619" s="0">
        <f>IF(AND('PEGAR'!O119=0,'PEGAR'!X119=2),'PEGAR'!D119&amp;"","")</f>
      </c>
      <c r="AF619" s="0">
        <f>IF(AND('PEGAR'!O119=0,'PEGAR'!X119=2),'PEGAR'!N119,"")</f>
      </c>
      <c r="AG619" s="0" t="n">
        <f>IF(AND('PEGAR'!O119=0,'PEGAR'!X119=2),2,0)</f>
        <v>0</v>
      </c>
      <c r="AH619" s="0">
        <f>IF(AG619&gt;0,COUNTIFS($AG$13:AG619,"&gt;0"),"")</f>
      </c>
    </row>
    <row r="620">
      <c r="AB620" s="0">
        <f>IF(AND('PEGAR'!O120=0,'PEGAR'!X120=2),"Fila 120","")</f>
      </c>
      <c r="AC620" s="0">
        <f>IF(AND('PEGAR'!O120=0,'PEGAR'!X120=2),'PEGAR'!B120&amp;"","")</f>
      </c>
      <c r="AD620" s="0">
        <f>IF(AND('PEGAR'!O120=0,'PEGAR'!X120=2),'PEGAR'!C120&amp;"","")</f>
      </c>
      <c r="AE620" s="0">
        <f>IF(AND('PEGAR'!O120=0,'PEGAR'!X120=2),'PEGAR'!D120&amp;"","")</f>
      </c>
      <c r="AF620" s="0">
        <f>IF(AND('PEGAR'!O120=0,'PEGAR'!X120=2),'PEGAR'!N120,"")</f>
      </c>
      <c r="AG620" s="0" t="n">
        <f>IF(AND('PEGAR'!O120=0,'PEGAR'!X120=2),2,0)</f>
        <v>0</v>
      </c>
      <c r="AH620" s="0">
        <f>IF(AG620&gt;0,COUNTIFS($AG$13:AG620,"&gt;0"),"")</f>
      </c>
    </row>
    <row r="621">
      <c r="AB621" s="0">
        <f>IF(AND('PEGAR'!O121=0,'PEGAR'!X121=2),"Fila 121","")</f>
      </c>
      <c r="AC621" s="0">
        <f>IF(AND('PEGAR'!O121=0,'PEGAR'!X121=2),'PEGAR'!B121&amp;"","")</f>
      </c>
      <c r="AD621" s="0">
        <f>IF(AND('PEGAR'!O121=0,'PEGAR'!X121=2),'PEGAR'!C121&amp;"","")</f>
      </c>
      <c r="AE621" s="0">
        <f>IF(AND('PEGAR'!O121=0,'PEGAR'!X121=2),'PEGAR'!D121&amp;"","")</f>
      </c>
      <c r="AF621" s="0">
        <f>IF(AND('PEGAR'!O121=0,'PEGAR'!X121=2),'PEGAR'!N121,"")</f>
      </c>
      <c r="AG621" s="0" t="n">
        <f>IF(AND('PEGAR'!O121=0,'PEGAR'!X121=2),2,0)</f>
        <v>0</v>
      </c>
      <c r="AH621" s="0">
        <f>IF(AG621&gt;0,COUNTIFS($AG$13:AG621,"&gt;0"),"")</f>
      </c>
    </row>
    <row r="622">
      <c r="AB622" s="0">
        <f>IF(AND('PEGAR'!O122=0,'PEGAR'!X122=2),"Fila 122","")</f>
      </c>
      <c r="AC622" s="0">
        <f>IF(AND('PEGAR'!O122=0,'PEGAR'!X122=2),'PEGAR'!B122&amp;"","")</f>
      </c>
      <c r="AD622" s="0">
        <f>IF(AND('PEGAR'!O122=0,'PEGAR'!X122=2),'PEGAR'!C122&amp;"","")</f>
      </c>
      <c r="AE622" s="0">
        <f>IF(AND('PEGAR'!O122=0,'PEGAR'!X122=2),'PEGAR'!D122&amp;"","")</f>
      </c>
      <c r="AF622" s="0">
        <f>IF(AND('PEGAR'!O122=0,'PEGAR'!X122=2),'PEGAR'!N122,"")</f>
      </c>
      <c r="AG622" s="0" t="n">
        <f>IF(AND('PEGAR'!O122=0,'PEGAR'!X122=2),2,0)</f>
        <v>0</v>
      </c>
      <c r="AH622" s="0">
        <f>IF(AG622&gt;0,COUNTIFS($AG$13:AG622,"&gt;0"),"")</f>
      </c>
    </row>
    <row r="623">
      <c r="AB623" s="0">
        <f>IF(AND('PEGAR'!O123=0,'PEGAR'!X123=2),"Fila 123","")</f>
      </c>
      <c r="AC623" s="0">
        <f>IF(AND('PEGAR'!O123=0,'PEGAR'!X123=2),'PEGAR'!B123&amp;"","")</f>
      </c>
      <c r="AD623" s="0">
        <f>IF(AND('PEGAR'!O123=0,'PEGAR'!X123=2),'PEGAR'!C123&amp;"","")</f>
      </c>
      <c r="AE623" s="0">
        <f>IF(AND('PEGAR'!O123=0,'PEGAR'!X123=2),'PEGAR'!D123&amp;"","")</f>
      </c>
      <c r="AF623" s="0">
        <f>IF(AND('PEGAR'!O123=0,'PEGAR'!X123=2),'PEGAR'!N123,"")</f>
      </c>
      <c r="AG623" s="0" t="n">
        <f>IF(AND('PEGAR'!O123=0,'PEGAR'!X123=2),2,0)</f>
        <v>0</v>
      </c>
      <c r="AH623" s="0">
        <f>IF(AG623&gt;0,COUNTIFS($AG$13:AG623,"&gt;0"),"")</f>
      </c>
    </row>
    <row r="624">
      <c r="AB624" s="0">
        <f>IF(AND('PEGAR'!O124=0,'PEGAR'!X124=2),"Fila 124","")</f>
      </c>
      <c r="AC624" s="0">
        <f>IF(AND('PEGAR'!O124=0,'PEGAR'!X124=2),'PEGAR'!B124&amp;"","")</f>
      </c>
      <c r="AD624" s="0">
        <f>IF(AND('PEGAR'!O124=0,'PEGAR'!X124=2),'PEGAR'!C124&amp;"","")</f>
      </c>
      <c r="AE624" s="0">
        <f>IF(AND('PEGAR'!O124=0,'PEGAR'!X124=2),'PEGAR'!D124&amp;"","")</f>
      </c>
      <c r="AF624" s="0">
        <f>IF(AND('PEGAR'!O124=0,'PEGAR'!X124=2),'PEGAR'!N124,"")</f>
      </c>
      <c r="AG624" s="0" t="n">
        <f>IF(AND('PEGAR'!O124=0,'PEGAR'!X124=2),2,0)</f>
        <v>0</v>
      </c>
      <c r="AH624" s="0">
        <f>IF(AG624&gt;0,COUNTIFS($AG$13:AG624,"&gt;0"),"")</f>
      </c>
    </row>
    <row r="625">
      <c r="AB625" s="0">
        <f>IF(AND('PEGAR'!O125=0,'PEGAR'!X125=2),"Fila 125","")</f>
      </c>
      <c r="AC625" s="0">
        <f>IF(AND('PEGAR'!O125=0,'PEGAR'!X125=2),'PEGAR'!B125&amp;"","")</f>
      </c>
      <c r="AD625" s="0">
        <f>IF(AND('PEGAR'!O125=0,'PEGAR'!X125=2),'PEGAR'!C125&amp;"","")</f>
      </c>
      <c r="AE625" s="0">
        <f>IF(AND('PEGAR'!O125=0,'PEGAR'!X125=2),'PEGAR'!D125&amp;"","")</f>
      </c>
      <c r="AF625" s="0">
        <f>IF(AND('PEGAR'!O125=0,'PEGAR'!X125=2),'PEGAR'!N125,"")</f>
      </c>
      <c r="AG625" s="0" t="n">
        <f>IF(AND('PEGAR'!O125=0,'PEGAR'!X125=2),2,0)</f>
        <v>0</v>
      </c>
      <c r="AH625" s="0">
        <f>IF(AG625&gt;0,COUNTIFS($AG$13:AG625,"&gt;0"),"")</f>
      </c>
    </row>
    <row r="626">
      <c r="AB626" s="0">
        <f>IF(AND('PEGAR'!O126=0,'PEGAR'!X126=2),"Fila 126","")</f>
      </c>
      <c r="AC626" s="0">
        <f>IF(AND('PEGAR'!O126=0,'PEGAR'!X126=2),'PEGAR'!B126&amp;"","")</f>
      </c>
      <c r="AD626" s="0">
        <f>IF(AND('PEGAR'!O126=0,'PEGAR'!X126=2),'PEGAR'!C126&amp;"","")</f>
      </c>
      <c r="AE626" s="0">
        <f>IF(AND('PEGAR'!O126=0,'PEGAR'!X126=2),'PEGAR'!D126&amp;"","")</f>
      </c>
      <c r="AF626" s="0">
        <f>IF(AND('PEGAR'!O126=0,'PEGAR'!X126=2),'PEGAR'!N126,"")</f>
      </c>
      <c r="AG626" s="0" t="n">
        <f>IF(AND('PEGAR'!O126=0,'PEGAR'!X126=2),2,0)</f>
        <v>0</v>
      </c>
      <c r="AH626" s="0">
        <f>IF(AG626&gt;0,COUNTIFS($AG$13:AG626,"&gt;0"),"")</f>
      </c>
    </row>
    <row r="627">
      <c r="AB627" s="0">
        <f>IF(AND('PEGAR'!O127=0,'PEGAR'!X127=2),"Fila 127","")</f>
      </c>
      <c r="AC627" s="0">
        <f>IF(AND('PEGAR'!O127=0,'PEGAR'!X127=2),'PEGAR'!B127&amp;"","")</f>
      </c>
      <c r="AD627" s="0">
        <f>IF(AND('PEGAR'!O127=0,'PEGAR'!X127=2),'PEGAR'!C127&amp;"","")</f>
      </c>
      <c r="AE627" s="0">
        <f>IF(AND('PEGAR'!O127=0,'PEGAR'!X127=2),'PEGAR'!D127&amp;"","")</f>
      </c>
      <c r="AF627" s="0">
        <f>IF(AND('PEGAR'!O127=0,'PEGAR'!X127=2),'PEGAR'!N127,"")</f>
      </c>
      <c r="AG627" s="0" t="n">
        <f>IF(AND('PEGAR'!O127=0,'PEGAR'!X127=2),2,0)</f>
        <v>0</v>
      </c>
      <c r="AH627" s="0">
        <f>IF(AG627&gt;0,COUNTIFS($AG$13:AG627,"&gt;0"),"")</f>
      </c>
    </row>
    <row r="628">
      <c r="AB628" s="0">
        <f>IF(AND('PEGAR'!O128=0,'PEGAR'!X128=2),"Fila 128","")</f>
      </c>
      <c r="AC628" s="0">
        <f>IF(AND('PEGAR'!O128=0,'PEGAR'!X128=2),'PEGAR'!B128&amp;"","")</f>
      </c>
      <c r="AD628" s="0">
        <f>IF(AND('PEGAR'!O128=0,'PEGAR'!X128=2),'PEGAR'!C128&amp;"","")</f>
      </c>
      <c r="AE628" s="0">
        <f>IF(AND('PEGAR'!O128=0,'PEGAR'!X128=2),'PEGAR'!D128&amp;"","")</f>
      </c>
      <c r="AF628" s="0">
        <f>IF(AND('PEGAR'!O128=0,'PEGAR'!X128=2),'PEGAR'!N128,"")</f>
      </c>
      <c r="AG628" s="0" t="n">
        <f>IF(AND('PEGAR'!O128=0,'PEGAR'!X128=2),2,0)</f>
        <v>0</v>
      </c>
      <c r="AH628" s="0">
        <f>IF(AG628&gt;0,COUNTIFS($AG$13:AG628,"&gt;0"),"")</f>
      </c>
    </row>
    <row r="629">
      <c r="AB629" s="0">
        <f>IF(AND('PEGAR'!O129=0,'PEGAR'!X129=2),"Fila 129","")</f>
      </c>
      <c r="AC629" s="0">
        <f>IF(AND('PEGAR'!O129=0,'PEGAR'!X129=2),'PEGAR'!B129&amp;"","")</f>
      </c>
      <c r="AD629" s="0">
        <f>IF(AND('PEGAR'!O129=0,'PEGAR'!X129=2),'PEGAR'!C129&amp;"","")</f>
      </c>
      <c r="AE629" s="0">
        <f>IF(AND('PEGAR'!O129=0,'PEGAR'!X129=2),'PEGAR'!D129&amp;"","")</f>
      </c>
      <c r="AF629" s="0">
        <f>IF(AND('PEGAR'!O129=0,'PEGAR'!X129=2),'PEGAR'!N129,"")</f>
      </c>
      <c r="AG629" s="0" t="n">
        <f>IF(AND('PEGAR'!O129=0,'PEGAR'!X129=2),2,0)</f>
        <v>0</v>
      </c>
      <c r="AH629" s="0">
        <f>IF(AG629&gt;0,COUNTIFS($AG$13:AG629,"&gt;0"),"")</f>
      </c>
    </row>
    <row r="630">
      <c r="AB630" s="0">
        <f>IF(AND('PEGAR'!O130=0,'PEGAR'!X130=2),"Fila 130","")</f>
      </c>
      <c r="AC630" s="0">
        <f>IF(AND('PEGAR'!O130=0,'PEGAR'!X130=2),'PEGAR'!B130&amp;"","")</f>
      </c>
      <c r="AD630" s="0">
        <f>IF(AND('PEGAR'!O130=0,'PEGAR'!X130=2),'PEGAR'!C130&amp;"","")</f>
      </c>
      <c r="AE630" s="0">
        <f>IF(AND('PEGAR'!O130=0,'PEGAR'!X130=2),'PEGAR'!D130&amp;"","")</f>
      </c>
      <c r="AF630" s="0">
        <f>IF(AND('PEGAR'!O130=0,'PEGAR'!X130=2),'PEGAR'!N130,"")</f>
      </c>
      <c r="AG630" s="0" t="n">
        <f>IF(AND('PEGAR'!O130=0,'PEGAR'!X130=2),2,0)</f>
        <v>0</v>
      </c>
      <c r="AH630" s="0">
        <f>IF(AG630&gt;0,COUNTIFS($AG$13:AG630,"&gt;0"),"")</f>
      </c>
    </row>
    <row r="631">
      <c r="AB631" s="0">
        <f>IF(AND('PEGAR'!O131=0,'PEGAR'!X131=2),"Fila 131","")</f>
      </c>
      <c r="AC631" s="0">
        <f>IF(AND('PEGAR'!O131=0,'PEGAR'!X131=2),'PEGAR'!B131&amp;"","")</f>
      </c>
      <c r="AD631" s="0">
        <f>IF(AND('PEGAR'!O131=0,'PEGAR'!X131=2),'PEGAR'!C131&amp;"","")</f>
      </c>
      <c r="AE631" s="0">
        <f>IF(AND('PEGAR'!O131=0,'PEGAR'!X131=2),'PEGAR'!D131&amp;"","")</f>
      </c>
      <c r="AF631" s="0">
        <f>IF(AND('PEGAR'!O131=0,'PEGAR'!X131=2),'PEGAR'!N131,"")</f>
      </c>
      <c r="AG631" s="0" t="n">
        <f>IF(AND('PEGAR'!O131=0,'PEGAR'!X131=2),2,0)</f>
        <v>0</v>
      </c>
      <c r="AH631" s="0">
        <f>IF(AG631&gt;0,COUNTIFS($AG$13:AG631,"&gt;0"),"")</f>
      </c>
    </row>
    <row r="632">
      <c r="AB632" s="0">
        <f>IF(AND('PEGAR'!O132=0,'PEGAR'!X132=2),"Fila 132","")</f>
      </c>
      <c r="AC632" s="0">
        <f>IF(AND('PEGAR'!O132=0,'PEGAR'!X132=2),'PEGAR'!B132&amp;"","")</f>
      </c>
      <c r="AD632" s="0">
        <f>IF(AND('PEGAR'!O132=0,'PEGAR'!X132=2),'PEGAR'!C132&amp;"","")</f>
      </c>
      <c r="AE632" s="0">
        <f>IF(AND('PEGAR'!O132=0,'PEGAR'!X132=2),'PEGAR'!D132&amp;"","")</f>
      </c>
      <c r="AF632" s="0">
        <f>IF(AND('PEGAR'!O132=0,'PEGAR'!X132=2),'PEGAR'!N132,"")</f>
      </c>
      <c r="AG632" s="0" t="n">
        <f>IF(AND('PEGAR'!O132=0,'PEGAR'!X132=2),2,0)</f>
        <v>0</v>
      </c>
      <c r="AH632" s="0">
        <f>IF(AG632&gt;0,COUNTIFS($AG$13:AG632,"&gt;0"),"")</f>
      </c>
    </row>
    <row r="633">
      <c r="AB633" s="0">
        <f>IF(AND('PEGAR'!O133=0,'PEGAR'!X133=2),"Fila 133","")</f>
      </c>
      <c r="AC633" s="0">
        <f>IF(AND('PEGAR'!O133=0,'PEGAR'!X133=2),'PEGAR'!B133&amp;"","")</f>
      </c>
      <c r="AD633" s="0">
        <f>IF(AND('PEGAR'!O133=0,'PEGAR'!X133=2),'PEGAR'!C133&amp;"","")</f>
      </c>
      <c r="AE633" s="0">
        <f>IF(AND('PEGAR'!O133=0,'PEGAR'!X133=2),'PEGAR'!D133&amp;"","")</f>
      </c>
      <c r="AF633" s="0">
        <f>IF(AND('PEGAR'!O133=0,'PEGAR'!X133=2),'PEGAR'!N133,"")</f>
      </c>
      <c r="AG633" s="0" t="n">
        <f>IF(AND('PEGAR'!O133=0,'PEGAR'!X133=2),2,0)</f>
        <v>0</v>
      </c>
      <c r="AH633" s="0">
        <f>IF(AG633&gt;0,COUNTIFS($AG$13:AG633,"&gt;0"),"")</f>
      </c>
    </row>
    <row r="634">
      <c r="AB634" s="0">
        <f>IF(AND('PEGAR'!O134=0,'PEGAR'!X134=2),"Fila 134","")</f>
      </c>
      <c r="AC634" s="0">
        <f>IF(AND('PEGAR'!O134=0,'PEGAR'!X134=2),'PEGAR'!B134&amp;"","")</f>
      </c>
      <c r="AD634" s="0">
        <f>IF(AND('PEGAR'!O134=0,'PEGAR'!X134=2),'PEGAR'!C134&amp;"","")</f>
      </c>
      <c r="AE634" s="0">
        <f>IF(AND('PEGAR'!O134=0,'PEGAR'!X134=2),'PEGAR'!D134&amp;"","")</f>
      </c>
      <c r="AF634" s="0">
        <f>IF(AND('PEGAR'!O134=0,'PEGAR'!X134=2),'PEGAR'!N134,"")</f>
      </c>
      <c r="AG634" s="0" t="n">
        <f>IF(AND('PEGAR'!O134=0,'PEGAR'!X134=2),2,0)</f>
        <v>0</v>
      </c>
      <c r="AH634" s="0">
        <f>IF(AG634&gt;0,COUNTIFS($AG$13:AG634,"&gt;0"),"")</f>
      </c>
    </row>
    <row r="635">
      <c r="AB635" s="0">
        <f>IF(AND('PEGAR'!O135=0,'PEGAR'!X135=2),"Fila 135","")</f>
      </c>
      <c r="AC635" s="0">
        <f>IF(AND('PEGAR'!O135=0,'PEGAR'!X135=2),'PEGAR'!B135&amp;"","")</f>
      </c>
      <c r="AD635" s="0">
        <f>IF(AND('PEGAR'!O135=0,'PEGAR'!X135=2),'PEGAR'!C135&amp;"","")</f>
      </c>
      <c r="AE635" s="0">
        <f>IF(AND('PEGAR'!O135=0,'PEGAR'!X135=2),'PEGAR'!D135&amp;"","")</f>
      </c>
      <c r="AF635" s="0">
        <f>IF(AND('PEGAR'!O135=0,'PEGAR'!X135=2),'PEGAR'!N135,"")</f>
      </c>
      <c r="AG635" s="0" t="n">
        <f>IF(AND('PEGAR'!O135=0,'PEGAR'!X135=2),2,0)</f>
        <v>0</v>
      </c>
      <c r="AH635" s="0">
        <f>IF(AG635&gt;0,COUNTIFS($AG$13:AG635,"&gt;0"),"")</f>
      </c>
    </row>
    <row r="636">
      <c r="AB636" s="0">
        <f>IF(AND('PEGAR'!O136=0,'PEGAR'!X136=2),"Fila 136","")</f>
      </c>
      <c r="AC636" s="0">
        <f>IF(AND('PEGAR'!O136=0,'PEGAR'!X136=2),'PEGAR'!B136&amp;"","")</f>
      </c>
      <c r="AD636" s="0">
        <f>IF(AND('PEGAR'!O136=0,'PEGAR'!X136=2),'PEGAR'!C136&amp;"","")</f>
      </c>
      <c r="AE636" s="0">
        <f>IF(AND('PEGAR'!O136=0,'PEGAR'!X136=2),'PEGAR'!D136&amp;"","")</f>
      </c>
      <c r="AF636" s="0">
        <f>IF(AND('PEGAR'!O136=0,'PEGAR'!X136=2),'PEGAR'!N136,"")</f>
      </c>
      <c r="AG636" s="0" t="n">
        <f>IF(AND('PEGAR'!O136=0,'PEGAR'!X136=2),2,0)</f>
        <v>0</v>
      </c>
      <c r="AH636" s="0">
        <f>IF(AG636&gt;0,COUNTIFS($AG$13:AG636,"&gt;0"),"")</f>
      </c>
    </row>
    <row r="637">
      <c r="AB637" s="0">
        <f>IF(AND('PEGAR'!O137=0,'PEGAR'!X137=2),"Fila 137","")</f>
      </c>
      <c r="AC637" s="0">
        <f>IF(AND('PEGAR'!O137=0,'PEGAR'!X137=2),'PEGAR'!B137&amp;"","")</f>
      </c>
      <c r="AD637" s="0">
        <f>IF(AND('PEGAR'!O137=0,'PEGAR'!X137=2),'PEGAR'!C137&amp;"","")</f>
      </c>
      <c r="AE637" s="0">
        <f>IF(AND('PEGAR'!O137=0,'PEGAR'!X137=2),'PEGAR'!D137&amp;"","")</f>
      </c>
      <c r="AF637" s="0">
        <f>IF(AND('PEGAR'!O137=0,'PEGAR'!X137=2),'PEGAR'!N137,"")</f>
      </c>
      <c r="AG637" s="0" t="n">
        <f>IF(AND('PEGAR'!O137=0,'PEGAR'!X137=2),2,0)</f>
        <v>0</v>
      </c>
      <c r="AH637" s="0">
        <f>IF(AG637&gt;0,COUNTIFS($AG$13:AG637,"&gt;0"),"")</f>
      </c>
    </row>
    <row r="638">
      <c r="AB638" s="0">
        <f>IF(AND('PEGAR'!O138=0,'PEGAR'!X138=2),"Fila 138","")</f>
      </c>
      <c r="AC638" s="0">
        <f>IF(AND('PEGAR'!O138=0,'PEGAR'!X138=2),'PEGAR'!B138&amp;"","")</f>
      </c>
      <c r="AD638" s="0">
        <f>IF(AND('PEGAR'!O138=0,'PEGAR'!X138=2),'PEGAR'!C138&amp;"","")</f>
      </c>
      <c r="AE638" s="0">
        <f>IF(AND('PEGAR'!O138=0,'PEGAR'!X138=2),'PEGAR'!D138&amp;"","")</f>
      </c>
      <c r="AF638" s="0">
        <f>IF(AND('PEGAR'!O138=0,'PEGAR'!X138=2),'PEGAR'!N138,"")</f>
      </c>
      <c r="AG638" s="0" t="n">
        <f>IF(AND('PEGAR'!O138=0,'PEGAR'!X138=2),2,0)</f>
        <v>0</v>
      </c>
      <c r="AH638" s="0">
        <f>IF(AG638&gt;0,COUNTIFS($AG$13:AG638,"&gt;0"),"")</f>
      </c>
    </row>
    <row r="639">
      <c r="AB639" s="0">
        <f>IF(AND('PEGAR'!O139=0,'PEGAR'!X139=2),"Fila 139","")</f>
      </c>
      <c r="AC639" s="0">
        <f>IF(AND('PEGAR'!O139=0,'PEGAR'!X139=2),'PEGAR'!B139&amp;"","")</f>
      </c>
      <c r="AD639" s="0">
        <f>IF(AND('PEGAR'!O139=0,'PEGAR'!X139=2),'PEGAR'!C139&amp;"","")</f>
      </c>
      <c r="AE639" s="0">
        <f>IF(AND('PEGAR'!O139=0,'PEGAR'!X139=2),'PEGAR'!D139&amp;"","")</f>
      </c>
      <c r="AF639" s="0">
        <f>IF(AND('PEGAR'!O139=0,'PEGAR'!X139=2),'PEGAR'!N139,"")</f>
      </c>
      <c r="AG639" s="0" t="n">
        <f>IF(AND('PEGAR'!O139=0,'PEGAR'!X139=2),2,0)</f>
        <v>0</v>
      </c>
      <c r="AH639" s="0">
        <f>IF(AG639&gt;0,COUNTIFS($AG$13:AG639,"&gt;0"),"")</f>
      </c>
    </row>
    <row r="640">
      <c r="AB640" s="0">
        <f>IF(AND('PEGAR'!O140=0,'PEGAR'!X140=2),"Fila 140","")</f>
      </c>
      <c r="AC640" s="0">
        <f>IF(AND('PEGAR'!O140=0,'PEGAR'!X140=2),'PEGAR'!B140&amp;"","")</f>
      </c>
      <c r="AD640" s="0">
        <f>IF(AND('PEGAR'!O140=0,'PEGAR'!X140=2),'PEGAR'!C140&amp;"","")</f>
      </c>
      <c r="AE640" s="0">
        <f>IF(AND('PEGAR'!O140=0,'PEGAR'!X140=2),'PEGAR'!D140&amp;"","")</f>
      </c>
      <c r="AF640" s="0">
        <f>IF(AND('PEGAR'!O140=0,'PEGAR'!X140=2),'PEGAR'!N140,"")</f>
      </c>
      <c r="AG640" s="0" t="n">
        <f>IF(AND('PEGAR'!O140=0,'PEGAR'!X140=2),2,0)</f>
        <v>0</v>
      </c>
      <c r="AH640" s="0">
        <f>IF(AG640&gt;0,COUNTIFS($AG$13:AG640,"&gt;0"),"")</f>
      </c>
    </row>
    <row r="641">
      <c r="AB641" s="0">
        <f>IF(AND('PEGAR'!O141=0,'PEGAR'!X141=2),"Fila 141","")</f>
      </c>
      <c r="AC641" s="0">
        <f>IF(AND('PEGAR'!O141=0,'PEGAR'!X141=2),'PEGAR'!B141&amp;"","")</f>
      </c>
      <c r="AD641" s="0">
        <f>IF(AND('PEGAR'!O141=0,'PEGAR'!X141=2),'PEGAR'!C141&amp;"","")</f>
      </c>
      <c r="AE641" s="0">
        <f>IF(AND('PEGAR'!O141=0,'PEGAR'!X141=2),'PEGAR'!D141&amp;"","")</f>
      </c>
      <c r="AF641" s="0">
        <f>IF(AND('PEGAR'!O141=0,'PEGAR'!X141=2),'PEGAR'!N141,"")</f>
      </c>
      <c r="AG641" s="0" t="n">
        <f>IF(AND('PEGAR'!O141=0,'PEGAR'!X141=2),2,0)</f>
        <v>0</v>
      </c>
      <c r="AH641" s="0">
        <f>IF(AG641&gt;0,COUNTIFS($AG$13:AG641,"&gt;0"),"")</f>
      </c>
    </row>
    <row r="642">
      <c r="AB642" s="0">
        <f>IF(AND('PEGAR'!O142=0,'PEGAR'!X142=2),"Fila 142","")</f>
      </c>
      <c r="AC642" s="0">
        <f>IF(AND('PEGAR'!O142=0,'PEGAR'!X142=2),'PEGAR'!B142&amp;"","")</f>
      </c>
      <c r="AD642" s="0">
        <f>IF(AND('PEGAR'!O142=0,'PEGAR'!X142=2),'PEGAR'!C142&amp;"","")</f>
      </c>
      <c r="AE642" s="0">
        <f>IF(AND('PEGAR'!O142=0,'PEGAR'!X142=2),'PEGAR'!D142&amp;"","")</f>
      </c>
      <c r="AF642" s="0">
        <f>IF(AND('PEGAR'!O142=0,'PEGAR'!X142=2),'PEGAR'!N142,"")</f>
      </c>
      <c r="AG642" s="0" t="n">
        <f>IF(AND('PEGAR'!O142=0,'PEGAR'!X142=2),2,0)</f>
        <v>0</v>
      </c>
      <c r="AH642" s="0">
        <f>IF(AG642&gt;0,COUNTIFS($AG$13:AG642,"&gt;0"),"")</f>
      </c>
    </row>
    <row r="643">
      <c r="AB643" s="0">
        <f>IF(AND('PEGAR'!O143=0,'PEGAR'!X143=2),"Fila 143","")</f>
      </c>
      <c r="AC643" s="0">
        <f>IF(AND('PEGAR'!O143=0,'PEGAR'!X143=2),'PEGAR'!B143&amp;"","")</f>
      </c>
      <c r="AD643" s="0">
        <f>IF(AND('PEGAR'!O143=0,'PEGAR'!X143=2),'PEGAR'!C143&amp;"","")</f>
      </c>
      <c r="AE643" s="0">
        <f>IF(AND('PEGAR'!O143=0,'PEGAR'!X143=2),'PEGAR'!D143&amp;"","")</f>
      </c>
      <c r="AF643" s="0">
        <f>IF(AND('PEGAR'!O143=0,'PEGAR'!X143=2),'PEGAR'!N143,"")</f>
      </c>
      <c r="AG643" s="0" t="n">
        <f>IF(AND('PEGAR'!O143=0,'PEGAR'!X143=2),2,0)</f>
        <v>0</v>
      </c>
      <c r="AH643" s="0">
        <f>IF(AG643&gt;0,COUNTIFS($AG$13:AG643,"&gt;0"),"")</f>
      </c>
    </row>
    <row r="644">
      <c r="AB644" s="0">
        <f>IF(AND('PEGAR'!O144=0,'PEGAR'!X144=2),"Fila 144","")</f>
      </c>
      <c r="AC644" s="0">
        <f>IF(AND('PEGAR'!O144=0,'PEGAR'!X144=2),'PEGAR'!B144&amp;"","")</f>
      </c>
      <c r="AD644" s="0">
        <f>IF(AND('PEGAR'!O144=0,'PEGAR'!X144=2),'PEGAR'!C144&amp;"","")</f>
      </c>
      <c r="AE644" s="0">
        <f>IF(AND('PEGAR'!O144=0,'PEGAR'!X144=2),'PEGAR'!D144&amp;"","")</f>
      </c>
      <c r="AF644" s="0">
        <f>IF(AND('PEGAR'!O144=0,'PEGAR'!X144=2),'PEGAR'!N144,"")</f>
      </c>
      <c r="AG644" s="0" t="n">
        <f>IF(AND('PEGAR'!O144=0,'PEGAR'!X144=2),2,0)</f>
        <v>0</v>
      </c>
      <c r="AH644" s="0">
        <f>IF(AG644&gt;0,COUNTIFS($AG$13:AG644,"&gt;0"),"")</f>
      </c>
    </row>
    <row r="645">
      <c r="AB645" s="0">
        <f>IF(AND('PEGAR'!O145=0,'PEGAR'!X145=2),"Fila 145","")</f>
      </c>
      <c r="AC645" s="0">
        <f>IF(AND('PEGAR'!O145=0,'PEGAR'!X145=2),'PEGAR'!B145&amp;"","")</f>
      </c>
      <c r="AD645" s="0">
        <f>IF(AND('PEGAR'!O145=0,'PEGAR'!X145=2),'PEGAR'!C145&amp;"","")</f>
      </c>
      <c r="AE645" s="0">
        <f>IF(AND('PEGAR'!O145=0,'PEGAR'!X145=2),'PEGAR'!D145&amp;"","")</f>
      </c>
      <c r="AF645" s="0">
        <f>IF(AND('PEGAR'!O145=0,'PEGAR'!X145=2),'PEGAR'!N145,"")</f>
      </c>
      <c r="AG645" s="0" t="n">
        <f>IF(AND('PEGAR'!O145=0,'PEGAR'!X145=2),2,0)</f>
        <v>0</v>
      </c>
      <c r="AH645" s="0">
        <f>IF(AG645&gt;0,COUNTIFS($AG$13:AG645,"&gt;0"),"")</f>
      </c>
    </row>
    <row r="646">
      <c r="AB646" s="0">
        <f>IF(AND('PEGAR'!O146=0,'PEGAR'!X146=2),"Fila 146","")</f>
      </c>
      <c r="AC646" s="0">
        <f>IF(AND('PEGAR'!O146=0,'PEGAR'!X146=2),'PEGAR'!B146&amp;"","")</f>
      </c>
      <c r="AD646" s="0">
        <f>IF(AND('PEGAR'!O146=0,'PEGAR'!X146=2),'PEGAR'!C146&amp;"","")</f>
      </c>
      <c r="AE646" s="0">
        <f>IF(AND('PEGAR'!O146=0,'PEGAR'!X146=2),'PEGAR'!D146&amp;"","")</f>
      </c>
      <c r="AF646" s="0">
        <f>IF(AND('PEGAR'!O146=0,'PEGAR'!X146=2),'PEGAR'!N146,"")</f>
      </c>
      <c r="AG646" s="0" t="n">
        <f>IF(AND('PEGAR'!O146=0,'PEGAR'!X146=2),2,0)</f>
        <v>0</v>
      </c>
      <c r="AH646" s="0">
        <f>IF(AG646&gt;0,COUNTIFS($AG$13:AG646,"&gt;0"),"")</f>
      </c>
    </row>
    <row r="647">
      <c r="AB647" s="0">
        <f>IF(AND('PEGAR'!O147=0,'PEGAR'!X147=2),"Fila 147","")</f>
      </c>
      <c r="AC647" s="0">
        <f>IF(AND('PEGAR'!O147=0,'PEGAR'!X147=2),'PEGAR'!B147&amp;"","")</f>
      </c>
      <c r="AD647" s="0">
        <f>IF(AND('PEGAR'!O147=0,'PEGAR'!X147=2),'PEGAR'!C147&amp;"","")</f>
      </c>
      <c r="AE647" s="0">
        <f>IF(AND('PEGAR'!O147=0,'PEGAR'!X147=2),'PEGAR'!D147&amp;"","")</f>
      </c>
      <c r="AF647" s="0">
        <f>IF(AND('PEGAR'!O147=0,'PEGAR'!X147=2),'PEGAR'!N147,"")</f>
      </c>
      <c r="AG647" s="0" t="n">
        <f>IF(AND('PEGAR'!O147=0,'PEGAR'!X147=2),2,0)</f>
        <v>0</v>
      </c>
      <c r="AH647" s="0">
        <f>IF(AG647&gt;0,COUNTIFS($AG$13:AG647,"&gt;0"),"")</f>
      </c>
    </row>
    <row r="648">
      <c r="AB648" s="0">
        <f>IF(AND('PEGAR'!O148=0,'PEGAR'!X148=2),"Fila 148","")</f>
      </c>
      <c r="AC648" s="0">
        <f>IF(AND('PEGAR'!O148=0,'PEGAR'!X148=2),'PEGAR'!B148&amp;"","")</f>
      </c>
      <c r="AD648" s="0">
        <f>IF(AND('PEGAR'!O148=0,'PEGAR'!X148=2),'PEGAR'!C148&amp;"","")</f>
      </c>
      <c r="AE648" s="0">
        <f>IF(AND('PEGAR'!O148=0,'PEGAR'!X148=2),'PEGAR'!D148&amp;"","")</f>
      </c>
      <c r="AF648" s="0">
        <f>IF(AND('PEGAR'!O148=0,'PEGAR'!X148=2),'PEGAR'!N148,"")</f>
      </c>
      <c r="AG648" s="0" t="n">
        <f>IF(AND('PEGAR'!O148=0,'PEGAR'!X148=2),2,0)</f>
        <v>0</v>
      </c>
      <c r="AH648" s="0">
        <f>IF(AG648&gt;0,COUNTIFS($AG$13:AG648,"&gt;0"),"")</f>
      </c>
    </row>
    <row r="649">
      <c r="AB649" s="0">
        <f>IF(AND('PEGAR'!O149=0,'PEGAR'!X149=2),"Fila 149","")</f>
      </c>
      <c r="AC649" s="0">
        <f>IF(AND('PEGAR'!O149=0,'PEGAR'!X149=2),'PEGAR'!B149&amp;"","")</f>
      </c>
      <c r="AD649" s="0">
        <f>IF(AND('PEGAR'!O149=0,'PEGAR'!X149=2),'PEGAR'!C149&amp;"","")</f>
      </c>
      <c r="AE649" s="0">
        <f>IF(AND('PEGAR'!O149=0,'PEGAR'!X149=2),'PEGAR'!D149&amp;"","")</f>
      </c>
      <c r="AF649" s="0">
        <f>IF(AND('PEGAR'!O149=0,'PEGAR'!X149=2),'PEGAR'!N149,"")</f>
      </c>
      <c r="AG649" s="0" t="n">
        <f>IF(AND('PEGAR'!O149=0,'PEGAR'!X149=2),2,0)</f>
        <v>0</v>
      </c>
      <c r="AH649" s="0">
        <f>IF(AG649&gt;0,COUNTIFS($AG$13:AG649,"&gt;0"),"")</f>
      </c>
    </row>
    <row r="650">
      <c r="AB650" s="0">
        <f>IF(AND('PEGAR'!O150=0,'PEGAR'!X150=2),"Fila 150","")</f>
      </c>
      <c r="AC650" s="0">
        <f>IF(AND('PEGAR'!O150=0,'PEGAR'!X150=2),'PEGAR'!B150&amp;"","")</f>
      </c>
      <c r="AD650" s="0">
        <f>IF(AND('PEGAR'!O150=0,'PEGAR'!X150=2),'PEGAR'!C150&amp;"","")</f>
      </c>
      <c r="AE650" s="0">
        <f>IF(AND('PEGAR'!O150=0,'PEGAR'!X150=2),'PEGAR'!D150&amp;"","")</f>
      </c>
      <c r="AF650" s="0">
        <f>IF(AND('PEGAR'!O150=0,'PEGAR'!X150=2),'PEGAR'!N150,"")</f>
      </c>
      <c r="AG650" s="0" t="n">
        <f>IF(AND('PEGAR'!O150=0,'PEGAR'!X150=2),2,0)</f>
        <v>0</v>
      </c>
      <c r="AH650" s="0">
        <f>IF(AG650&gt;0,COUNTIFS($AG$13:AG650,"&gt;0"),"")</f>
      </c>
    </row>
    <row r="651">
      <c r="AB651" s="0">
        <f>IF(AND('PEGAR'!O151=0,'PEGAR'!X151=2),"Fila 151","")</f>
      </c>
      <c r="AC651" s="0">
        <f>IF(AND('PEGAR'!O151=0,'PEGAR'!X151=2),'PEGAR'!B151&amp;"","")</f>
      </c>
      <c r="AD651" s="0">
        <f>IF(AND('PEGAR'!O151=0,'PEGAR'!X151=2),'PEGAR'!C151&amp;"","")</f>
      </c>
      <c r="AE651" s="0">
        <f>IF(AND('PEGAR'!O151=0,'PEGAR'!X151=2),'PEGAR'!D151&amp;"","")</f>
      </c>
      <c r="AF651" s="0">
        <f>IF(AND('PEGAR'!O151=0,'PEGAR'!X151=2),'PEGAR'!N151,"")</f>
      </c>
      <c r="AG651" s="0" t="n">
        <f>IF(AND('PEGAR'!O151=0,'PEGAR'!X151=2),2,0)</f>
        <v>0</v>
      </c>
      <c r="AH651" s="0">
        <f>IF(AG651&gt;0,COUNTIFS($AG$13:AG651,"&gt;0"),"")</f>
      </c>
    </row>
    <row r="652">
      <c r="AB652" s="0">
        <f>IF(AND('PEGAR'!O152=0,'PEGAR'!X152=2),"Fila 152","")</f>
      </c>
      <c r="AC652" s="0">
        <f>IF(AND('PEGAR'!O152=0,'PEGAR'!X152=2),'PEGAR'!B152&amp;"","")</f>
      </c>
      <c r="AD652" s="0">
        <f>IF(AND('PEGAR'!O152=0,'PEGAR'!X152=2),'PEGAR'!C152&amp;"","")</f>
      </c>
      <c r="AE652" s="0">
        <f>IF(AND('PEGAR'!O152=0,'PEGAR'!X152=2),'PEGAR'!D152&amp;"","")</f>
      </c>
      <c r="AF652" s="0">
        <f>IF(AND('PEGAR'!O152=0,'PEGAR'!X152=2),'PEGAR'!N152,"")</f>
      </c>
      <c r="AG652" s="0" t="n">
        <f>IF(AND('PEGAR'!O152=0,'PEGAR'!X152=2),2,0)</f>
        <v>0</v>
      </c>
      <c r="AH652" s="0">
        <f>IF(AG652&gt;0,COUNTIFS($AG$13:AG652,"&gt;0"),"")</f>
      </c>
    </row>
    <row r="653">
      <c r="AB653" s="0">
        <f>IF(AND('PEGAR'!O153=0,'PEGAR'!X153=2),"Fila 153","")</f>
      </c>
      <c r="AC653" s="0">
        <f>IF(AND('PEGAR'!O153=0,'PEGAR'!X153=2),'PEGAR'!B153&amp;"","")</f>
      </c>
      <c r="AD653" s="0">
        <f>IF(AND('PEGAR'!O153=0,'PEGAR'!X153=2),'PEGAR'!C153&amp;"","")</f>
      </c>
      <c r="AE653" s="0">
        <f>IF(AND('PEGAR'!O153=0,'PEGAR'!X153=2),'PEGAR'!D153&amp;"","")</f>
      </c>
      <c r="AF653" s="0">
        <f>IF(AND('PEGAR'!O153=0,'PEGAR'!X153=2),'PEGAR'!N153,"")</f>
      </c>
      <c r="AG653" s="0" t="n">
        <f>IF(AND('PEGAR'!O153=0,'PEGAR'!X153=2),2,0)</f>
        <v>0</v>
      </c>
      <c r="AH653" s="0">
        <f>IF(AG653&gt;0,COUNTIFS($AG$13:AG653,"&gt;0"),"")</f>
      </c>
    </row>
    <row r="654">
      <c r="AB654" s="0">
        <f>IF(AND('PEGAR'!O154=0,'PEGAR'!X154=2),"Fila 154","")</f>
      </c>
      <c r="AC654" s="0">
        <f>IF(AND('PEGAR'!O154=0,'PEGAR'!X154=2),'PEGAR'!B154&amp;"","")</f>
      </c>
      <c r="AD654" s="0">
        <f>IF(AND('PEGAR'!O154=0,'PEGAR'!X154=2),'PEGAR'!C154&amp;"","")</f>
      </c>
      <c r="AE654" s="0">
        <f>IF(AND('PEGAR'!O154=0,'PEGAR'!X154=2),'PEGAR'!D154&amp;"","")</f>
      </c>
      <c r="AF654" s="0">
        <f>IF(AND('PEGAR'!O154=0,'PEGAR'!X154=2),'PEGAR'!N154,"")</f>
      </c>
      <c r="AG654" s="0" t="n">
        <f>IF(AND('PEGAR'!O154=0,'PEGAR'!X154=2),2,0)</f>
        <v>0</v>
      </c>
      <c r="AH654" s="0">
        <f>IF(AG654&gt;0,COUNTIFS($AG$13:AG654,"&gt;0"),"")</f>
      </c>
    </row>
    <row r="655">
      <c r="AB655" s="0">
        <f>IF(AND('PEGAR'!O155=0,'PEGAR'!X155=2),"Fila 155","")</f>
      </c>
      <c r="AC655" s="0">
        <f>IF(AND('PEGAR'!O155=0,'PEGAR'!X155=2),'PEGAR'!B155&amp;"","")</f>
      </c>
      <c r="AD655" s="0">
        <f>IF(AND('PEGAR'!O155=0,'PEGAR'!X155=2),'PEGAR'!C155&amp;"","")</f>
      </c>
      <c r="AE655" s="0">
        <f>IF(AND('PEGAR'!O155=0,'PEGAR'!X155=2),'PEGAR'!D155&amp;"","")</f>
      </c>
      <c r="AF655" s="0">
        <f>IF(AND('PEGAR'!O155=0,'PEGAR'!X155=2),'PEGAR'!N155,"")</f>
      </c>
      <c r="AG655" s="0" t="n">
        <f>IF(AND('PEGAR'!O155=0,'PEGAR'!X155=2),2,0)</f>
        <v>0</v>
      </c>
      <c r="AH655" s="0">
        <f>IF(AG655&gt;0,COUNTIFS($AG$13:AG655,"&gt;0"),"")</f>
      </c>
    </row>
    <row r="656">
      <c r="AB656" s="0">
        <f>IF(AND('PEGAR'!O156=0,'PEGAR'!X156=2),"Fila 156","")</f>
      </c>
      <c r="AC656" s="0">
        <f>IF(AND('PEGAR'!O156=0,'PEGAR'!X156=2),'PEGAR'!B156&amp;"","")</f>
      </c>
      <c r="AD656" s="0">
        <f>IF(AND('PEGAR'!O156=0,'PEGAR'!X156=2),'PEGAR'!C156&amp;"","")</f>
      </c>
      <c r="AE656" s="0">
        <f>IF(AND('PEGAR'!O156=0,'PEGAR'!X156=2),'PEGAR'!D156&amp;"","")</f>
      </c>
      <c r="AF656" s="0">
        <f>IF(AND('PEGAR'!O156=0,'PEGAR'!X156=2),'PEGAR'!N156,"")</f>
      </c>
      <c r="AG656" s="0" t="n">
        <f>IF(AND('PEGAR'!O156=0,'PEGAR'!X156=2),2,0)</f>
        <v>0</v>
      </c>
      <c r="AH656" s="0">
        <f>IF(AG656&gt;0,COUNTIFS($AG$13:AG656,"&gt;0"),"")</f>
      </c>
    </row>
    <row r="657">
      <c r="AB657" s="0">
        <f>IF(AND('PEGAR'!O157=0,'PEGAR'!X157=2),"Fila 157","")</f>
      </c>
      <c r="AC657" s="0">
        <f>IF(AND('PEGAR'!O157=0,'PEGAR'!X157=2),'PEGAR'!B157&amp;"","")</f>
      </c>
      <c r="AD657" s="0">
        <f>IF(AND('PEGAR'!O157=0,'PEGAR'!X157=2),'PEGAR'!C157&amp;"","")</f>
      </c>
      <c r="AE657" s="0">
        <f>IF(AND('PEGAR'!O157=0,'PEGAR'!X157=2),'PEGAR'!D157&amp;"","")</f>
      </c>
      <c r="AF657" s="0">
        <f>IF(AND('PEGAR'!O157=0,'PEGAR'!X157=2),'PEGAR'!N157,"")</f>
      </c>
      <c r="AG657" s="0" t="n">
        <f>IF(AND('PEGAR'!O157=0,'PEGAR'!X157=2),2,0)</f>
        <v>0</v>
      </c>
      <c r="AH657" s="0">
        <f>IF(AG657&gt;0,COUNTIFS($AG$13:AG657,"&gt;0"),"")</f>
      </c>
    </row>
    <row r="658">
      <c r="AB658" s="0">
        <f>IF(AND('PEGAR'!O158=0,'PEGAR'!X158=2),"Fila 158","")</f>
      </c>
      <c r="AC658" s="0">
        <f>IF(AND('PEGAR'!O158=0,'PEGAR'!X158=2),'PEGAR'!B158&amp;"","")</f>
      </c>
      <c r="AD658" s="0">
        <f>IF(AND('PEGAR'!O158=0,'PEGAR'!X158=2),'PEGAR'!C158&amp;"","")</f>
      </c>
      <c r="AE658" s="0">
        <f>IF(AND('PEGAR'!O158=0,'PEGAR'!X158=2),'PEGAR'!D158&amp;"","")</f>
      </c>
      <c r="AF658" s="0">
        <f>IF(AND('PEGAR'!O158=0,'PEGAR'!X158=2),'PEGAR'!N158,"")</f>
      </c>
      <c r="AG658" s="0" t="n">
        <f>IF(AND('PEGAR'!O158=0,'PEGAR'!X158=2),2,0)</f>
        <v>0</v>
      </c>
      <c r="AH658" s="0">
        <f>IF(AG658&gt;0,COUNTIFS($AG$13:AG658,"&gt;0"),"")</f>
      </c>
    </row>
    <row r="659">
      <c r="AB659" s="0">
        <f>IF(AND('PEGAR'!O159=0,'PEGAR'!X159=2),"Fila 159","")</f>
      </c>
      <c r="AC659" s="0">
        <f>IF(AND('PEGAR'!O159=0,'PEGAR'!X159=2),'PEGAR'!B159&amp;"","")</f>
      </c>
      <c r="AD659" s="0">
        <f>IF(AND('PEGAR'!O159=0,'PEGAR'!X159=2),'PEGAR'!C159&amp;"","")</f>
      </c>
      <c r="AE659" s="0">
        <f>IF(AND('PEGAR'!O159=0,'PEGAR'!X159=2),'PEGAR'!D159&amp;"","")</f>
      </c>
      <c r="AF659" s="0">
        <f>IF(AND('PEGAR'!O159=0,'PEGAR'!X159=2),'PEGAR'!N159,"")</f>
      </c>
      <c r="AG659" s="0" t="n">
        <f>IF(AND('PEGAR'!O159=0,'PEGAR'!X159=2),2,0)</f>
        <v>0</v>
      </c>
      <c r="AH659" s="0">
        <f>IF(AG659&gt;0,COUNTIFS($AG$13:AG659,"&gt;0"),"")</f>
      </c>
    </row>
    <row r="660">
      <c r="AB660" s="0">
        <f>IF(AND('PEGAR'!O160=0,'PEGAR'!X160=2),"Fila 160","")</f>
      </c>
      <c r="AC660" s="0">
        <f>IF(AND('PEGAR'!O160=0,'PEGAR'!X160=2),'PEGAR'!B160&amp;"","")</f>
      </c>
      <c r="AD660" s="0">
        <f>IF(AND('PEGAR'!O160=0,'PEGAR'!X160=2),'PEGAR'!C160&amp;"","")</f>
      </c>
      <c r="AE660" s="0">
        <f>IF(AND('PEGAR'!O160=0,'PEGAR'!X160=2),'PEGAR'!D160&amp;"","")</f>
      </c>
      <c r="AF660" s="0">
        <f>IF(AND('PEGAR'!O160=0,'PEGAR'!X160=2),'PEGAR'!N160,"")</f>
      </c>
      <c r="AG660" s="0" t="n">
        <f>IF(AND('PEGAR'!O160=0,'PEGAR'!X160=2),2,0)</f>
        <v>0</v>
      </c>
      <c r="AH660" s="0">
        <f>IF(AG660&gt;0,COUNTIFS($AG$13:AG660,"&gt;0"),"")</f>
      </c>
    </row>
    <row r="661">
      <c r="AB661" s="0">
        <f>IF(AND('PEGAR'!O161=0,'PEGAR'!X161=2),"Fila 161","")</f>
      </c>
      <c r="AC661" s="0">
        <f>IF(AND('PEGAR'!O161=0,'PEGAR'!X161=2),'PEGAR'!B161&amp;"","")</f>
      </c>
      <c r="AD661" s="0">
        <f>IF(AND('PEGAR'!O161=0,'PEGAR'!X161=2),'PEGAR'!C161&amp;"","")</f>
      </c>
      <c r="AE661" s="0">
        <f>IF(AND('PEGAR'!O161=0,'PEGAR'!X161=2),'PEGAR'!D161&amp;"","")</f>
      </c>
      <c r="AF661" s="0">
        <f>IF(AND('PEGAR'!O161=0,'PEGAR'!X161=2),'PEGAR'!N161,"")</f>
      </c>
      <c r="AG661" s="0" t="n">
        <f>IF(AND('PEGAR'!O161=0,'PEGAR'!X161=2),2,0)</f>
        <v>0</v>
      </c>
      <c r="AH661" s="0">
        <f>IF(AG661&gt;0,COUNTIFS($AG$13:AG661,"&gt;0"),"")</f>
      </c>
    </row>
    <row r="662">
      <c r="AB662" s="0">
        <f>IF(AND('PEGAR'!O162=0,'PEGAR'!X162=2),"Fila 162","")</f>
      </c>
      <c r="AC662" s="0">
        <f>IF(AND('PEGAR'!O162=0,'PEGAR'!X162=2),'PEGAR'!B162&amp;"","")</f>
      </c>
      <c r="AD662" s="0">
        <f>IF(AND('PEGAR'!O162=0,'PEGAR'!X162=2),'PEGAR'!C162&amp;"","")</f>
      </c>
      <c r="AE662" s="0">
        <f>IF(AND('PEGAR'!O162=0,'PEGAR'!X162=2),'PEGAR'!D162&amp;"","")</f>
      </c>
      <c r="AF662" s="0">
        <f>IF(AND('PEGAR'!O162=0,'PEGAR'!X162=2),'PEGAR'!N162,"")</f>
      </c>
      <c r="AG662" s="0" t="n">
        <f>IF(AND('PEGAR'!O162=0,'PEGAR'!X162=2),2,0)</f>
        <v>0</v>
      </c>
      <c r="AH662" s="0">
        <f>IF(AG662&gt;0,COUNTIFS($AG$13:AG662,"&gt;0"),"")</f>
      </c>
    </row>
    <row r="663">
      <c r="AB663" s="0">
        <f>IF(AND('PEGAR'!O163=0,'PEGAR'!X163=2),"Fila 163","")</f>
      </c>
      <c r="AC663" s="0">
        <f>IF(AND('PEGAR'!O163=0,'PEGAR'!X163=2),'PEGAR'!B163&amp;"","")</f>
      </c>
      <c r="AD663" s="0">
        <f>IF(AND('PEGAR'!O163=0,'PEGAR'!X163=2),'PEGAR'!C163&amp;"","")</f>
      </c>
      <c r="AE663" s="0">
        <f>IF(AND('PEGAR'!O163=0,'PEGAR'!X163=2),'PEGAR'!D163&amp;"","")</f>
      </c>
      <c r="AF663" s="0">
        <f>IF(AND('PEGAR'!O163=0,'PEGAR'!X163=2),'PEGAR'!N163,"")</f>
      </c>
      <c r="AG663" s="0" t="n">
        <f>IF(AND('PEGAR'!O163=0,'PEGAR'!X163=2),2,0)</f>
        <v>0</v>
      </c>
      <c r="AH663" s="0">
        <f>IF(AG663&gt;0,COUNTIFS($AG$13:AG663,"&gt;0"),"")</f>
      </c>
    </row>
    <row r="664">
      <c r="AB664" s="0">
        <f>IF(AND('PEGAR'!O164=0,'PEGAR'!X164=2),"Fila 164","")</f>
      </c>
      <c r="AC664" s="0">
        <f>IF(AND('PEGAR'!O164=0,'PEGAR'!X164=2),'PEGAR'!B164&amp;"","")</f>
      </c>
      <c r="AD664" s="0">
        <f>IF(AND('PEGAR'!O164=0,'PEGAR'!X164=2),'PEGAR'!C164&amp;"","")</f>
      </c>
      <c r="AE664" s="0">
        <f>IF(AND('PEGAR'!O164=0,'PEGAR'!X164=2),'PEGAR'!D164&amp;"","")</f>
      </c>
      <c r="AF664" s="0">
        <f>IF(AND('PEGAR'!O164=0,'PEGAR'!X164=2),'PEGAR'!N164,"")</f>
      </c>
      <c r="AG664" s="0" t="n">
        <f>IF(AND('PEGAR'!O164=0,'PEGAR'!X164=2),2,0)</f>
        <v>0</v>
      </c>
      <c r="AH664" s="0">
        <f>IF(AG664&gt;0,COUNTIFS($AG$13:AG664,"&gt;0"),"")</f>
      </c>
    </row>
    <row r="665">
      <c r="AB665" s="0">
        <f>IF(AND('PEGAR'!O165=0,'PEGAR'!X165=2),"Fila 165","")</f>
      </c>
      <c r="AC665" s="0">
        <f>IF(AND('PEGAR'!O165=0,'PEGAR'!X165=2),'PEGAR'!B165&amp;"","")</f>
      </c>
      <c r="AD665" s="0">
        <f>IF(AND('PEGAR'!O165=0,'PEGAR'!X165=2),'PEGAR'!C165&amp;"","")</f>
      </c>
      <c r="AE665" s="0">
        <f>IF(AND('PEGAR'!O165=0,'PEGAR'!X165=2),'PEGAR'!D165&amp;"","")</f>
      </c>
      <c r="AF665" s="0">
        <f>IF(AND('PEGAR'!O165=0,'PEGAR'!X165=2),'PEGAR'!N165,"")</f>
      </c>
      <c r="AG665" s="0" t="n">
        <f>IF(AND('PEGAR'!O165=0,'PEGAR'!X165=2),2,0)</f>
        <v>0</v>
      </c>
      <c r="AH665" s="0">
        <f>IF(AG665&gt;0,COUNTIFS($AG$13:AG665,"&gt;0"),"")</f>
      </c>
    </row>
    <row r="666">
      <c r="AB666" s="0">
        <f>IF(AND('PEGAR'!O166=0,'PEGAR'!X166=2),"Fila 166","")</f>
      </c>
      <c r="AC666" s="0">
        <f>IF(AND('PEGAR'!O166=0,'PEGAR'!X166=2),'PEGAR'!B166&amp;"","")</f>
      </c>
      <c r="AD666" s="0">
        <f>IF(AND('PEGAR'!O166=0,'PEGAR'!X166=2),'PEGAR'!C166&amp;"","")</f>
      </c>
      <c r="AE666" s="0">
        <f>IF(AND('PEGAR'!O166=0,'PEGAR'!X166=2),'PEGAR'!D166&amp;"","")</f>
      </c>
      <c r="AF666" s="0">
        <f>IF(AND('PEGAR'!O166=0,'PEGAR'!X166=2),'PEGAR'!N166,"")</f>
      </c>
      <c r="AG666" s="0" t="n">
        <f>IF(AND('PEGAR'!O166=0,'PEGAR'!X166=2),2,0)</f>
        <v>0</v>
      </c>
      <c r="AH666" s="0">
        <f>IF(AG666&gt;0,COUNTIFS($AG$13:AG666,"&gt;0"),"")</f>
      </c>
    </row>
    <row r="667">
      <c r="AB667" s="0">
        <f>IF(AND('PEGAR'!O167=0,'PEGAR'!X167=2),"Fila 167","")</f>
      </c>
      <c r="AC667" s="0">
        <f>IF(AND('PEGAR'!O167=0,'PEGAR'!X167=2),'PEGAR'!B167&amp;"","")</f>
      </c>
      <c r="AD667" s="0">
        <f>IF(AND('PEGAR'!O167=0,'PEGAR'!X167=2),'PEGAR'!C167&amp;"","")</f>
      </c>
      <c r="AE667" s="0">
        <f>IF(AND('PEGAR'!O167=0,'PEGAR'!X167=2),'PEGAR'!D167&amp;"","")</f>
      </c>
      <c r="AF667" s="0">
        <f>IF(AND('PEGAR'!O167=0,'PEGAR'!X167=2),'PEGAR'!N167,"")</f>
      </c>
      <c r="AG667" s="0" t="n">
        <f>IF(AND('PEGAR'!O167=0,'PEGAR'!X167=2),2,0)</f>
        <v>0</v>
      </c>
      <c r="AH667" s="0">
        <f>IF(AG667&gt;0,COUNTIFS($AG$13:AG667,"&gt;0"),"")</f>
      </c>
    </row>
    <row r="668">
      <c r="AB668" s="0">
        <f>IF(AND('PEGAR'!O168=0,'PEGAR'!X168=2),"Fila 168","")</f>
      </c>
      <c r="AC668" s="0">
        <f>IF(AND('PEGAR'!O168=0,'PEGAR'!X168=2),'PEGAR'!B168&amp;"","")</f>
      </c>
      <c r="AD668" s="0">
        <f>IF(AND('PEGAR'!O168=0,'PEGAR'!X168=2),'PEGAR'!C168&amp;"","")</f>
      </c>
      <c r="AE668" s="0">
        <f>IF(AND('PEGAR'!O168=0,'PEGAR'!X168=2),'PEGAR'!D168&amp;"","")</f>
      </c>
      <c r="AF668" s="0">
        <f>IF(AND('PEGAR'!O168=0,'PEGAR'!X168=2),'PEGAR'!N168,"")</f>
      </c>
      <c r="AG668" s="0" t="n">
        <f>IF(AND('PEGAR'!O168=0,'PEGAR'!X168=2),2,0)</f>
        <v>0</v>
      </c>
      <c r="AH668" s="0">
        <f>IF(AG668&gt;0,COUNTIFS($AG$13:AG668,"&gt;0"),"")</f>
      </c>
    </row>
    <row r="669">
      <c r="AB669" s="0">
        <f>IF(AND('PEGAR'!O169=0,'PEGAR'!X169=2),"Fila 169","")</f>
      </c>
      <c r="AC669" s="0">
        <f>IF(AND('PEGAR'!O169=0,'PEGAR'!X169=2),'PEGAR'!B169&amp;"","")</f>
      </c>
      <c r="AD669" s="0">
        <f>IF(AND('PEGAR'!O169=0,'PEGAR'!X169=2),'PEGAR'!C169&amp;"","")</f>
      </c>
      <c r="AE669" s="0">
        <f>IF(AND('PEGAR'!O169=0,'PEGAR'!X169=2),'PEGAR'!D169&amp;"","")</f>
      </c>
      <c r="AF669" s="0">
        <f>IF(AND('PEGAR'!O169=0,'PEGAR'!X169=2),'PEGAR'!N169,"")</f>
      </c>
      <c r="AG669" s="0" t="n">
        <f>IF(AND('PEGAR'!O169=0,'PEGAR'!X169=2),2,0)</f>
        <v>0</v>
      </c>
      <c r="AH669" s="0">
        <f>IF(AG669&gt;0,COUNTIFS($AG$13:AG669,"&gt;0"),"")</f>
      </c>
    </row>
    <row r="670">
      <c r="AB670" s="0">
        <f>IF(AND('PEGAR'!O170=0,'PEGAR'!X170=2),"Fila 170","")</f>
      </c>
      <c r="AC670" s="0">
        <f>IF(AND('PEGAR'!O170=0,'PEGAR'!X170=2),'PEGAR'!B170&amp;"","")</f>
      </c>
      <c r="AD670" s="0">
        <f>IF(AND('PEGAR'!O170=0,'PEGAR'!X170=2),'PEGAR'!C170&amp;"","")</f>
      </c>
      <c r="AE670" s="0">
        <f>IF(AND('PEGAR'!O170=0,'PEGAR'!X170=2),'PEGAR'!D170&amp;"","")</f>
      </c>
      <c r="AF670" s="0">
        <f>IF(AND('PEGAR'!O170=0,'PEGAR'!X170=2),'PEGAR'!N170,"")</f>
      </c>
      <c r="AG670" s="0" t="n">
        <f>IF(AND('PEGAR'!O170=0,'PEGAR'!X170=2),2,0)</f>
        <v>0</v>
      </c>
      <c r="AH670" s="0">
        <f>IF(AG670&gt;0,COUNTIFS($AG$13:AG670,"&gt;0"),"")</f>
      </c>
    </row>
    <row r="671">
      <c r="AB671" s="0">
        <f>IF(AND('PEGAR'!O171=0,'PEGAR'!X171=2),"Fila 171","")</f>
      </c>
      <c r="AC671" s="0">
        <f>IF(AND('PEGAR'!O171=0,'PEGAR'!X171=2),'PEGAR'!B171&amp;"","")</f>
      </c>
      <c r="AD671" s="0">
        <f>IF(AND('PEGAR'!O171=0,'PEGAR'!X171=2),'PEGAR'!C171&amp;"","")</f>
      </c>
      <c r="AE671" s="0">
        <f>IF(AND('PEGAR'!O171=0,'PEGAR'!X171=2),'PEGAR'!D171&amp;"","")</f>
      </c>
      <c r="AF671" s="0">
        <f>IF(AND('PEGAR'!O171=0,'PEGAR'!X171=2),'PEGAR'!N171,"")</f>
      </c>
      <c r="AG671" s="0" t="n">
        <f>IF(AND('PEGAR'!O171=0,'PEGAR'!X171=2),2,0)</f>
        <v>0</v>
      </c>
      <c r="AH671" s="0">
        <f>IF(AG671&gt;0,COUNTIFS($AG$13:AG671,"&gt;0"),"")</f>
      </c>
    </row>
    <row r="672">
      <c r="AB672" s="0">
        <f>IF(AND('PEGAR'!O172=0,'PEGAR'!X172=2),"Fila 172","")</f>
      </c>
      <c r="AC672" s="0">
        <f>IF(AND('PEGAR'!O172=0,'PEGAR'!X172=2),'PEGAR'!B172&amp;"","")</f>
      </c>
      <c r="AD672" s="0">
        <f>IF(AND('PEGAR'!O172=0,'PEGAR'!X172=2),'PEGAR'!C172&amp;"","")</f>
      </c>
      <c r="AE672" s="0">
        <f>IF(AND('PEGAR'!O172=0,'PEGAR'!X172=2),'PEGAR'!D172&amp;"","")</f>
      </c>
      <c r="AF672" s="0">
        <f>IF(AND('PEGAR'!O172=0,'PEGAR'!X172=2),'PEGAR'!N172,"")</f>
      </c>
      <c r="AG672" s="0" t="n">
        <f>IF(AND('PEGAR'!O172=0,'PEGAR'!X172=2),2,0)</f>
        <v>0</v>
      </c>
      <c r="AH672" s="0">
        <f>IF(AG672&gt;0,COUNTIFS($AG$13:AG672,"&gt;0"),"")</f>
      </c>
    </row>
    <row r="673">
      <c r="AB673" s="0">
        <f>IF(AND('PEGAR'!O173=0,'PEGAR'!X173=2),"Fila 173","")</f>
      </c>
      <c r="AC673" s="0">
        <f>IF(AND('PEGAR'!O173=0,'PEGAR'!X173=2),'PEGAR'!B173&amp;"","")</f>
      </c>
      <c r="AD673" s="0">
        <f>IF(AND('PEGAR'!O173=0,'PEGAR'!X173=2),'PEGAR'!C173&amp;"","")</f>
      </c>
      <c r="AE673" s="0">
        <f>IF(AND('PEGAR'!O173=0,'PEGAR'!X173=2),'PEGAR'!D173&amp;"","")</f>
      </c>
      <c r="AF673" s="0">
        <f>IF(AND('PEGAR'!O173=0,'PEGAR'!X173=2),'PEGAR'!N173,"")</f>
      </c>
      <c r="AG673" s="0" t="n">
        <f>IF(AND('PEGAR'!O173=0,'PEGAR'!X173=2),2,0)</f>
        <v>0</v>
      </c>
      <c r="AH673" s="0">
        <f>IF(AG673&gt;0,COUNTIFS($AG$13:AG673,"&gt;0"),"")</f>
      </c>
    </row>
    <row r="674">
      <c r="AB674" s="0">
        <f>IF(AND('PEGAR'!O174=0,'PEGAR'!X174=2),"Fila 174","")</f>
      </c>
      <c r="AC674" s="0">
        <f>IF(AND('PEGAR'!O174=0,'PEGAR'!X174=2),'PEGAR'!B174&amp;"","")</f>
      </c>
      <c r="AD674" s="0">
        <f>IF(AND('PEGAR'!O174=0,'PEGAR'!X174=2),'PEGAR'!C174&amp;"","")</f>
      </c>
      <c r="AE674" s="0">
        <f>IF(AND('PEGAR'!O174=0,'PEGAR'!X174=2),'PEGAR'!D174&amp;"","")</f>
      </c>
      <c r="AF674" s="0">
        <f>IF(AND('PEGAR'!O174=0,'PEGAR'!X174=2),'PEGAR'!N174,"")</f>
      </c>
      <c r="AG674" s="0" t="n">
        <f>IF(AND('PEGAR'!O174=0,'PEGAR'!X174=2),2,0)</f>
        <v>0</v>
      </c>
      <c r="AH674" s="0">
        <f>IF(AG674&gt;0,COUNTIFS($AG$13:AG674,"&gt;0"),"")</f>
      </c>
    </row>
    <row r="675">
      <c r="AB675" s="0">
        <f>IF(AND('PEGAR'!O175=0,'PEGAR'!X175=2),"Fila 175","")</f>
      </c>
      <c r="AC675" s="0">
        <f>IF(AND('PEGAR'!O175=0,'PEGAR'!X175=2),'PEGAR'!B175&amp;"","")</f>
      </c>
      <c r="AD675" s="0">
        <f>IF(AND('PEGAR'!O175=0,'PEGAR'!X175=2),'PEGAR'!C175&amp;"","")</f>
      </c>
      <c r="AE675" s="0">
        <f>IF(AND('PEGAR'!O175=0,'PEGAR'!X175=2),'PEGAR'!D175&amp;"","")</f>
      </c>
      <c r="AF675" s="0">
        <f>IF(AND('PEGAR'!O175=0,'PEGAR'!X175=2),'PEGAR'!N175,"")</f>
      </c>
      <c r="AG675" s="0" t="n">
        <f>IF(AND('PEGAR'!O175=0,'PEGAR'!X175=2),2,0)</f>
        <v>0</v>
      </c>
      <c r="AH675" s="0">
        <f>IF(AG675&gt;0,COUNTIFS($AG$13:AG675,"&gt;0"),"")</f>
      </c>
    </row>
    <row r="676">
      <c r="AB676" s="0">
        <f>IF(AND('PEGAR'!O176=0,'PEGAR'!X176=2),"Fila 176","")</f>
      </c>
      <c r="AC676" s="0">
        <f>IF(AND('PEGAR'!O176=0,'PEGAR'!X176=2),'PEGAR'!B176&amp;"","")</f>
      </c>
      <c r="AD676" s="0">
        <f>IF(AND('PEGAR'!O176=0,'PEGAR'!X176=2),'PEGAR'!C176&amp;"","")</f>
      </c>
      <c r="AE676" s="0">
        <f>IF(AND('PEGAR'!O176=0,'PEGAR'!X176=2),'PEGAR'!D176&amp;"","")</f>
      </c>
      <c r="AF676" s="0">
        <f>IF(AND('PEGAR'!O176=0,'PEGAR'!X176=2),'PEGAR'!N176,"")</f>
      </c>
      <c r="AG676" s="0" t="n">
        <f>IF(AND('PEGAR'!O176=0,'PEGAR'!X176=2),2,0)</f>
        <v>0</v>
      </c>
      <c r="AH676" s="0">
        <f>IF(AG676&gt;0,COUNTIFS($AG$13:AG676,"&gt;0"),"")</f>
      </c>
    </row>
    <row r="677">
      <c r="AB677" s="0">
        <f>IF(AND('PEGAR'!O177=0,'PEGAR'!X177=2),"Fila 177","")</f>
      </c>
      <c r="AC677" s="0">
        <f>IF(AND('PEGAR'!O177=0,'PEGAR'!X177=2),'PEGAR'!B177&amp;"","")</f>
      </c>
      <c r="AD677" s="0">
        <f>IF(AND('PEGAR'!O177=0,'PEGAR'!X177=2),'PEGAR'!C177&amp;"","")</f>
      </c>
      <c r="AE677" s="0">
        <f>IF(AND('PEGAR'!O177=0,'PEGAR'!X177=2),'PEGAR'!D177&amp;"","")</f>
      </c>
      <c r="AF677" s="0">
        <f>IF(AND('PEGAR'!O177=0,'PEGAR'!X177=2),'PEGAR'!N177,"")</f>
      </c>
      <c r="AG677" s="0" t="n">
        <f>IF(AND('PEGAR'!O177=0,'PEGAR'!X177=2),2,0)</f>
        <v>0</v>
      </c>
      <c r="AH677" s="0">
        <f>IF(AG677&gt;0,COUNTIFS($AG$13:AG677,"&gt;0"),"")</f>
      </c>
    </row>
    <row r="678">
      <c r="AB678" s="0">
        <f>IF(AND('PEGAR'!O178=0,'PEGAR'!X178=2),"Fila 178","")</f>
      </c>
      <c r="AC678" s="0">
        <f>IF(AND('PEGAR'!O178=0,'PEGAR'!X178=2),'PEGAR'!B178&amp;"","")</f>
      </c>
      <c r="AD678" s="0">
        <f>IF(AND('PEGAR'!O178=0,'PEGAR'!X178=2),'PEGAR'!C178&amp;"","")</f>
      </c>
      <c r="AE678" s="0">
        <f>IF(AND('PEGAR'!O178=0,'PEGAR'!X178=2),'PEGAR'!D178&amp;"","")</f>
      </c>
      <c r="AF678" s="0">
        <f>IF(AND('PEGAR'!O178=0,'PEGAR'!X178=2),'PEGAR'!N178,"")</f>
      </c>
      <c r="AG678" s="0" t="n">
        <f>IF(AND('PEGAR'!O178=0,'PEGAR'!X178=2),2,0)</f>
        <v>0</v>
      </c>
      <c r="AH678" s="0">
        <f>IF(AG678&gt;0,COUNTIFS($AG$13:AG678,"&gt;0"),"")</f>
      </c>
    </row>
    <row r="679">
      <c r="AB679" s="0">
        <f>IF(AND('PEGAR'!O179=0,'PEGAR'!X179=2),"Fila 179","")</f>
      </c>
      <c r="AC679" s="0">
        <f>IF(AND('PEGAR'!O179=0,'PEGAR'!X179=2),'PEGAR'!B179&amp;"","")</f>
      </c>
      <c r="AD679" s="0">
        <f>IF(AND('PEGAR'!O179=0,'PEGAR'!X179=2),'PEGAR'!C179&amp;"","")</f>
      </c>
      <c r="AE679" s="0">
        <f>IF(AND('PEGAR'!O179=0,'PEGAR'!X179=2),'PEGAR'!D179&amp;"","")</f>
      </c>
      <c r="AF679" s="0">
        <f>IF(AND('PEGAR'!O179=0,'PEGAR'!X179=2),'PEGAR'!N179,"")</f>
      </c>
      <c r="AG679" s="0" t="n">
        <f>IF(AND('PEGAR'!O179=0,'PEGAR'!X179=2),2,0)</f>
        <v>0</v>
      </c>
      <c r="AH679" s="0">
        <f>IF(AG679&gt;0,COUNTIFS($AG$13:AG679,"&gt;0"),"")</f>
      </c>
    </row>
    <row r="680">
      <c r="AB680" s="0">
        <f>IF(AND('PEGAR'!O180=0,'PEGAR'!X180=2),"Fila 180","")</f>
      </c>
      <c r="AC680" s="0">
        <f>IF(AND('PEGAR'!O180=0,'PEGAR'!X180=2),'PEGAR'!B180&amp;"","")</f>
      </c>
      <c r="AD680" s="0">
        <f>IF(AND('PEGAR'!O180=0,'PEGAR'!X180=2),'PEGAR'!C180&amp;"","")</f>
      </c>
      <c r="AE680" s="0">
        <f>IF(AND('PEGAR'!O180=0,'PEGAR'!X180=2),'PEGAR'!D180&amp;"","")</f>
      </c>
      <c r="AF680" s="0">
        <f>IF(AND('PEGAR'!O180=0,'PEGAR'!X180=2),'PEGAR'!N180,"")</f>
      </c>
      <c r="AG680" s="0" t="n">
        <f>IF(AND('PEGAR'!O180=0,'PEGAR'!X180=2),2,0)</f>
        <v>0</v>
      </c>
      <c r="AH680" s="0">
        <f>IF(AG680&gt;0,COUNTIFS($AG$13:AG680,"&gt;0"),"")</f>
      </c>
    </row>
    <row r="681">
      <c r="AB681" s="0">
        <f>IF(AND('PEGAR'!O181=0,'PEGAR'!X181=2),"Fila 181","")</f>
      </c>
      <c r="AC681" s="0">
        <f>IF(AND('PEGAR'!O181=0,'PEGAR'!X181=2),'PEGAR'!B181&amp;"","")</f>
      </c>
      <c r="AD681" s="0">
        <f>IF(AND('PEGAR'!O181=0,'PEGAR'!X181=2),'PEGAR'!C181&amp;"","")</f>
      </c>
      <c r="AE681" s="0">
        <f>IF(AND('PEGAR'!O181=0,'PEGAR'!X181=2),'PEGAR'!D181&amp;"","")</f>
      </c>
      <c r="AF681" s="0">
        <f>IF(AND('PEGAR'!O181=0,'PEGAR'!X181=2),'PEGAR'!N181,"")</f>
      </c>
      <c r="AG681" s="0" t="n">
        <f>IF(AND('PEGAR'!O181=0,'PEGAR'!X181=2),2,0)</f>
        <v>0</v>
      </c>
      <c r="AH681" s="0">
        <f>IF(AG681&gt;0,COUNTIFS($AG$13:AG681,"&gt;0"),"")</f>
      </c>
    </row>
    <row r="682">
      <c r="AB682" s="0">
        <f>IF(AND('PEGAR'!O182=0,'PEGAR'!X182=2),"Fila 182","")</f>
      </c>
      <c r="AC682" s="0">
        <f>IF(AND('PEGAR'!O182=0,'PEGAR'!X182=2),'PEGAR'!B182&amp;"","")</f>
      </c>
      <c r="AD682" s="0">
        <f>IF(AND('PEGAR'!O182=0,'PEGAR'!X182=2),'PEGAR'!C182&amp;"","")</f>
      </c>
      <c r="AE682" s="0">
        <f>IF(AND('PEGAR'!O182=0,'PEGAR'!X182=2),'PEGAR'!D182&amp;"","")</f>
      </c>
      <c r="AF682" s="0">
        <f>IF(AND('PEGAR'!O182=0,'PEGAR'!X182=2),'PEGAR'!N182,"")</f>
      </c>
      <c r="AG682" s="0" t="n">
        <f>IF(AND('PEGAR'!O182=0,'PEGAR'!X182=2),2,0)</f>
        <v>0</v>
      </c>
      <c r="AH682" s="0">
        <f>IF(AG682&gt;0,COUNTIFS($AG$13:AG682,"&gt;0"),"")</f>
      </c>
    </row>
    <row r="683">
      <c r="AB683" s="0">
        <f>IF(AND('PEGAR'!O183=0,'PEGAR'!X183=2),"Fila 183","")</f>
      </c>
      <c r="AC683" s="0">
        <f>IF(AND('PEGAR'!O183=0,'PEGAR'!X183=2),'PEGAR'!B183&amp;"","")</f>
      </c>
      <c r="AD683" s="0">
        <f>IF(AND('PEGAR'!O183=0,'PEGAR'!X183=2),'PEGAR'!C183&amp;"","")</f>
      </c>
      <c r="AE683" s="0">
        <f>IF(AND('PEGAR'!O183=0,'PEGAR'!X183=2),'PEGAR'!D183&amp;"","")</f>
      </c>
      <c r="AF683" s="0">
        <f>IF(AND('PEGAR'!O183=0,'PEGAR'!X183=2),'PEGAR'!N183,"")</f>
      </c>
      <c r="AG683" s="0" t="n">
        <f>IF(AND('PEGAR'!O183=0,'PEGAR'!X183=2),2,0)</f>
        <v>0</v>
      </c>
      <c r="AH683" s="0">
        <f>IF(AG683&gt;0,COUNTIFS($AG$13:AG683,"&gt;0"),"")</f>
      </c>
    </row>
    <row r="684">
      <c r="AB684" s="0">
        <f>IF(AND('PEGAR'!O184=0,'PEGAR'!X184=2),"Fila 184","")</f>
      </c>
      <c r="AC684" s="0">
        <f>IF(AND('PEGAR'!O184=0,'PEGAR'!X184=2),'PEGAR'!B184&amp;"","")</f>
      </c>
      <c r="AD684" s="0">
        <f>IF(AND('PEGAR'!O184=0,'PEGAR'!X184=2),'PEGAR'!C184&amp;"","")</f>
      </c>
      <c r="AE684" s="0">
        <f>IF(AND('PEGAR'!O184=0,'PEGAR'!X184=2),'PEGAR'!D184&amp;"","")</f>
      </c>
      <c r="AF684" s="0">
        <f>IF(AND('PEGAR'!O184=0,'PEGAR'!X184=2),'PEGAR'!N184,"")</f>
      </c>
      <c r="AG684" s="0" t="n">
        <f>IF(AND('PEGAR'!O184=0,'PEGAR'!X184=2),2,0)</f>
        <v>0</v>
      </c>
      <c r="AH684" s="0">
        <f>IF(AG684&gt;0,COUNTIFS($AG$13:AG684,"&gt;0"),"")</f>
      </c>
    </row>
    <row r="685">
      <c r="AB685" s="0">
        <f>IF(AND('PEGAR'!O185=0,'PEGAR'!X185=2),"Fila 185","")</f>
      </c>
      <c r="AC685" s="0">
        <f>IF(AND('PEGAR'!O185=0,'PEGAR'!X185=2),'PEGAR'!B185&amp;"","")</f>
      </c>
      <c r="AD685" s="0">
        <f>IF(AND('PEGAR'!O185=0,'PEGAR'!X185=2),'PEGAR'!C185&amp;"","")</f>
      </c>
      <c r="AE685" s="0">
        <f>IF(AND('PEGAR'!O185=0,'PEGAR'!X185=2),'PEGAR'!D185&amp;"","")</f>
      </c>
      <c r="AF685" s="0">
        <f>IF(AND('PEGAR'!O185=0,'PEGAR'!X185=2),'PEGAR'!N185,"")</f>
      </c>
      <c r="AG685" s="0" t="n">
        <f>IF(AND('PEGAR'!O185=0,'PEGAR'!X185=2),2,0)</f>
        <v>0</v>
      </c>
      <c r="AH685" s="0">
        <f>IF(AG685&gt;0,COUNTIFS($AG$13:AG685,"&gt;0"),"")</f>
      </c>
    </row>
    <row r="686">
      <c r="AB686" s="0">
        <f>IF(AND('PEGAR'!O186=0,'PEGAR'!X186=2),"Fila 186","")</f>
      </c>
      <c r="AC686" s="0">
        <f>IF(AND('PEGAR'!O186=0,'PEGAR'!X186=2),'PEGAR'!B186&amp;"","")</f>
      </c>
      <c r="AD686" s="0">
        <f>IF(AND('PEGAR'!O186=0,'PEGAR'!X186=2),'PEGAR'!C186&amp;"","")</f>
      </c>
      <c r="AE686" s="0">
        <f>IF(AND('PEGAR'!O186=0,'PEGAR'!X186=2),'PEGAR'!D186&amp;"","")</f>
      </c>
      <c r="AF686" s="0">
        <f>IF(AND('PEGAR'!O186=0,'PEGAR'!X186=2),'PEGAR'!N186,"")</f>
      </c>
      <c r="AG686" s="0" t="n">
        <f>IF(AND('PEGAR'!O186=0,'PEGAR'!X186=2),2,0)</f>
        <v>0</v>
      </c>
      <c r="AH686" s="0">
        <f>IF(AG686&gt;0,COUNTIFS($AG$13:AG686,"&gt;0"),"")</f>
      </c>
    </row>
    <row r="687">
      <c r="AB687" s="0">
        <f>IF(AND('PEGAR'!O187=0,'PEGAR'!X187=2),"Fila 187","")</f>
      </c>
      <c r="AC687" s="0">
        <f>IF(AND('PEGAR'!O187=0,'PEGAR'!X187=2),'PEGAR'!B187&amp;"","")</f>
      </c>
      <c r="AD687" s="0">
        <f>IF(AND('PEGAR'!O187=0,'PEGAR'!X187=2),'PEGAR'!C187&amp;"","")</f>
      </c>
      <c r="AE687" s="0">
        <f>IF(AND('PEGAR'!O187=0,'PEGAR'!X187=2),'PEGAR'!D187&amp;"","")</f>
      </c>
      <c r="AF687" s="0">
        <f>IF(AND('PEGAR'!O187=0,'PEGAR'!X187=2),'PEGAR'!N187,"")</f>
      </c>
      <c r="AG687" s="0" t="n">
        <f>IF(AND('PEGAR'!O187=0,'PEGAR'!X187=2),2,0)</f>
        <v>0</v>
      </c>
      <c r="AH687" s="0">
        <f>IF(AG687&gt;0,COUNTIFS($AG$13:AG687,"&gt;0"),"")</f>
      </c>
    </row>
    <row r="688">
      <c r="AB688" s="0">
        <f>IF(AND('PEGAR'!O188=0,'PEGAR'!X188=2),"Fila 188","")</f>
      </c>
      <c r="AC688" s="0">
        <f>IF(AND('PEGAR'!O188=0,'PEGAR'!X188=2),'PEGAR'!B188&amp;"","")</f>
      </c>
      <c r="AD688" s="0">
        <f>IF(AND('PEGAR'!O188=0,'PEGAR'!X188=2),'PEGAR'!C188&amp;"","")</f>
      </c>
      <c r="AE688" s="0">
        <f>IF(AND('PEGAR'!O188=0,'PEGAR'!X188=2),'PEGAR'!D188&amp;"","")</f>
      </c>
      <c r="AF688" s="0">
        <f>IF(AND('PEGAR'!O188=0,'PEGAR'!X188=2),'PEGAR'!N188,"")</f>
      </c>
      <c r="AG688" s="0" t="n">
        <f>IF(AND('PEGAR'!O188=0,'PEGAR'!X188=2),2,0)</f>
        <v>0</v>
      </c>
      <c r="AH688" s="0">
        <f>IF(AG688&gt;0,COUNTIFS($AG$13:AG688,"&gt;0"),"")</f>
      </c>
    </row>
    <row r="689">
      <c r="AB689" s="0">
        <f>IF(AND('PEGAR'!O189=0,'PEGAR'!X189=2),"Fila 189","")</f>
      </c>
      <c r="AC689" s="0">
        <f>IF(AND('PEGAR'!O189=0,'PEGAR'!X189=2),'PEGAR'!B189&amp;"","")</f>
      </c>
      <c r="AD689" s="0">
        <f>IF(AND('PEGAR'!O189=0,'PEGAR'!X189=2),'PEGAR'!C189&amp;"","")</f>
      </c>
      <c r="AE689" s="0">
        <f>IF(AND('PEGAR'!O189=0,'PEGAR'!X189=2),'PEGAR'!D189&amp;"","")</f>
      </c>
      <c r="AF689" s="0">
        <f>IF(AND('PEGAR'!O189=0,'PEGAR'!X189=2),'PEGAR'!N189,"")</f>
      </c>
      <c r="AG689" s="0" t="n">
        <f>IF(AND('PEGAR'!O189=0,'PEGAR'!X189=2),2,0)</f>
        <v>0</v>
      </c>
      <c r="AH689" s="0">
        <f>IF(AG689&gt;0,COUNTIFS($AG$13:AG689,"&gt;0"),"")</f>
      </c>
    </row>
    <row r="690">
      <c r="AB690" s="0">
        <f>IF(AND('PEGAR'!O190=0,'PEGAR'!X190=2),"Fila 190","")</f>
      </c>
      <c r="AC690" s="0">
        <f>IF(AND('PEGAR'!O190=0,'PEGAR'!X190=2),'PEGAR'!B190&amp;"","")</f>
      </c>
      <c r="AD690" s="0">
        <f>IF(AND('PEGAR'!O190=0,'PEGAR'!X190=2),'PEGAR'!C190&amp;"","")</f>
      </c>
      <c r="AE690" s="0">
        <f>IF(AND('PEGAR'!O190=0,'PEGAR'!X190=2),'PEGAR'!D190&amp;"","")</f>
      </c>
      <c r="AF690" s="0">
        <f>IF(AND('PEGAR'!O190=0,'PEGAR'!X190=2),'PEGAR'!N190,"")</f>
      </c>
      <c r="AG690" s="0" t="n">
        <f>IF(AND('PEGAR'!O190=0,'PEGAR'!X190=2),2,0)</f>
        <v>0</v>
      </c>
      <c r="AH690" s="0">
        <f>IF(AG690&gt;0,COUNTIFS($AG$13:AG690,"&gt;0"),"")</f>
      </c>
    </row>
    <row r="691">
      <c r="AB691" s="0">
        <f>IF(AND('PEGAR'!O191=0,'PEGAR'!X191=2),"Fila 191","")</f>
      </c>
      <c r="AC691" s="0">
        <f>IF(AND('PEGAR'!O191=0,'PEGAR'!X191=2),'PEGAR'!B191&amp;"","")</f>
      </c>
      <c r="AD691" s="0">
        <f>IF(AND('PEGAR'!O191=0,'PEGAR'!X191=2),'PEGAR'!C191&amp;"","")</f>
      </c>
      <c r="AE691" s="0">
        <f>IF(AND('PEGAR'!O191=0,'PEGAR'!X191=2),'PEGAR'!D191&amp;"","")</f>
      </c>
      <c r="AF691" s="0">
        <f>IF(AND('PEGAR'!O191=0,'PEGAR'!X191=2),'PEGAR'!N191,"")</f>
      </c>
      <c r="AG691" s="0" t="n">
        <f>IF(AND('PEGAR'!O191=0,'PEGAR'!X191=2),2,0)</f>
        <v>0</v>
      </c>
      <c r="AH691" s="0">
        <f>IF(AG691&gt;0,COUNTIFS($AG$13:AG691,"&gt;0"),"")</f>
      </c>
    </row>
    <row r="692">
      <c r="AB692" s="0">
        <f>IF(AND('PEGAR'!O192=0,'PEGAR'!X192=2),"Fila 192","")</f>
      </c>
      <c r="AC692" s="0">
        <f>IF(AND('PEGAR'!O192=0,'PEGAR'!X192=2),'PEGAR'!B192&amp;"","")</f>
      </c>
      <c r="AD692" s="0">
        <f>IF(AND('PEGAR'!O192=0,'PEGAR'!X192=2),'PEGAR'!C192&amp;"","")</f>
      </c>
      <c r="AE692" s="0">
        <f>IF(AND('PEGAR'!O192=0,'PEGAR'!X192=2),'PEGAR'!D192&amp;"","")</f>
      </c>
      <c r="AF692" s="0">
        <f>IF(AND('PEGAR'!O192=0,'PEGAR'!X192=2),'PEGAR'!N192,"")</f>
      </c>
      <c r="AG692" s="0" t="n">
        <f>IF(AND('PEGAR'!O192=0,'PEGAR'!X192=2),2,0)</f>
        <v>0</v>
      </c>
      <c r="AH692" s="0">
        <f>IF(AG692&gt;0,COUNTIFS($AG$13:AG692,"&gt;0"),"")</f>
      </c>
    </row>
    <row r="693">
      <c r="AB693" s="0">
        <f>IF(AND('PEGAR'!O193=0,'PEGAR'!X193=2),"Fila 193","")</f>
      </c>
      <c r="AC693" s="0">
        <f>IF(AND('PEGAR'!O193=0,'PEGAR'!X193=2),'PEGAR'!B193&amp;"","")</f>
      </c>
      <c r="AD693" s="0">
        <f>IF(AND('PEGAR'!O193=0,'PEGAR'!X193=2),'PEGAR'!C193&amp;"","")</f>
      </c>
      <c r="AE693" s="0">
        <f>IF(AND('PEGAR'!O193=0,'PEGAR'!X193=2),'PEGAR'!D193&amp;"","")</f>
      </c>
      <c r="AF693" s="0">
        <f>IF(AND('PEGAR'!O193=0,'PEGAR'!X193=2),'PEGAR'!N193,"")</f>
      </c>
      <c r="AG693" s="0" t="n">
        <f>IF(AND('PEGAR'!O193=0,'PEGAR'!X193=2),2,0)</f>
        <v>0</v>
      </c>
      <c r="AH693" s="0">
        <f>IF(AG693&gt;0,COUNTIFS($AG$13:AG693,"&gt;0"),"")</f>
      </c>
    </row>
    <row r="694">
      <c r="AB694" s="0">
        <f>IF(AND('PEGAR'!O194=0,'PEGAR'!X194=2),"Fila 194","")</f>
      </c>
      <c r="AC694" s="0">
        <f>IF(AND('PEGAR'!O194=0,'PEGAR'!X194=2),'PEGAR'!B194&amp;"","")</f>
      </c>
      <c r="AD694" s="0">
        <f>IF(AND('PEGAR'!O194=0,'PEGAR'!X194=2),'PEGAR'!C194&amp;"","")</f>
      </c>
      <c r="AE694" s="0">
        <f>IF(AND('PEGAR'!O194=0,'PEGAR'!X194=2),'PEGAR'!D194&amp;"","")</f>
      </c>
      <c r="AF694" s="0">
        <f>IF(AND('PEGAR'!O194=0,'PEGAR'!X194=2),'PEGAR'!N194,"")</f>
      </c>
      <c r="AG694" s="0" t="n">
        <f>IF(AND('PEGAR'!O194=0,'PEGAR'!X194=2),2,0)</f>
        <v>0</v>
      </c>
      <c r="AH694" s="0">
        <f>IF(AG694&gt;0,COUNTIFS($AG$13:AG694,"&gt;0"),"")</f>
      </c>
    </row>
    <row r="695">
      <c r="AB695" s="0">
        <f>IF(AND('PEGAR'!O195=0,'PEGAR'!X195=2),"Fila 195","")</f>
      </c>
      <c r="AC695" s="0">
        <f>IF(AND('PEGAR'!O195=0,'PEGAR'!X195=2),'PEGAR'!B195&amp;"","")</f>
      </c>
      <c r="AD695" s="0">
        <f>IF(AND('PEGAR'!O195=0,'PEGAR'!X195=2),'PEGAR'!C195&amp;"","")</f>
      </c>
      <c r="AE695" s="0">
        <f>IF(AND('PEGAR'!O195=0,'PEGAR'!X195=2),'PEGAR'!D195&amp;"","")</f>
      </c>
      <c r="AF695" s="0">
        <f>IF(AND('PEGAR'!O195=0,'PEGAR'!X195=2),'PEGAR'!N195,"")</f>
      </c>
      <c r="AG695" s="0" t="n">
        <f>IF(AND('PEGAR'!O195=0,'PEGAR'!X195=2),2,0)</f>
        <v>0</v>
      </c>
      <c r="AH695" s="0">
        <f>IF(AG695&gt;0,COUNTIFS($AG$13:AG695,"&gt;0"),"")</f>
      </c>
    </row>
    <row r="696">
      <c r="AB696" s="0">
        <f>IF(AND('PEGAR'!O196=0,'PEGAR'!X196=2),"Fila 196","")</f>
      </c>
      <c r="AC696" s="0">
        <f>IF(AND('PEGAR'!O196=0,'PEGAR'!X196=2),'PEGAR'!B196&amp;"","")</f>
      </c>
      <c r="AD696" s="0">
        <f>IF(AND('PEGAR'!O196=0,'PEGAR'!X196=2),'PEGAR'!C196&amp;"","")</f>
      </c>
      <c r="AE696" s="0">
        <f>IF(AND('PEGAR'!O196=0,'PEGAR'!X196=2),'PEGAR'!D196&amp;"","")</f>
      </c>
      <c r="AF696" s="0">
        <f>IF(AND('PEGAR'!O196=0,'PEGAR'!X196=2),'PEGAR'!N196,"")</f>
      </c>
      <c r="AG696" s="0" t="n">
        <f>IF(AND('PEGAR'!O196=0,'PEGAR'!X196=2),2,0)</f>
        <v>0</v>
      </c>
      <c r="AH696" s="0">
        <f>IF(AG696&gt;0,COUNTIFS($AG$13:AG696,"&gt;0"),"")</f>
      </c>
    </row>
    <row r="697">
      <c r="AB697" s="0">
        <f>IF(AND('PEGAR'!O197=0,'PEGAR'!X197=2),"Fila 197","")</f>
      </c>
      <c r="AC697" s="0">
        <f>IF(AND('PEGAR'!O197=0,'PEGAR'!X197=2),'PEGAR'!B197&amp;"","")</f>
      </c>
      <c r="AD697" s="0">
        <f>IF(AND('PEGAR'!O197=0,'PEGAR'!X197=2),'PEGAR'!C197&amp;"","")</f>
      </c>
      <c r="AE697" s="0">
        <f>IF(AND('PEGAR'!O197=0,'PEGAR'!X197=2),'PEGAR'!D197&amp;"","")</f>
      </c>
      <c r="AF697" s="0">
        <f>IF(AND('PEGAR'!O197=0,'PEGAR'!X197=2),'PEGAR'!N197,"")</f>
      </c>
      <c r="AG697" s="0" t="n">
        <f>IF(AND('PEGAR'!O197=0,'PEGAR'!X197=2),2,0)</f>
        <v>0</v>
      </c>
      <c r="AH697" s="0">
        <f>IF(AG697&gt;0,COUNTIFS($AG$13:AG697,"&gt;0"),"")</f>
      </c>
    </row>
    <row r="698">
      <c r="AB698" s="0">
        <f>IF(AND('PEGAR'!O198=0,'PEGAR'!X198=2),"Fila 198","")</f>
      </c>
      <c r="AC698" s="0">
        <f>IF(AND('PEGAR'!O198=0,'PEGAR'!X198=2),'PEGAR'!B198&amp;"","")</f>
      </c>
      <c r="AD698" s="0">
        <f>IF(AND('PEGAR'!O198=0,'PEGAR'!X198=2),'PEGAR'!C198&amp;"","")</f>
      </c>
      <c r="AE698" s="0">
        <f>IF(AND('PEGAR'!O198=0,'PEGAR'!X198=2),'PEGAR'!D198&amp;"","")</f>
      </c>
      <c r="AF698" s="0">
        <f>IF(AND('PEGAR'!O198=0,'PEGAR'!X198=2),'PEGAR'!N198,"")</f>
      </c>
      <c r="AG698" s="0" t="n">
        <f>IF(AND('PEGAR'!O198=0,'PEGAR'!X198=2),2,0)</f>
        <v>0</v>
      </c>
      <c r="AH698" s="0">
        <f>IF(AG698&gt;0,COUNTIFS($AG$13:AG698,"&gt;0"),"")</f>
      </c>
    </row>
    <row r="699">
      <c r="AB699" s="0">
        <f>IF(AND('PEGAR'!O199=0,'PEGAR'!X199=2),"Fila 199","")</f>
      </c>
      <c r="AC699" s="0">
        <f>IF(AND('PEGAR'!O199=0,'PEGAR'!X199=2),'PEGAR'!B199&amp;"","")</f>
      </c>
      <c r="AD699" s="0">
        <f>IF(AND('PEGAR'!O199=0,'PEGAR'!X199=2),'PEGAR'!C199&amp;"","")</f>
      </c>
      <c r="AE699" s="0">
        <f>IF(AND('PEGAR'!O199=0,'PEGAR'!X199=2),'PEGAR'!D199&amp;"","")</f>
      </c>
      <c r="AF699" s="0">
        <f>IF(AND('PEGAR'!O199=0,'PEGAR'!X199=2),'PEGAR'!N199,"")</f>
      </c>
      <c r="AG699" s="0" t="n">
        <f>IF(AND('PEGAR'!O199=0,'PEGAR'!X199=2),2,0)</f>
        <v>0</v>
      </c>
      <c r="AH699" s="0">
        <f>IF(AG699&gt;0,COUNTIFS($AG$13:AG699,"&gt;0"),"")</f>
      </c>
    </row>
    <row r="700">
      <c r="AB700" s="0">
        <f>IF(AND('PEGAR'!O200=0,'PEGAR'!X200=2),"Fila 200","")</f>
      </c>
      <c r="AC700" s="0">
        <f>IF(AND('PEGAR'!O200=0,'PEGAR'!X200=2),'PEGAR'!B200&amp;"","")</f>
      </c>
      <c r="AD700" s="0">
        <f>IF(AND('PEGAR'!O200=0,'PEGAR'!X200=2),'PEGAR'!C200&amp;"","")</f>
      </c>
      <c r="AE700" s="0">
        <f>IF(AND('PEGAR'!O200=0,'PEGAR'!X200=2),'PEGAR'!D200&amp;"","")</f>
      </c>
      <c r="AF700" s="0">
        <f>IF(AND('PEGAR'!O200=0,'PEGAR'!X200=2),'PEGAR'!N200,"")</f>
      </c>
      <c r="AG700" s="0" t="n">
        <f>IF(AND('PEGAR'!O200=0,'PEGAR'!X200=2),2,0)</f>
        <v>0</v>
      </c>
      <c r="AH700" s="0">
        <f>IF(AG700&gt;0,COUNTIFS($AG$13:AG700,"&gt;0"),"")</f>
      </c>
    </row>
    <row r="701">
      <c r="AB701" s="0">
        <f>IF(AND('PEGAR'!O201=0,'PEGAR'!X201=2),"Fila 201","")</f>
      </c>
      <c r="AC701" s="0">
        <f>IF(AND('PEGAR'!O201=0,'PEGAR'!X201=2),'PEGAR'!B201&amp;"","")</f>
      </c>
      <c r="AD701" s="0">
        <f>IF(AND('PEGAR'!O201=0,'PEGAR'!X201=2),'PEGAR'!C201&amp;"","")</f>
      </c>
      <c r="AE701" s="0">
        <f>IF(AND('PEGAR'!O201=0,'PEGAR'!X201=2),'PEGAR'!D201&amp;"","")</f>
      </c>
      <c r="AF701" s="0">
        <f>IF(AND('PEGAR'!O201=0,'PEGAR'!X201=2),'PEGAR'!N201,"")</f>
      </c>
      <c r="AG701" s="0" t="n">
        <f>IF(AND('PEGAR'!O201=0,'PEGAR'!X201=2),2,0)</f>
        <v>0</v>
      </c>
      <c r="AH701" s="0">
        <f>IF(AG701&gt;0,COUNTIFS($AG$13:AG701,"&gt;0"),"")</f>
      </c>
    </row>
    <row r="702">
      <c r="AB702" s="0">
        <f>IF(AND('PEGAR'!O202=0,'PEGAR'!X202=2),"Fila 202","")</f>
      </c>
      <c r="AC702" s="0">
        <f>IF(AND('PEGAR'!O202=0,'PEGAR'!X202=2),'PEGAR'!B202&amp;"","")</f>
      </c>
      <c r="AD702" s="0">
        <f>IF(AND('PEGAR'!O202=0,'PEGAR'!X202=2),'PEGAR'!C202&amp;"","")</f>
      </c>
      <c r="AE702" s="0">
        <f>IF(AND('PEGAR'!O202=0,'PEGAR'!X202=2),'PEGAR'!D202&amp;"","")</f>
      </c>
      <c r="AF702" s="0">
        <f>IF(AND('PEGAR'!O202=0,'PEGAR'!X202=2),'PEGAR'!N202,"")</f>
      </c>
      <c r="AG702" s="0" t="n">
        <f>IF(AND('PEGAR'!O202=0,'PEGAR'!X202=2),2,0)</f>
        <v>0</v>
      </c>
      <c r="AH702" s="0">
        <f>IF(AG702&gt;0,COUNTIFS($AG$13:AG702,"&gt;0"),"")</f>
      </c>
    </row>
    <row r="703">
      <c r="AB703" s="0">
        <f>IF(AND('PEGAR'!O203=0,'PEGAR'!X203=2),"Fila 203","")</f>
      </c>
      <c r="AC703" s="0">
        <f>IF(AND('PEGAR'!O203=0,'PEGAR'!X203=2),'PEGAR'!B203&amp;"","")</f>
      </c>
      <c r="AD703" s="0">
        <f>IF(AND('PEGAR'!O203=0,'PEGAR'!X203=2),'PEGAR'!C203&amp;"","")</f>
      </c>
      <c r="AE703" s="0">
        <f>IF(AND('PEGAR'!O203=0,'PEGAR'!X203=2),'PEGAR'!D203&amp;"","")</f>
      </c>
      <c r="AF703" s="0">
        <f>IF(AND('PEGAR'!O203=0,'PEGAR'!X203=2),'PEGAR'!N203,"")</f>
      </c>
      <c r="AG703" s="0" t="n">
        <f>IF(AND('PEGAR'!O203=0,'PEGAR'!X203=2),2,0)</f>
        <v>0</v>
      </c>
      <c r="AH703" s="0">
        <f>IF(AG703&gt;0,COUNTIFS($AG$13:AG703,"&gt;0"),"")</f>
      </c>
    </row>
    <row r="704">
      <c r="AB704" s="0">
        <f>IF(AND('PEGAR'!O204=0,'PEGAR'!X204=2),"Fila 204","")</f>
      </c>
      <c r="AC704" s="0">
        <f>IF(AND('PEGAR'!O204=0,'PEGAR'!X204=2),'PEGAR'!B204&amp;"","")</f>
      </c>
      <c r="AD704" s="0">
        <f>IF(AND('PEGAR'!O204=0,'PEGAR'!X204=2),'PEGAR'!C204&amp;"","")</f>
      </c>
      <c r="AE704" s="0">
        <f>IF(AND('PEGAR'!O204=0,'PEGAR'!X204=2),'PEGAR'!D204&amp;"","")</f>
      </c>
      <c r="AF704" s="0">
        <f>IF(AND('PEGAR'!O204=0,'PEGAR'!X204=2),'PEGAR'!N204,"")</f>
      </c>
      <c r="AG704" s="0" t="n">
        <f>IF(AND('PEGAR'!O204=0,'PEGAR'!X204=2),2,0)</f>
        <v>0</v>
      </c>
      <c r="AH704" s="0">
        <f>IF(AG704&gt;0,COUNTIFS($AG$13:AG704,"&gt;0"),"")</f>
      </c>
    </row>
    <row r="705">
      <c r="AB705" s="0">
        <f>IF(AND('PEGAR'!O205=0,'PEGAR'!X205=2),"Fila 205","")</f>
      </c>
      <c r="AC705" s="0">
        <f>IF(AND('PEGAR'!O205=0,'PEGAR'!X205=2),'PEGAR'!B205&amp;"","")</f>
      </c>
      <c r="AD705" s="0">
        <f>IF(AND('PEGAR'!O205=0,'PEGAR'!X205=2),'PEGAR'!C205&amp;"","")</f>
      </c>
      <c r="AE705" s="0">
        <f>IF(AND('PEGAR'!O205=0,'PEGAR'!X205=2),'PEGAR'!D205&amp;"","")</f>
      </c>
      <c r="AF705" s="0">
        <f>IF(AND('PEGAR'!O205=0,'PEGAR'!X205=2),'PEGAR'!N205,"")</f>
      </c>
      <c r="AG705" s="0" t="n">
        <f>IF(AND('PEGAR'!O205=0,'PEGAR'!X205=2),2,0)</f>
        <v>0</v>
      </c>
      <c r="AH705" s="0">
        <f>IF(AG705&gt;0,COUNTIFS($AG$13:AG705,"&gt;0"),"")</f>
      </c>
    </row>
    <row r="706">
      <c r="AB706" s="0">
        <f>IF(AND('PEGAR'!O206=0,'PEGAR'!X206=2),"Fila 206","")</f>
      </c>
      <c r="AC706" s="0">
        <f>IF(AND('PEGAR'!O206=0,'PEGAR'!X206=2),'PEGAR'!B206&amp;"","")</f>
      </c>
      <c r="AD706" s="0">
        <f>IF(AND('PEGAR'!O206=0,'PEGAR'!X206=2),'PEGAR'!C206&amp;"","")</f>
      </c>
      <c r="AE706" s="0">
        <f>IF(AND('PEGAR'!O206=0,'PEGAR'!X206=2),'PEGAR'!D206&amp;"","")</f>
      </c>
      <c r="AF706" s="0">
        <f>IF(AND('PEGAR'!O206=0,'PEGAR'!X206=2),'PEGAR'!N206,"")</f>
      </c>
      <c r="AG706" s="0" t="n">
        <f>IF(AND('PEGAR'!O206=0,'PEGAR'!X206=2),2,0)</f>
        <v>0</v>
      </c>
      <c r="AH706" s="0">
        <f>IF(AG706&gt;0,COUNTIFS($AG$13:AG706,"&gt;0"),"")</f>
      </c>
    </row>
    <row r="707">
      <c r="AB707" s="0">
        <f>IF(AND('PEGAR'!O207=0,'PEGAR'!X207=2),"Fila 207","")</f>
      </c>
      <c r="AC707" s="0">
        <f>IF(AND('PEGAR'!O207=0,'PEGAR'!X207=2),'PEGAR'!B207&amp;"","")</f>
      </c>
      <c r="AD707" s="0">
        <f>IF(AND('PEGAR'!O207=0,'PEGAR'!X207=2),'PEGAR'!C207&amp;"","")</f>
      </c>
      <c r="AE707" s="0">
        <f>IF(AND('PEGAR'!O207=0,'PEGAR'!X207=2),'PEGAR'!D207&amp;"","")</f>
      </c>
      <c r="AF707" s="0">
        <f>IF(AND('PEGAR'!O207=0,'PEGAR'!X207=2),'PEGAR'!N207,"")</f>
      </c>
      <c r="AG707" s="0" t="n">
        <f>IF(AND('PEGAR'!O207=0,'PEGAR'!X207=2),2,0)</f>
        <v>0</v>
      </c>
      <c r="AH707" s="0">
        <f>IF(AG707&gt;0,COUNTIFS($AG$13:AG707,"&gt;0"),"")</f>
      </c>
    </row>
    <row r="708">
      <c r="AB708" s="0">
        <f>IF(AND('PEGAR'!O208=0,'PEGAR'!X208=2),"Fila 208","")</f>
      </c>
      <c r="AC708" s="0">
        <f>IF(AND('PEGAR'!O208=0,'PEGAR'!X208=2),'PEGAR'!B208&amp;"","")</f>
      </c>
      <c r="AD708" s="0">
        <f>IF(AND('PEGAR'!O208=0,'PEGAR'!X208=2),'PEGAR'!C208&amp;"","")</f>
      </c>
      <c r="AE708" s="0">
        <f>IF(AND('PEGAR'!O208=0,'PEGAR'!X208=2),'PEGAR'!D208&amp;"","")</f>
      </c>
      <c r="AF708" s="0">
        <f>IF(AND('PEGAR'!O208=0,'PEGAR'!X208=2),'PEGAR'!N208,"")</f>
      </c>
      <c r="AG708" s="0" t="n">
        <f>IF(AND('PEGAR'!O208=0,'PEGAR'!X208=2),2,0)</f>
        <v>0</v>
      </c>
      <c r="AH708" s="0">
        <f>IF(AG708&gt;0,COUNTIFS($AG$13:AG708,"&gt;0"),"")</f>
      </c>
    </row>
    <row r="709">
      <c r="AB709" s="0">
        <f>IF(AND('PEGAR'!O209=0,'PEGAR'!X209=2),"Fila 209","")</f>
      </c>
      <c r="AC709" s="0">
        <f>IF(AND('PEGAR'!O209=0,'PEGAR'!X209=2),'PEGAR'!B209&amp;"","")</f>
      </c>
      <c r="AD709" s="0">
        <f>IF(AND('PEGAR'!O209=0,'PEGAR'!X209=2),'PEGAR'!C209&amp;"","")</f>
      </c>
      <c r="AE709" s="0">
        <f>IF(AND('PEGAR'!O209=0,'PEGAR'!X209=2),'PEGAR'!D209&amp;"","")</f>
      </c>
      <c r="AF709" s="0">
        <f>IF(AND('PEGAR'!O209=0,'PEGAR'!X209=2),'PEGAR'!N209,"")</f>
      </c>
      <c r="AG709" s="0" t="n">
        <f>IF(AND('PEGAR'!O209=0,'PEGAR'!X209=2),2,0)</f>
        <v>0</v>
      </c>
      <c r="AH709" s="0">
        <f>IF(AG709&gt;0,COUNTIFS($AG$13:AG709,"&gt;0"),"")</f>
      </c>
    </row>
    <row r="710">
      <c r="AB710" s="0">
        <f>IF(AND('PEGAR'!O210=0,'PEGAR'!X210=2),"Fila 210","")</f>
      </c>
      <c r="AC710" s="0">
        <f>IF(AND('PEGAR'!O210=0,'PEGAR'!X210=2),'PEGAR'!B210&amp;"","")</f>
      </c>
      <c r="AD710" s="0">
        <f>IF(AND('PEGAR'!O210=0,'PEGAR'!X210=2),'PEGAR'!C210&amp;"","")</f>
      </c>
      <c r="AE710" s="0">
        <f>IF(AND('PEGAR'!O210=0,'PEGAR'!X210=2),'PEGAR'!D210&amp;"","")</f>
      </c>
      <c r="AF710" s="0">
        <f>IF(AND('PEGAR'!O210=0,'PEGAR'!X210=2),'PEGAR'!N210,"")</f>
      </c>
      <c r="AG710" s="0" t="n">
        <f>IF(AND('PEGAR'!O210=0,'PEGAR'!X210=2),2,0)</f>
        <v>0</v>
      </c>
      <c r="AH710" s="0">
        <f>IF(AG710&gt;0,COUNTIFS($AG$13:AG710,"&gt;0"),"")</f>
      </c>
    </row>
    <row r="711">
      <c r="AB711" s="0">
        <f>IF(AND('PEGAR'!O211=0,'PEGAR'!X211=2),"Fila 211","")</f>
      </c>
      <c r="AC711" s="0">
        <f>IF(AND('PEGAR'!O211=0,'PEGAR'!X211=2),'PEGAR'!B211&amp;"","")</f>
      </c>
      <c r="AD711" s="0">
        <f>IF(AND('PEGAR'!O211=0,'PEGAR'!X211=2),'PEGAR'!C211&amp;"","")</f>
      </c>
      <c r="AE711" s="0">
        <f>IF(AND('PEGAR'!O211=0,'PEGAR'!X211=2),'PEGAR'!D211&amp;"","")</f>
      </c>
      <c r="AF711" s="0">
        <f>IF(AND('PEGAR'!O211=0,'PEGAR'!X211=2),'PEGAR'!N211,"")</f>
      </c>
      <c r="AG711" s="0" t="n">
        <f>IF(AND('PEGAR'!O211=0,'PEGAR'!X211=2),2,0)</f>
        <v>0</v>
      </c>
      <c r="AH711" s="0">
        <f>IF(AG711&gt;0,COUNTIFS($AG$13:AG711,"&gt;0"),"")</f>
      </c>
    </row>
    <row r="712">
      <c r="AB712" s="0">
        <f>IF(AND('PEGAR'!O212=0,'PEGAR'!X212=2),"Fila 212","")</f>
      </c>
      <c r="AC712" s="0">
        <f>IF(AND('PEGAR'!O212=0,'PEGAR'!X212=2),'PEGAR'!B212&amp;"","")</f>
      </c>
      <c r="AD712" s="0">
        <f>IF(AND('PEGAR'!O212=0,'PEGAR'!X212=2),'PEGAR'!C212&amp;"","")</f>
      </c>
      <c r="AE712" s="0">
        <f>IF(AND('PEGAR'!O212=0,'PEGAR'!X212=2),'PEGAR'!D212&amp;"","")</f>
      </c>
      <c r="AF712" s="0">
        <f>IF(AND('PEGAR'!O212=0,'PEGAR'!X212=2),'PEGAR'!N212,"")</f>
      </c>
      <c r="AG712" s="0" t="n">
        <f>IF(AND('PEGAR'!O212=0,'PEGAR'!X212=2),2,0)</f>
        <v>0</v>
      </c>
      <c r="AH712" s="0">
        <f>IF(AG712&gt;0,COUNTIFS($AG$13:AG712,"&gt;0"),"")</f>
      </c>
    </row>
    <row r="713">
      <c r="AB713" s="0">
        <f>IF(AND('PEGAR'!O213=0,'PEGAR'!X213=2),"Fila 213","")</f>
      </c>
      <c r="AC713" s="0">
        <f>IF(AND('PEGAR'!O213=0,'PEGAR'!X213=2),'PEGAR'!B213&amp;"","")</f>
      </c>
      <c r="AD713" s="0">
        <f>IF(AND('PEGAR'!O213=0,'PEGAR'!X213=2),'PEGAR'!C213&amp;"","")</f>
      </c>
      <c r="AE713" s="0">
        <f>IF(AND('PEGAR'!O213=0,'PEGAR'!X213=2),'PEGAR'!D213&amp;"","")</f>
      </c>
      <c r="AF713" s="0">
        <f>IF(AND('PEGAR'!O213=0,'PEGAR'!X213=2),'PEGAR'!N213,"")</f>
      </c>
      <c r="AG713" s="0" t="n">
        <f>IF(AND('PEGAR'!O213=0,'PEGAR'!X213=2),2,0)</f>
        <v>0</v>
      </c>
      <c r="AH713" s="0">
        <f>IF(AG713&gt;0,COUNTIFS($AG$13:AG713,"&gt;0"),"")</f>
      </c>
    </row>
    <row r="714">
      <c r="AB714" s="0">
        <f>IF(AND('PEGAR'!O214=0,'PEGAR'!X214=2),"Fila 214","")</f>
      </c>
      <c r="AC714" s="0">
        <f>IF(AND('PEGAR'!O214=0,'PEGAR'!X214=2),'PEGAR'!B214&amp;"","")</f>
      </c>
      <c r="AD714" s="0">
        <f>IF(AND('PEGAR'!O214=0,'PEGAR'!X214=2),'PEGAR'!C214&amp;"","")</f>
      </c>
      <c r="AE714" s="0">
        <f>IF(AND('PEGAR'!O214=0,'PEGAR'!X214=2),'PEGAR'!D214&amp;"","")</f>
      </c>
      <c r="AF714" s="0">
        <f>IF(AND('PEGAR'!O214=0,'PEGAR'!X214=2),'PEGAR'!N214,"")</f>
      </c>
      <c r="AG714" s="0" t="n">
        <f>IF(AND('PEGAR'!O214=0,'PEGAR'!X214=2),2,0)</f>
        <v>0</v>
      </c>
      <c r="AH714" s="0">
        <f>IF(AG714&gt;0,COUNTIFS($AG$13:AG714,"&gt;0"),"")</f>
      </c>
    </row>
    <row r="715">
      <c r="AB715" s="0">
        <f>IF(AND('PEGAR'!O215=0,'PEGAR'!X215=2),"Fila 215","")</f>
      </c>
      <c r="AC715" s="0">
        <f>IF(AND('PEGAR'!O215=0,'PEGAR'!X215=2),'PEGAR'!B215&amp;"","")</f>
      </c>
      <c r="AD715" s="0">
        <f>IF(AND('PEGAR'!O215=0,'PEGAR'!X215=2),'PEGAR'!C215&amp;"","")</f>
      </c>
      <c r="AE715" s="0">
        <f>IF(AND('PEGAR'!O215=0,'PEGAR'!X215=2),'PEGAR'!D215&amp;"","")</f>
      </c>
      <c r="AF715" s="0">
        <f>IF(AND('PEGAR'!O215=0,'PEGAR'!X215=2),'PEGAR'!N215,"")</f>
      </c>
      <c r="AG715" s="0" t="n">
        <f>IF(AND('PEGAR'!O215=0,'PEGAR'!X215=2),2,0)</f>
        <v>0</v>
      </c>
      <c r="AH715" s="0">
        <f>IF(AG715&gt;0,COUNTIFS($AG$13:AG715,"&gt;0"),"")</f>
      </c>
    </row>
    <row r="716">
      <c r="AB716" s="0">
        <f>IF(AND('PEGAR'!O216=0,'PEGAR'!X216=2),"Fila 216","")</f>
      </c>
      <c r="AC716" s="0">
        <f>IF(AND('PEGAR'!O216=0,'PEGAR'!X216=2),'PEGAR'!B216&amp;"","")</f>
      </c>
      <c r="AD716" s="0">
        <f>IF(AND('PEGAR'!O216=0,'PEGAR'!X216=2),'PEGAR'!C216&amp;"","")</f>
      </c>
      <c r="AE716" s="0">
        <f>IF(AND('PEGAR'!O216=0,'PEGAR'!X216=2),'PEGAR'!D216&amp;"","")</f>
      </c>
      <c r="AF716" s="0">
        <f>IF(AND('PEGAR'!O216=0,'PEGAR'!X216=2),'PEGAR'!N216,"")</f>
      </c>
      <c r="AG716" s="0" t="n">
        <f>IF(AND('PEGAR'!O216=0,'PEGAR'!X216=2),2,0)</f>
        <v>0</v>
      </c>
      <c r="AH716" s="0">
        <f>IF(AG716&gt;0,COUNTIFS($AG$13:AG716,"&gt;0"),"")</f>
      </c>
    </row>
    <row r="717">
      <c r="AB717" s="0">
        <f>IF(AND('PEGAR'!O217=0,'PEGAR'!X217=2),"Fila 217","")</f>
      </c>
      <c r="AC717" s="0">
        <f>IF(AND('PEGAR'!O217=0,'PEGAR'!X217=2),'PEGAR'!B217&amp;"","")</f>
      </c>
      <c r="AD717" s="0">
        <f>IF(AND('PEGAR'!O217=0,'PEGAR'!X217=2),'PEGAR'!C217&amp;"","")</f>
      </c>
      <c r="AE717" s="0">
        <f>IF(AND('PEGAR'!O217=0,'PEGAR'!X217=2),'PEGAR'!D217&amp;"","")</f>
      </c>
      <c r="AF717" s="0">
        <f>IF(AND('PEGAR'!O217=0,'PEGAR'!X217=2),'PEGAR'!N217,"")</f>
      </c>
      <c r="AG717" s="0" t="n">
        <f>IF(AND('PEGAR'!O217=0,'PEGAR'!X217=2),2,0)</f>
        <v>0</v>
      </c>
      <c r="AH717" s="0">
        <f>IF(AG717&gt;0,COUNTIFS($AG$13:AG717,"&gt;0"),"")</f>
      </c>
    </row>
    <row r="718">
      <c r="AB718" s="0">
        <f>IF(AND('PEGAR'!O218=0,'PEGAR'!X218=2),"Fila 218","")</f>
      </c>
      <c r="AC718" s="0">
        <f>IF(AND('PEGAR'!O218=0,'PEGAR'!X218=2),'PEGAR'!B218&amp;"","")</f>
      </c>
      <c r="AD718" s="0">
        <f>IF(AND('PEGAR'!O218=0,'PEGAR'!X218=2),'PEGAR'!C218&amp;"","")</f>
      </c>
      <c r="AE718" s="0">
        <f>IF(AND('PEGAR'!O218=0,'PEGAR'!X218=2),'PEGAR'!D218&amp;"","")</f>
      </c>
      <c r="AF718" s="0">
        <f>IF(AND('PEGAR'!O218=0,'PEGAR'!X218=2),'PEGAR'!N218,"")</f>
      </c>
      <c r="AG718" s="0" t="n">
        <f>IF(AND('PEGAR'!O218=0,'PEGAR'!X218=2),2,0)</f>
        <v>0</v>
      </c>
      <c r="AH718" s="0">
        <f>IF(AG718&gt;0,COUNTIFS($AG$13:AG718,"&gt;0"),"")</f>
      </c>
    </row>
    <row r="719">
      <c r="AB719" s="0">
        <f>IF(AND('PEGAR'!O219=0,'PEGAR'!X219=2),"Fila 219","")</f>
      </c>
      <c r="AC719" s="0">
        <f>IF(AND('PEGAR'!O219=0,'PEGAR'!X219=2),'PEGAR'!B219&amp;"","")</f>
      </c>
      <c r="AD719" s="0">
        <f>IF(AND('PEGAR'!O219=0,'PEGAR'!X219=2),'PEGAR'!C219&amp;"","")</f>
      </c>
      <c r="AE719" s="0">
        <f>IF(AND('PEGAR'!O219=0,'PEGAR'!X219=2),'PEGAR'!D219&amp;"","")</f>
      </c>
      <c r="AF719" s="0">
        <f>IF(AND('PEGAR'!O219=0,'PEGAR'!X219=2),'PEGAR'!N219,"")</f>
      </c>
      <c r="AG719" s="0" t="n">
        <f>IF(AND('PEGAR'!O219=0,'PEGAR'!X219=2),2,0)</f>
        <v>0</v>
      </c>
      <c r="AH719" s="0">
        <f>IF(AG719&gt;0,COUNTIFS($AG$13:AG719,"&gt;0"),"")</f>
      </c>
    </row>
    <row r="720">
      <c r="AB720" s="0">
        <f>IF(AND('PEGAR'!O220=0,'PEGAR'!X220=2),"Fila 220","")</f>
      </c>
      <c r="AC720" s="0">
        <f>IF(AND('PEGAR'!O220=0,'PEGAR'!X220=2),'PEGAR'!B220&amp;"","")</f>
      </c>
      <c r="AD720" s="0">
        <f>IF(AND('PEGAR'!O220=0,'PEGAR'!X220=2),'PEGAR'!C220&amp;"","")</f>
      </c>
      <c r="AE720" s="0">
        <f>IF(AND('PEGAR'!O220=0,'PEGAR'!X220=2),'PEGAR'!D220&amp;"","")</f>
      </c>
      <c r="AF720" s="0">
        <f>IF(AND('PEGAR'!O220=0,'PEGAR'!X220=2),'PEGAR'!N220,"")</f>
      </c>
      <c r="AG720" s="0" t="n">
        <f>IF(AND('PEGAR'!O220=0,'PEGAR'!X220=2),2,0)</f>
        <v>0</v>
      </c>
      <c r="AH720" s="0">
        <f>IF(AG720&gt;0,COUNTIFS($AG$13:AG720,"&gt;0"),"")</f>
      </c>
    </row>
    <row r="721">
      <c r="AB721" s="0">
        <f>IF(AND('PEGAR'!O221=0,'PEGAR'!X221=2),"Fila 221","")</f>
      </c>
      <c r="AC721" s="0">
        <f>IF(AND('PEGAR'!O221=0,'PEGAR'!X221=2),'PEGAR'!B221&amp;"","")</f>
      </c>
      <c r="AD721" s="0">
        <f>IF(AND('PEGAR'!O221=0,'PEGAR'!X221=2),'PEGAR'!C221&amp;"","")</f>
      </c>
      <c r="AE721" s="0">
        <f>IF(AND('PEGAR'!O221=0,'PEGAR'!X221=2),'PEGAR'!D221&amp;"","")</f>
      </c>
      <c r="AF721" s="0">
        <f>IF(AND('PEGAR'!O221=0,'PEGAR'!X221=2),'PEGAR'!N221,"")</f>
      </c>
      <c r="AG721" s="0" t="n">
        <f>IF(AND('PEGAR'!O221=0,'PEGAR'!X221=2),2,0)</f>
        <v>0</v>
      </c>
      <c r="AH721" s="0">
        <f>IF(AG721&gt;0,COUNTIFS($AG$13:AG721,"&gt;0"),"")</f>
      </c>
    </row>
    <row r="722">
      <c r="AB722" s="0">
        <f>IF(AND('PEGAR'!O222=0,'PEGAR'!X222=2),"Fila 222","")</f>
      </c>
      <c r="AC722" s="0">
        <f>IF(AND('PEGAR'!O222=0,'PEGAR'!X222=2),'PEGAR'!B222&amp;"","")</f>
      </c>
      <c r="AD722" s="0">
        <f>IF(AND('PEGAR'!O222=0,'PEGAR'!X222=2),'PEGAR'!C222&amp;"","")</f>
      </c>
      <c r="AE722" s="0">
        <f>IF(AND('PEGAR'!O222=0,'PEGAR'!X222=2),'PEGAR'!D222&amp;"","")</f>
      </c>
      <c r="AF722" s="0">
        <f>IF(AND('PEGAR'!O222=0,'PEGAR'!X222=2),'PEGAR'!N222,"")</f>
      </c>
      <c r="AG722" s="0" t="n">
        <f>IF(AND('PEGAR'!O222=0,'PEGAR'!X222=2),2,0)</f>
        <v>0</v>
      </c>
      <c r="AH722" s="0">
        <f>IF(AG722&gt;0,COUNTIFS($AG$13:AG722,"&gt;0"),"")</f>
      </c>
    </row>
    <row r="723">
      <c r="AB723" s="0">
        <f>IF(AND('PEGAR'!O223=0,'PEGAR'!X223=2),"Fila 223","")</f>
      </c>
      <c r="AC723" s="0">
        <f>IF(AND('PEGAR'!O223=0,'PEGAR'!X223=2),'PEGAR'!B223&amp;"","")</f>
      </c>
      <c r="AD723" s="0">
        <f>IF(AND('PEGAR'!O223=0,'PEGAR'!X223=2),'PEGAR'!C223&amp;"","")</f>
      </c>
      <c r="AE723" s="0">
        <f>IF(AND('PEGAR'!O223=0,'PEGAR'!X223=2),'PEGAR'!D223&amp;"","")</f>
      </c>
      <c r="AF723" s="0">
        <f>IF(AND('PEGAR'!O223=0,'PEGAR'!X223=2),'PEGAR'!N223,"")</f>
      </c>
      <c r="AG723" s="0" t="n">
        <f>IF(AND('PEGAR'!O223=0,'PEGAR'!X223=2),2,0)</f>
        <v>0</v>
      </c>
      <c r="AH723" s="0">
        <f>IF(AG723&gt;0,COUNTIFS($AG$13:AG723,"&gt;0"),"")</f>
      </c>
    </row>
    <row r="724">
      <c r="AB724" s="0">
        <f>IF(AND('PEGAR'!O224=0,'PEGAR'!X224=2),"Fila 224","")</f>
      </c>
      <c r="AC724" s="0">
        <f>IF(AND('PEGAR'!O224=0,'PEGAR'!X224=2),'PEGAR'!B224&amp;"","")</f>
      </c>
      <c r="AD724" s="0">
        <f>IF(AND('PEGAR'!O224=0,'PEGAR'!X224=2),'PEGAR'!C224&amp;"","")</f>
      </c>
      <c r="AE724" s="0">
        <f>IF(AND('PEGAR'!O224=0,'PEGAR'!X224=2),'PEGAR'!D224&amp;"","")</f>
      </c>
      <c r="AF724" s="0">
        <f>IF(AND('PEGAR'!O224=0,'PEGAR'!X224=2),'PEGAR'!N224,"")</f>
      </c>
      <c r="AG724" s="0" t="n">
        <f>IF(AND('PEGAR'!O224=0,'PEGAR'!X224=2),2,0)</f>
        <v>0</v>
      </c>
      <c r="AH724" s="0">
        <f>IF(AG724&gt;0,COUNTIFS($AG$13:AG724,"&gt;0"),"")</f>
      </c>
    </row>
    <row r="725">
      <c r="AB725" s="0">
        <f>IF(AND('PEGAR'!O225=0,'PEGAR'!X225=2),"Fila 225","")</f>
      </c>
      <c r="AC725" s="0">
        <f>IF(AND('PEGAR'!O225=0,'PEGAR'!X225=2),'PEGAR'!B225&amp;"","")</f>
      </c>
      <c r="AD725" s="0">
        <f>IF(AND('PEGAR'!O225=0,'PEGAR'!X225=2),'PEGAR'!C225&amp;"","")</f>
      </c>
      <c r="AE725" s="0">
        <f>IF(AND('PEGAR'!O225=0,'PEGAR'!X225=2),'PEGAR'!D225&amp;"","")</f>
      </c>
      <c r="AF725" s="0">
        <f>IF(AND('PEGAR'!O225=0,'PEGAR'!X225=2),'PEGAR'!N225,"")</f>
      </c>
      <c r="AG725" s="0" t="n">
        <f>IF(AND('PEGAR'!O225=0,'PEGAR'!X225=2),2,0)</f>
        <v>0</v>
      </c>
      <c r="AH725" s="0">
        <f>IF(AG725&gt;0,COUNTIFS($AG$13:AG725,"&gt;0"),"")</f>
      </c>
    </row>
    <row r="726">
      <c r="AB726" s="0">
        <f>IF(AND('PEGAR'!O226=0,'PEGAR'!X226=2),"Fila 226","")</f>
      </c>
      <c r="AC726" s="0">
        <f>IF(AND('PEGAR'!O226=0,'PEGAR'!X226=2),'PEGAR'!B226&amp;"","")</f>
      </c>
      <c r="AD726" s="0">
        <f>IF(AND('PEGAR'!O226=0,'PEGAR'!X226=2),'PEGAR'!C226&amp;"","")</f>
      </c>
      <c r="AE726" s="0">
        <f>IF(AND('PEGAR'!O226=0,'PEGAR'!X226=2),'PEGAR'!D226&amp;"","")</f>
      </c>
      <c r="AF726" s="0">
        <f>IF(AND('PEGAR'!O226=0,'PEGAR'!X226=2),'PEGAR'!N226,"")</f>
      </c>
      <c r="AG726" s="0" t="n">
        <f>IF(AND('PEGAR'!O226=0,'PEGAR'!X226=2),2,0)</f>
        <v>0</v>
      </c>
      <c r="AH726" s="0">
        <f>IF(AG726&gt;0,COUNTIFS($AG$13:AG726,"&gt;0"),"")</f>
      </c>
    </row>
    <row r="727">
      <c r="AB727" s="0">
        <f>IF(AND('PEGAR'!O227=0,'PEGAR'!X227=2),"Fila 227","")</f>
      </c>
      <c r="AC727" s="0">
        <f>IF(AND('PEGAR'!O227=0,'PEGAR'!X227=2),'PEGAR'!B227&amp;"","")</f>
      </c>
      <c r="AD727" s="0">
        <f>IF(AND('PEGAR'!O227=0,'PEGAR'!X227=2),'PEGAR'!C227&amp;"","")</f>
      </c>
      <c r="AE727" s="0">
        <f>IF(AND('PEGAR'!O227=0,'PEGAR'!X227=2),'PEGAR'!D227&amp;"","")</f>
      </c>
      <c r="AF727" s="0">
        <f>IF(AND('PEGAR'!O227=0,'PEGAR'!X227=2),'PEGAR'!N227,"")</f>
      </c>
      <c r="AG727" s="0" t="n">
        <f>IF(AND('PEGAR'!O227=0,'PEGAR'!X227=2),2,0)</f>
        <v>0</v>
      </c>
      <c r="AH727" s="0">
        <f>IF(AG727&gt;0,COUNTIFS($AG$13:AG727,"&gt;0"),"")</f>
      </c>
    </row>
    <row r="728">
      <c r="AB728" s="0">
        <f>IF(AND('PEGAR'!O228=0,'PEGAR'!X228=2),"Fila 228","")</f>
      </c>
      <c r="AC728" s="0">
        <f>IF(AND('PEGAR'!O228=0,'PEGAR'!X228=2),'PEGAR'!B228&amp;"","")</f>
      </c>
      <c r="AD728" s="0">
        <f>IF(AND('PEGAR'!O228=0,'PEGAR'!X228=2),'PEGAR'!C228&amp;"","")</f>
      </c>
      <c r="AE728" s="0">
        <f>IF(AND('PEGAR'!O228=0,'PEGAR'!X228=2),'PEGAR'!D228&amp;"","")</f>
      </c>
      <c r="AF728" s="0">
        <f>IF(AND('PEGAR'!O228=0,'PEGAR'!X228=2),'PEGAR'!N228,"")</f>
      </c>
      <c r="AG728" s="0" t="n">
        <f>IF(AND('PEGAR'!O228=0,'PEGAR'!X228=2),2,0)</f>
        <v>0</v>
      </c>
      <c r="AH728" s="0">
        <f>IF(AG728&gt;0,COUNTIFS($AG$13:AG728,"&gt;0"),"")</f>
      </c>
    </row>
    <row r="729">
      <c r="AB729" s="0">
        <f>IF(AND('PEGAR'!O229=0,'PEGAR'!X229=2),"Fila 229","")</f>
      </c>
      <c r="AC729" s="0">
        <f>IF(AND('PEGAR'!O229=0,'PEGAR'!X229=2),'PEGAR'!B229&amp;"","")</f>
      </c>
      <c r="AD729" s="0">
        <f>IF(AND('PEGAR'!O229=0,'PEGAR'!X229=2),'PEGAR'!C229&amp;"","")</f>
      </c>
      <c r="AE729" s="0">
        <f>IF(AND('PEGAR'!O229=0,'PEGAR'!X229=2),'PEGAR'!D229&amp;"","")</f>
      </c>
      <c r="AF729" s="0">
        <f>IF(AND('PEGAR'!O229=0,'PEGAR'!X229=2),'PEGAR'!N229,"")</f>
      </c>
      <c r="AG729" s="0" t="n">
        <f>IF(AND('PEGAR'!O229=0,'PEGAR'!X229=2),2,0)</f>
        <v>0</v>
      </c>
      <c r="AH729" s="0">
        <f>IF(AG729&gt;0,COUNTIFS($AG$13:AG729,"&gt;0"),"")</f>
      </c>
    </row>
    <row r="730">
      <c r="AB730" s="0">
        <f>IF(AND('PEGAR'!O230=0,'PEGAR'!X230=2),"Fila 230","")</f>
      </c>
      <c r="AC730" s="0">
        <f>IF(AND('PEGAR'!O230=0,'PEGAR'!X230=2),'PEGAR'!B230&amp;"","")</f>
      </c>
      <c r="AD730" s="0">
        <f>IF(AND('PEGAR'!O230=0,'PEGAR'!X230=2),'PEGAR'!C230&amp;"","")</f>
      </c>
      <c r="AE730" s="0">
        <f>IF(AND('PEGAR'!O230=0,'PEGAR'!X230=2),'PEGAR'!D230&amp;"","")</f>
      </c>
      <c r="AF730" s="0">
        <f>IF(AND('PEGAR'!O230=0,'PEGAR'!X230=2),'PEGAR'!N230,"")</f>
      </c>
      <c r="AG730" s="0" t="n">
        <f>IF(AND('PEGAR'!O230=0,'PEGAR'!X230=2),2,0)</f>
        <v>0</v>
      </c>
      <c r="AH730" s="0">
        <f>IF(AG730&gt;0,COUNTIFS($AG$13:AG730,"&gt;0"),"")</f>
      </c>
    </row>
    <row r="731">
      <c r="AB731" s="0">
        <f>IF(AND('PEGAR'!O231=0,'PEGAR'!X231=2),"Fila 231","")</f>
      </c>
      <c r="AC731" s="0">
        <f>IF(AND('PEGAR'!O231=0,'PEGAR'!X231=2),'PEGAR'!B231&amp;"","")</f>
      </c>
      <c r="AD731" s="0">
        <f>IF(AND('PEGAR'!O231=0,'PEGAR'!X231=2),'PEGAR'!C231&amp;"","")</f>
      </c>
      <c r="AE731" s="0">
        <f>IF(AND('PEGAR'!O231=0,'PEGAR'!X231=2),'PEGAR'!D231&amp;"","")</f>
      </c>
      <c r="AF731" s="0">
        <f>IF(AND('PEGAR'!O231=0,'PEGAR'!X231=2),'PEGAR'!N231,"")</f>
      </c>
      <c r="AG731" s="0" t="n">
        <f>IF(AND('PEGAR'!O231=0,'PEGAR'!X231=2),2,0)</f>
        <v>0</v>
      </c>
      <c r="AH731" s="0">
        <f>IF(AG731&gt;0,COUNTIFS($AG$13:AG731,"&gt;0"),"")</f>
      </c>
    </row>
    <row r="732">
      <c r="AB732" s="0">
        <f>IF(AND('PEGAR'!O232=0,'PEGAR'!X232=2),"Fila 232","")</f>
      </c>
      <c r="AC732" s="0">
        <f>IF(AND('PEGAR'!O232=0,'PEGAR'!X232=2),'PEGAR'!B232&amp;"","")</f>
      </c>
      <c r="AD732" s="0">
        <f>IF(AND('PEGAR'!O232=0,'PEGAR'!X232=2),'PEGAR'!C232&amp;"","")</f>
      </c>
      <c r="AE732" s="0">
        <f>IF(AND('PEGAR'!O232=0,'PEGAR'!X232=2),'PEGAR'!D232&amp;"","")</f>
      </c>
      <c r="AF732" s="0">
        <f>IF(AND('PEGAR'!O232=0,'PEGAR'!X232=2),'PEGAR'!N232,"")</f>
      </c>
      <c r="AG732" s="0" t="n">
        <f>IF(AND('PEGAR'!O232=0,'PEGAR'!X232=2),2,0)</f>
        <v>0</v>
      </c>
      <c r="AH732" s="0">
        <f>IF(AG732&gt;0,COUNTIFS($AG$13:AG732,"&gt;0"),"")</f>
      </c>
    </row>
    <row r="733">
      <c r="AB733" s="0">
        <f>IF(AND('PEGAR'!O233=0,'PEGAR'!X233=2),"Fila 233","")</f>
      </c>
      <c r="AC733" s="0">
        <f>IF(AND('PEGAR'!O233=0,'PEGAR'!X233=2),'PEGAR'!B233&amp;"","")</f>
      </c>
      <c r="AD733" s="0">
        <f>IF(AND('PEGAR'!O233=0,'PEGAR'!X233=2),'PEGAR'!C233&amp;"","")</f>
      </c>
      <c r="AE733" s="0">
        <f>IF(AND('PEGAR'!O233=0,'PEGAR'!X233=2),'PEGAR'!D233&amp;"","")</f>
      </c>
      <c r="AF733" s="0">
        <f>IF(AND('PEGAR'!O233=0,'PEGAR'!X233=2),'PEGAR'!N233,"")</f>
      </c>
      <c r="AG733" s="0" t="n">
        <f>IF(AND('PEGAR'!O233=0,'PEGAR'!X233=2),2,0)</f>
        <v>0</v>
      </c>
      <c r="AH733" s="0">
        <f>IF(AG733&gt;0,COUNTIFS($AG$13:AG733,"&gt;0"),"")</f>
      </c>
    </row>
    <row r="734">
      <c r="AB734" s="0">
        <f>IF(AND('PEGAR'!O234=0,'PEGAR'!X234=2),"Fila 234","")</f>
      </c>
      <c r="AC734" s="0">
        <f>IF(AND('PEGAR'!O234=0,'PEGAR'!X234=2),'PEGAR'!B234&amp;"","")</f>
      </c>
      <c r="AD734" s="0">
        <f>IF(AND('PEGAR'!O234=0,'PEGAR'!X234=2),'PEGAR'!C234&amp;"","")</f>
      </c>
      <c r="AE734" s="0">
        <f>IF(AND('PEGAR'!O234=0,'PEGAR'!X234=2),'PEGAR'!D234&amp;"","")</f>
      </c>
      <c r="AF734" s="0">
        <f>IF(AND('PEGAR'!O234=0,'PEGAR'!X234=2),'PEGAR'!N234,"")</f>
      </c>
      <c r="AG734" s="0" t="n">
        <f>IF(AND('PEGAR'!O234=0,'PEGAR'!X234=2),2,0)</f>
        <v>0</v>
      </c>
      <c r="AH734" s="0">
        <f>IF(AG734&gt;0,COUNTIFS($AG$13:AG734,"&gt;0"),"")</f>
      </c>
    </row>
    <row r="735">
      <c r="AB735" s="0">
        <f>IF(AND('PEGAR'!O235=0,'PEGAR'!X235=2),"Fila 235","")</f>
      </c>
      <c r="AC735" s="0">
        <f>IF(AND('PEGAR'!O235=0,'PEGAR'!X235=2),'PEGAR'!B235&amp;"","")</f>
      </c>
      <c r="AD735" s="0">
        <f>IF(AND('PEGAR'!O235=0,'PEGAR'!X235=2),'PEGAR'!C235&amp;"","")</f>
      </c>
      <c r="AE735" s="0">
        <f>IF(AND('PEGAR'!O235=0,'PEGAR'!X235=2),'PEGAR'!D235&amp;"","")</f>
      </c>
      <c r="AF735" s="0">
        <f>IF(AND('PEGAR'!O235=0,'PEGAR'!X235=2),'PEGAR'!N235,"")</f>
      </c>
      <c r="AG735" s="0" t="n">
        <f>IF(AND('PEGAR'!O235=0,'PEGAR'!X235=2),2,0)</f>
        <v>0</v>
      </c>
      <c r="AH735" s="0">
        <f>IF(AG735&gt;0,COUNTIFS($AG$13:AG735,"&gt;0"),"")</f>
      </c>
    </row>
    <row r="736">
      <c r="AB736" s="0">
        <f>IF(AND('PEGAR'!O236=0,'PEGAR'!X236=2),"Fila 236","")</f>
      </c>
      <c r="AC736" s="0">
        <f>IF(AND('PEGAR'!O236=0,'PEGAR'!X236=2),'PEGAR'!B236&amp;"","")</f>
      </c>
      <c r="AD736" s="0">
        <f>IF(AND('PEGAR'!O236=0,'PEGAR'!X236=2),'PEGAR'!C236&amp;"","")</f>
      </c>
      <c r="AE736" s="0">
        <f>IF(AND('PEGAR'!O236=0,'PEGAR'!X236=2),'PEGAR'!D236&amp;"","")</f>
      </c>
      <c r="AF736" s="0">
        <f>IF(AND('PEGAR'!O236=0,'PEGAR'!X236=2),'PEGAR'!N236,"")</f>
      </c>
      <c r="AG736" s="0" t="n">
        <f>IF(AND('PEGAR'!O236=0,'PEGAR'!X236=2),2,0)</f>
        <v>0</v>
      </c>
      <c r="AH736" s="0">
        <f>IF(AG736&gt;0,COUNTIFS($AG$13:AG736,"&gt;0"),"")</f>
      </c>
    </row>
    <row r="737">
      <c r="AB737" s="0">
        <f>IF(AND('PEGAR'!O237=0,'PEGAR'!X237=2),"Fila 237","")</f>
      </c>
      <c r="AC737" s="0">
        <f>IF(AND('PEGAR'!O237=0,'PEGAR'!X237=2),'PEGAR'!B237&amp;"","")</f>
      </c>
      <c r="AD737" s="0">
        <f>IF(AND('PEGAR'!O237=0,'PEGAR'!X237=2),'PEGAR'!C237&amp;"","")</f>
      </c>
      <c r="AE737" s="0">
        <f>IF(AND('PEGAR'!O237=0,'PEGAR'!X237=2),'PEGAR'!D237&amp;"","")</f>
      </c>
      <c r="AF737" s="0">
        <f>IF(AND('PEGAR'!O237=0,'PEGAR'!X237=2),'PEGAR'!N237,"")</f>
      </c>
      <c r="AG737" s="0" t="n">
        <f>IF(AND('PEGAR'!O237=0,'PEGAR'!X237=2),2,0)</f>
        <v>0</v>
      </c>
      <c r="AH737" s="0">
        <f>IF(AG737&gt;0,COUNTIFS($AG$13:AG737,"&gt;0"),"")</f>
      </c>
    </row>
    <row r="738">
      <c r="AB738" s="0">
        <f>IF(AND('PEGAR'!O238=0,'PEGAR'!X238=2),"Fila 238","")</f>
      </c>
      <c r="AC738" s="0">
        <f>IF(AND('PEGAR'!O238=0,'PEGAR'!X238=2),'PEGAR'!B238&amp;"","")</f>
      </c>
      <c r="AD738" s="0">
        <f>IF(AND('PEGAR'!O238=0,'PEGAR'!X238=2),'PEGAR'!C238&amp;"","")</f>
      </c>
      <c r="AE738" s="0">
        <f>IF(AND('PEGAR'!O238=0,'PEGAR'!X238=2),'PEGAR'!D238&amp;"","")</f>
      </c>
      <c r="AF738" s="0">
        <f>IF(AND('PEGAR'!O238=0,'PEGAR'!X238=2),'PEGAR'!N238,"")</f>
      </c>
      <c r="AG738" s="0" t="n">
        <f>IF(AND('PEGAR'!O238=0,'PEGAR'!X238=2),2,0)</f>
        <v>0</v>
      </c>
      <c r="AH738" s="0">
        <f>IF(AG738&gt;0,COUNTIFS($AG$13:AG738,"&gt;0"),"")</f>
      </c>
    </row>
    <row r="739">
      <c r="AB739" s="0">
        <f>IF(AND('PEGAR'!O239=0,'PEGAR'!X239=2),"Fila 239","")</f>
      </c>
      <c r="AC739" s="0">
        <f>IF(AND('PEGAR'!O239=0,'PEGAR'!X239=2),'PEGAR'!B239&amp;"","")</f>
      </c>
      <c r="AD739" s="0">
        <f>IF(AND('PEGAR'!O239=0,'PEGAR'!X239=2),'PEGAR'!C239&amp;"","")</f>
      </c>
      <c r="AE739" s="0">
        <f>IF(AND('PEGAR'!O239=0,'PEGAR'!X239=2),'PEGAR'!D239&amp;"","")</f>
      </c>
      <c r="AF739" s="0">
        <f>IF(AND('PEGAR'!O239=0,'PEGAR'!X239=2),'PEGAR'!N239,"")</f>
      </c>
      <c r="AG739" s="0" t="n">
        <f>IF(AND('PEGAR'!O239=0,'PEGAR'!X239=2),2,0)</f>
        <v>0</v>
      </c>
      <c r="AH739" s="0">
        <f>IF(AG739&gt;0,COUNTIFS($AG$13:AG739,"&gt;0"),"")</f>
      </c>
    </row>
    <row r="740">
      <c r="AB740" s="0">
        <f>IF(AND('PEGAR'!O240=0,'PEGAR'!X240=2),"Fila 240","")</f>
      </c>
      <c r="AC740" s="0">
        <f>IF(AND('PEGAR'!O240=0,'PEGAR'!X240=2),'PEGAR'!B240&amp;"","")</f>
      </c>
      <c r="AD740" s="0">
        <f>IF(AND('PEGAR'!O240=0,'PEGAR'!X240=2),'PEGAR'!C240&amp;"","")</f>
      </c>
      <c r="AE740" s="0">
        <f>IF(AND('PEGAR'!O240=0,'PEGAR'!X240=2),'PEGAR'!D240&amp;"","")</f>
      </c>
      <c r="AF740" s="0">
        <f>IF(AND('PEGAR'!O240=0,'PEGAR'!X240=2),'PEGAR'!N240,"")</f>
      </c>
      <c r="AG740" s="0" t="n">
        <f>IF(AND('PEGAR'!O240=0,'PEGAR'!X240=2),2,0)</f>
        <v>0</v>
      </c>
      <c r="AH740" s="0">
        <f>IF(AG740&gt;0,COUNTIFS($AG$13:AG740,"&gt;0"),"")</f>
      </c>
    </row>
    <row r="741">
      <c r="AB741" s="0">
        <f>IF(AND('PEGAR'!O241=0,'PEGAR'!X241=2),"Fila 241","")</f>
      </c>
      <c r="AC741" s="0">
        <f>IF(AND('PEGAR'!O241=0,'PEGAR'!X241=2),'PEGAR'!B241&amp;"","")</f>
      </c>
      <c r="AD741" s="0">
        <f>IF(AND('PEGAR'!O241=0,'PEGAR'!X241=2),'PEGAR'!C241&amp;"","")</f>
      </c>
      <c r="AE741" s="0">
        <f>IF(AND('PEGAR'!O241=0,'PEGAR'!X241=2),'PEGAR'!D241&amp;"","")</f>
      </c>
      <c r="AF741" s="0">
        <f>IF(AND('PEGAR'!O241=0,'PEGAR'!X241=2),'PEGAR'!N241,"")</f>
      </c>
      <c r="AG741" s="0" t="n">
        <f>IF(AND('PEGAR'!O241=0,'PEGAR'!X241=2),2,0)</f>
        <v>0</v>
      </c>
      <c r="AH741" s="0">
        <f>IF(AG741&gt;0,COUNTIFS($AG$13:AG741,"&gt;0"),"")</f>
      </c>
    </row>
    <row r="742">
      <c r="AB742" s="0">
        <f>IF(AND('PEGAR'!O242=0,'PEGAR'!X242=2),"Fila 242","")</f>
      </c>
      <c r="AC742" s="0">
        <f>IF(AND('PEGAR'!O242=0,'PEGAR'!X242=2),'PEGAR'!B242&amp;"","")</f>
      </c>
      <c r="AD742" s="0">
        <f>IF(AND('PEGAR'!O242=0,'PEGAR'!X242=2),'PEGAR'!C242&amp;"","")</f>
      </c>
      <c r="AE742" s="0">
        <f>IF(AND('PEGAR'!O242=0,'PEGAR'!X242=2),'PEGAR'!D242&amp;"","")</f>
      </c>
      <c r="AF742" s="0">
        <f>IF(AND('PEGAR'!O242=0,'PEGAR'!X242=2),'PEGAR'!N242,"")</f>
      </c>
      <c r="AG742" s="0" t="n">
        <f>IF(AND('PEGAR'!O242=0,'PEGAR'!X242=2),2,0)</f>
        <v>0</v>
      </c>
      <c r="AH742" s="0">
        <f>IF(AG742&gt;0,COUNTIFS($AG$13:AG742,"&gt;0"),"")</f>
      </c>
    </row>
    <row r="743">
      <c r="AB743" s="0">
        <f>IF(AND('PEGAR'!O243=0,'PEGAR'!X243=2),"Fila 243","")</f>
      </c>
      <c r="AC743" s="0">
        <f>IF(AND('PEGAR'!O243=0,'PEGAR'!X243=2),'PEGAR'!B243&amp;"","")</f>
      </c>
      <c r="AD743" s="0">
        <f>IF(AND('PEGAR'!O243=0,'PEGAR'!X243=2),'PEGAR'!C243&amp;"","")</f>
      </c>
      <c r="AE743" s="0">
        <f>IF(AND('PEGAR'!O243=0,'PEGAR'!X243=2),'PEGAR'!D243&amp;"","")</f>
      </c>
      <c r="AF743" s="0">
        <f>IF(AND('PEGAR'!O243=0,'PEGAR'!X243=2),'PEGAR'!N243,"")</f>
      </c>
      <c r="AG743" s="0" t="n">
        <f>IF(AND('PEGAR'!O243=0,'PEGAR'!X243=2),2,0)</f>
        <v>0</v>
      </c>
      <c r="AH743" s="0">
        <f>IF(AG743&gt;0,COUNTIFS($AG$13:AG743,"&gt;0"),"")</f>
      </c>
    </row>
    <row r="744">
      <c r="AB744" s="0">
        <f>IF(AND('PEGAR'!O244=0,'PEGAR'!X244=2),"Fila 244","")</f>
      </c>
      <c r="AC744" s="0">
        <f>IF(AND('PEGAR'!O244=0,'PEGAR'!X244=2),'PEGAR'!B244&amp;"","")</f>
      </c>
      <c r="AD744" s="0">
        <f>IF(AND('PEGAR'!O244=0,'PEGAR'!X244=2),'PEGAR'!C244&amp;"","")</f>
      </c>
      <c r="AE744" s="0">
        <f>IF(AND('PEGAR'!O244=0,'PEGAR'!X244=2),'PEGAR'!D244&amp;"","")</f>
      </c>
      <c r="AF744" s="0">
        <f>IF(AND('PEGAR'!O244=0,'PEGAR'!X244=2),'PEGAR'!N244,"")</f>
      </c>
      <c r="AG744" s="0" t="n">
        <f>IF(AND('PEGAR'!O244=0,'PEGAR'!X244=2),2,0)</f>
        <v>0</v>
      </c>
      <c r="AH744" s="0">
        <f>IF(AG744&gt;0,COUNTIFS($AG$13:AG744,"&gt;0"),"")</f>
      </c>
    </row>
    <row r="745">
      <c r="AB745" s="0">
        <f>IF(AND('PEGAR'!O245=0,'PEGAR'!X245=2),"Fila 245","")</f>
      </c>
      <c r="AC745" s="0">
        <f>IF(AND('PEGAR'!O245=0,'PEGAR'!X245=2),'PEGAR'!B245&amp;"","")</f>
      </c>
      <c r="AD745" s="0">
        <f>IF(AND('PEGAR'!O245=0,'PEGAR'!X245=2),'PEGAR'!C245&amp;"","")</f>
      </c>
      <c r="AE745" s="0">
        <f>IF(AND('PEGAR'!O245=0,'PEGAR'!X245=2),'PEGAR'!D245&amp;"","")</f>
      </c>
      <c r="AF745" s="0">
        <f>IF(AND('PEGAR'!O245=0,'PEGAR'!X245=2),'PEGAR'!N245,"")</f>
      </c>
      <c r="AG745" s="0" t="n">
        <f>IF(AND('PEGAR'!O245=0,'PEGAR'!X245=2),2,0)</f>
        <v>0</v>
      </c>
      <c r="AH745" s="0">
        <f>IF(AG745&gt;0,COUNTIFS($AG$13:AG745,"&gt;0"),"")</f>
      </c>
    </row>
    <row r="746">
      <c r="AB746" s="0">
        <f>IF(AND('PEGAR'!O246=0,'PEGAR'!X246=2),"Fila 246","")</f>
      </c>
      <c r="AC746" s="0">
        <f>IF(AND('PEGAR'!O246=0,'PEGAR'!X246=2),'PEGAR'!B246&amp;"","")</f>
      </c>
      <c r="AD746" s="0">
        <f>IF(AND('PEGAR'!O246=0,'PEGAR'!X246=2),'PEGAR'!C246&amp;"","")</f>
      </c>
      <c r="AE746" s="0">
        <f>IF(AND('PEGAR'!O246=0,'PEGAR'!X246=2),'PEGAR'!D246&amp;"","")</f>
      </c>
      <c r="AF746" s="0">
        <f>IF(AND('PEGAR'!O246=0,'PEGAR'!X246=2),'PEGAR'!N246,"")</f>
      </c>
      <c r="AG746" s="0" t="n">
        <f>IF(AND('PEGAR'!O246=0,'PEGAR'!X246=2),2,0)</f>
        <v>0</v>
      </c>
      <c r="AH746" s="0">
        <f>IF(AG746&gt;0,COUNTIFS($AG$13:AG746,"&gt;0"),"")</f>
      </c>
    </row>
    <row r="747">
      <c r="AB747" s="0">
        <f>IF(AND('PEGAR'!O247=0,'PEGAR'!X247=2),"Fila 247","")</f>
      </c>
      <c r="AC747" s="0">
        <f>IF(AND('PEGAR'!O247=0,'PEGAR'!X247=2),'PEGAR'!B247&amp;"","")</f>
      </c>
      <c r="AD747" s="0">
        <f>IF(AND('PEGAR'!O247=0,'PEGAR'!X247=2),'PEGAR'!C247&amp;"","")</f>
      </c>
      <c r="AE747" s="0">
        <f>IF(AND('PEGAR'!O247=0,'PEGAR'!X247=2),'PEGAR'!D247&amp;"","")</f>
      </c>
      <c r="AF747" s="0">
        <f>IF(AND('PEGAR'!O247=0,'PEGAR'!X247=2),'PEGAR'!N247,"")</f>
      </c>
      <c r="AG747" s="0" t="n">
        <f>IF(AND('PEGAR'!O247=0,'PEGAR'!X247=2),2,0)</f>
        <v>0</v>
      </c>
      <c r="AH747" s="0">
        <f>IF(AG747&gt;0,COUNTIFS($AG$13:AG747,"&gt;0"),"")</f>
      </c>
    </row>
    <row r="748">
      <c r="AB748" s="0">
        <f>IF(AND('PEGAR'!O248=0,'PEGAR'!X248=2),"Fila 248","")</f>
      </c>
      <c r="AC748" s="0">
        <f>IF(AND('PEGAR'!O248=0,'PEGAR'!X248=2),'PEGAR'!B248&amp;"","")</f>
      </c>
      <c r="AD748" s="0">
        <f>IF(AND('PEGAR'!O248=0,'PEGAR'!X248=2),'PEGAR'!C248&amp;"","")</f>
      </c>
      <c r="AE748" s="0">
        <f>IF(AND('PEGAR'!O248=0,'PEGAR'!X248=2),'PEGAR'!D248&amp;"","")</f>
      </c>
      <c r="AF748" s="0">
        <f>IF(AND('PEGAR'!O248=0,'PEGAR'!X248=2),'PEGAR'!N248,"")</f>
      </c>
      <c r="AG748" s="0" t="n">
        <f>IF(AND('PEGAR'!O248=0,'PEGAR'!X248=2),2,0)</f>
        <v>0</v>
      </c>
      <c r="AH748" s="0">
        <f>IF(AG748&gt;0,COUNTIFS($AG$13:AG748,"&gt;0"),"")</f>
      </c>
    </row>
    <row r="749">
      <c r="AB749" s="0">
        <f>IF(AND('PEGAR'!O249=0,'PEGAR'!X249=2),"Fila 249","")</f>
      </c>
      <c r="AC749" s="0">
        <f>IF(AND('PEGAR'!O249=0,'PEGAR'!X249=2),'PEGAR'!B249&amp;"","")</f>
      </c>
      <c r="AD749" s="0">
        <f>IF(AND('PEGAR'!O249=0,'PEGAR'!X249=2),'PEGAR'!C249&amp;"","")</f>
      </c>
      <c r="AE749" s="0">
        <f>IF(AND('PEGAR'!O249=0,'PEGAR'!X249=2),'PEGAR'!D249&amp;"","")</f>
      </c>
      <c r="AF749" s="0">
        <f>IF(AND('PEGAR'!O249=0,'PEGAR'!X249=2),'PEGAR'!N249,"")</f>
      </c>
      <c r="AG749" s="0" t="n">
        <f>IF(AND('PEGAR'!O249=0,'PEGAR'!X249=2),2,0)</f>
        <v>0</v>
      </c>
      <c r="AH749" s="0">
        <f>IF(AG749&gt;0,COUNTIFS($AG$13:AG749,"&gt;0"),"")</f>
      </c>
    </row>
    <row r="750">
      <c r="AB750" s="0">
        <f>IF(AND('PEGAR'!O250=0,'PEGAR'!X250=2),"Fila 250","")</f>
      </c>
      <c r="AC750" s="0">
        <f>IF(AND('PEGAR'!O250=0,'PEGAR'!X250=2),'PEGAR'!B250&amp;"","")</f>
      </c>
      <c r="AD750" s="0">
        <f>IF(AND('PEGAR'!O250=0,'PEGAR'!X250=2),'PEGAR'!C250&amp;"","")</f>
      </c>
      <c r="AE750" s="0">
        <f>IF(AND('PEGAR'!O250=0,'PEGAR'!X250=2),'PEGAR'!D250&amp;"","")</f>
      </c>
      <c r="AF750" s="0">
        <f>IF(AND('PEGAR'!O250=0,'PEGAR'!X250=2),'PEGAR'!N250,"")</f>
      </c>
      <c r="AG750" s="0" t="n">
        <f>IF(AND('PEGAR'!O250=0,'PEGAR'!X250=2),2,0)</f>
        <v>0</v>
      </c>
      <c r="AH750" s="0">
        <f>IF(AG750&gt;0,COUNTIFS($AG$13:AG750,"&gt;0"),"")</f>
      </c>
    </row>
    <row r="751">
      <c r="AB751" s="0">
        <f>IF(AND('PEGAR'!O251=0,'PEGAR'!X251=2),"Fila 251","")</f>
      </c>
      <c r="AC751" s="0">
        <f>IF(AND('PEGAR'!O251=0,'PEGAR'!X251=2),'PEGAR'!B251&amp;"","")</f>
      </c>
      <c r="AD751" s="0">
        <f>IF(AND('PEGAR'!O251=0,'PEGAR'!X251=2),'PEGAR'!C251&amp;"","")</f>
      </c>
      <c r="AE751" s="0">
        <f>IF(AND('PEGAR'!O251=0,'PEGAR'!X251=2),'PEGAR'!D251&amp;"","")</f>
      </c>
      <c r="AF751" s="0">
        <f>IF(AND('PEGAR'!O251=0,'PEGAR'!X251=2),'PEGAR'!N251,"")</f>
      </c>
      <c r="AG751" s="0" t="n">
        <f>IF(AND('PEGAR'!O251=0,'PEGAR'!X251=2),2,0)</f>
        <v>0</v>
      </c>
      <c r="AH751" s="0">
        <f>IF(AG751&gt;0,COUNTIFS($AG$13:AG751,"&gt;0"),"")</f>
      </c>
    </row>
    <row r="752">
      <c r="AB752" s="0">
        <f>IF(AND('PEGAR'!O252=0,'PEGAR'!X252=2),"Fila 252","")</f>
      </c>
      <c r="AC752" s="0">
        <f>IF(AND('PEGAR'!O252=0,'PEGAR'!X252=2),'PEGAR'!B252&amp;"","")</f>
      </c>
      <c r="AD752" s="0">
        <f>IF(AND('PEGAR'!O252=0,'PEGAR'!X252=2),'PEGAR'!C252&amp;"","")</f>
      </c>
      <c r="AE752" s="0">
        <f>IF(AND('PEGAR'!O252=0,'PEGAR'!X252=2),'PEGAR'!D252&amp;"","")</f>
      </c>
      <c r="AF752" s="0">
        <f>IF(AND('PEGAR'!O252=0,'PEGAR'!X252=2),'PEGAR'!N252,"")</f>
      </c>
      <c r="AG752" s="0" t="n">
        <f>IF(AND('PEGAR'!O252=0,'PEGAR'!X252=2),2,0)</f>
        <v>0</v>
      </c>
      <c r="AH752" s="0">
        <f>IF(AG752&gt;0,COUNTIFS($AG$13:AG752,"&gt;0"),"")</f>
      </c>
    </row>
    <row r="753">
      <c r="AB753" s="0">
        <f>IF(AND('PEGAR'!O253=0,'PEGAR'!X253=2),"Fila 253","")</f>
      </c>
      <c r="AC753" s="0">
        <f>IF(AND('PEGAR'!O253=0,'PEGAR'!X253=2),'PEGAR'!B253&amp;"","")</f>
      </c>
      <c r="AD753" s="0">
        <f>IF(AND('PEGAR'!O253=0,'PEGAR'!X253=2),'PEGAR'!C253&amp;"","")</f>
      </c>
      <c r="AE753" s="0">
        <f>IF(AND('PEGAR'!O253=0,'PEGAR'!X253=2),'PEGAR'!D253&amp;"","")</f>
      </c>
      <c r="AF753" s="0">
        <f>IF(AND('PEGAR'!O253=0,'PEGAR'!X253=2),'PEGAR'!N253,"")</f>
      </c>
      <c r="AG753" s="0" t="n">
        <f>IF(AND('PEGAR'!O253=0,'PEGAR'!X253=2),2,0)</f>
        <v>0</v>
      </c>
      <c r="AH753" s="0">
        <f>IF(AG753&gt;0,COUNTIFS($AG$13:AG753,"&gt;0"),"")</f>
      </c>
    </row>
    <row r="754">
      <c r="AB754" s="0">
        <f>IF(AND('PEGAR'!O254=0,'PEGAR'!X254=2),"Fila 254","")</f>
      </c>
      <c r="AC754" s="0">
        <f>IF(AND('PEGAR'!O254=0,'PEGAR'!X254=2),'PEGAR'!B254&amp;"","")</f>
      </c>
      <c r="AD754" s="0">
        <f>IF(AND('PEGAR'!O254=0,'PEGAR'!X254=2),'PEGAR'!C254&amp;"","")</f>
      </c>
      <c r="AE754" s="0">
        <f>IF(AND('PEGAR'!O254=0,'PEGAR'!X254=2),'PEGAR'!D254&amp;"","")</f>
      </c>
      <c r="AF754" s="0">
        <f>IF(AND('PEGAR'!O254=0,'PEGAR'!X254=2),'PEGAR'!N254,"")</f>
      </c>
      <c r="AG754" s="0" t="n">
        <f>IF(AND('PEGAR'!O254=0,'PEGAR'!X254=2),2,0)</f>
        <v>0</v>
      </c>
      <c r="AH754" s="0">
        <f>IF(AG754&gt;0,COUNTIFS($AG$13:AG754,"&gt;0"),"")</f>
      </c>
    </row>
    <row r="755">
      <c r="AB755" s="0">
        <f>IF(AND('PEGAR'!O255=0,'PEGAR'!X255=2),"Fila 255","")</f>
      </c>
      <c r="AC755" s="0">
        <f>IF(AND('PEGAR'!O255=0,'PEGAR'!X255=2),'PEGAR'!B255&amp;"","")</f>
      </c>
      <c r="AD755" s="0">
        <f>IF(AND('PEGAR'!O255=0,'PEGAR'!X255=2),'PEGAR'!C255&amp;"","")</f>
      </c>
      <c r="AE755" s="0">
        <f>IF(AND('PEGAR'!O255=0,'PEGAR'!X255=2),'PEGAR'!D255&amp;"","")</f>
      </c>
      <c r="AF755" s="0">
        <f>IF(AND('PEGAR'!O255=0,'PEGAR'!X255=2),'PEGAR'!N255,"")</f>
      </c>
      <c r="AG755" s="0" t="n">
        <f>IF(AND('PEGAR'!O255=0,'PEGAR'!X255=2),2,0)</f>
        <v>0</v>
      </c>
      <c r="AH755" s="0">
        <f>IF(AG755&gt;0,COUNTIFS($AG$13:AG755,"&gt;0"),"")</f>
      </c>
    </row>
    <row r="756">
      <c r="AB756" s="0">
        <f>IF(AND('PEGAR'!O256=0,'PEGAR'!X256=2),"Fila 256","")</f>
      </c>
      <c r="AC756" s="0">
        <f>IF(AND('PEGAR'!O256=0,'PEGAR'!X256=2),'PEGAR'!B256&amp;"","")</f>
      </c>
      <c r="AD756" s="0">
        <f>IF(AND('PEGAR'!O256=0,'PEGAR'!X256=2),'PEGAR'!C256&amp;"","")</f>
      </c>
      <c r="AE756" s="0">
        <f>IF(AND('PEGAR'!O256=0,'PEGAR'!X256=2),'PEGAR'!D256&amp;"","")</f>
      </c>
      <c r="AF756" s="0">
        <f>IF(AND('PEGAR'!O256=0,'PEGAR'!X256=2),'PEGAR'!N256,"")</f>
      </c>
      <c r="AG756" s="0" t="n">
        <f>IF(AND('PEGAR'!O256=0,'PEGAR'!X256=2),2,0)</f>
        <v>0</v>
      </c>
      <c r="AH756" s="0">
        <f>IF(AG756&gt;0,COUNTIFS($AG$13:AG756,"&gt;0"),"")</f>
      </c>
    </row>
    <row r="757">
      <c r="AB757" s="0">
        <f>IF(AND('PEGAR'!O257=0,'PEGAR'!X257=2),"Fila 257","")</f>
      </c>
      <c r="AC757" s="0">
        <f>IF(AND('PEGAR'!O257=0,'PEGAR'!X257=2),'PEGAR'!B257&amp;"","")</f>
      </c>
      <c r="AD757" s="0">
        <f>IF(AND('PEGAR'!O257=0,'PEGAR'!X257=2),'PEGAR'!C257&amp;"","")</f>
      </c>
      <c r="AE757" s="0">
        <f>IF(AND('PEGAR'!O257=0,'PEGAR'!X257=2),'PEGAR'!D257&amp;"","")</f>
      </c>
      <c r="AF757" s="0">
        <f>IF(AND('PEGAR'!O257=0,'PEGAR'!X257=2),'PEGAR'!N257,"")</f>
      </c>
      <c r="AG757" s="0" t="n">
        <f>IF(AND('PEGAR'!O257=0,'PEGAR'!X257=2),2,0)</f>
        <v>0</v>
      </c>
      <c r="AH757" s="0">
        <f>IF(AG757&gt;0,COUNTIFS($AG$13:AG757,"&gt;0"),"")</f>
      </c>
    </row>
    <row r="758">
      <c r="AB758" s="0">
        <f>IF(AND('PEGAR'!O258=0,'PEGAR'!X258=2),"Fila 258","")</f>
      </c>
      <c r="AC758" s="0">
        <f>IF(AND('PEGAR'!O258=0,'PEGAR'!X258=2),'PEGAR'!B258&amp;"","")</f>
      </c>
      <c r="AD758" s="0">
        <f>IF(AND('PEGAR'!O258=0,'PEGAR'!X258=2),'PEGAR'!C258&amp;"","")</f>
      </c>
      <c r="AE758" s="0">
        <f>IF(AND('PEGAR'!O258=0,'PEGAR'!X258=2),'PEGAR'!D258&amp;"","")</f>
      </c>
      <c r="AF758" s="0">
        <f>IF(AND('PEGAR'!O258=0,'PEGAR'!X258=2),'PEGAR'!N258,"")</f>
      </c>
      <c r="AG758" s="0" t="n">
        <f>IF(AND('PEGAR'!O258=0,'PEGAR'!X258=2),2,0)</f>
        <v>0</v>
      </c>
      <c r="AH758" s="0">
        <f>IF(AG758&gt;0,COUNTIFS($AG$13:AG758,"&gt;0"),"")</f>
      </c>
    </row>
    <row r="759">
      <c r="AB759" s="0">
        <f>IF(AND('PEGAR'!O259=0,'PEGAR'!X259=2),"Fila 259","")</f>
      </c>
      <c r="AC759" s="0">
        <f>IF(AND('PEGAR'!O259=0,'PEGAR'!X259=2),'PEGAR'!B259&amp;"","")</f>
      </c>
      <c r="AD759" s="0">
        <f>IF(AND('PEGAR'!O259=0,'PEGAR'!X259=2),'PEGAR'!C259&amp;"","")</f>
      </c>
      <c r="AE759" s="0">
        <f>IF(AND('PEGAR'!O259=0,'PEGAR'!X259=2),'PEGAR'!D259&amp;"","")</f>
      </c>
      <c r="AF759" s="0">
        <f>IF(AND('PEGAR'!O259=0,'PEGAR'!X259=2),'PEGAR'!N259,"")</f>
      </c>
      <c r="AG759" s="0" t="n">
        <f>IF(AND('PEGAR'!O259=0,'PEGAR'!X259=2),2,0)</f>
        <v>0</v>
      </c>
      <c r="AH759" s="0">
        <f>IF(AG759&gt;0,COUNTIFS($AG$13:AG759,"&gt;0"),"")</f>
      </c>
    </row>
    <row r="760">
      <c r="AB760" s="0">
        <f>IF(AND('PEGAR'!O260=0,'PEGAR'!X260=2),"Fila 260","")</f>
      </c>
      <c r="AC760" s="0">
        <f>IF(AND('PEGAR'!O260=0,'PEGAR'!X260=2),'PEGAR'!B260&amp;"","")</f>
      </c>
      <c r="AD760" s="0">
        <f>IF(AND('PEGAR'!O260=0,'PEGAR'!X260=2),'PEGAR'!C260&amp;"","")</f>
      </c>
      <c r="AE760" s="0">
        <f>IF(AND('PEGAR'!O260=0,'PEGAR'!X260=2),'PEGAR'!D260&amp;"","")</f>
      </c>
      <c r="AF760" s="0">
        <f>IF(AND('PEGAR'!O260=0,'PEGAR'!X260=2),'PEGAR'!N260,"")</f>
      </c>
      <c r="AG760" s="0" t="n">
        <f>IF(AND('PEGAR'!O260=0,'PEGAR'!X260=2),2,0)</f>
        <v>0</v>
      </c>
      <c r="AH760" s="0">
        <f>IF(AG760&gt;0,COUNTIFS($AG$13:AG760,"&gt;0"),"")</f>
      </c>
    </row>
    <row r="761">
      <c r="AB761" s="0">
        <f>IF(AND('PEGAR'!O261=0,'PEGAR'!X261=2),"Fila 261","")</f>
      </c>
      <c r="AC761" s="0">
        <f>IF(AND('PEGAR'!O261=0,'PEGAR'!X261=2),'PEGAR'!B261&amp;"","")</f>
      </c>
      <c r="AD761" s="0">
        <f>IF(AND('PEGAR'!O261=0,'PEGAR'!X261=2),'PEGAR'!C261&amp;"","")</f>
      </c>
      <c r="AE761" s="0">
        <f>IF(AND('PEGAR'!O261=0,'PEGAR'!X261=2),'PEGAR'!D261&amp;"","")</f>
      </c>
      <c r="AF761" s="0">
        <f>IF(AND('PEGAR'!O261=0,'PEGAR'!X261=2),'PEGAR'!N261,"")</f>
      </c>
      <c r="AG761" s="0" t="n">
        <f>IF(AND('PEGAR'!O261=0,'PEGAR'!X261=2),2,0)</f>
        <v>0</v>
      </c>
      <c r="AH761" s="0">
        <f>IF(AG761&gt;0,COUNTIFS($AG$13:AG761,"&gt;0"),"")</f>
      </c>
    </row>
    <row r="762">
      <c r="AB762" s="0">
        <f>IF(AND('PEGAR'!O262=0,'PEGAR'!X262=2),"Fila 262","")</f>
      </c>
      <c r="AC762" s="0">
        <f>IF(AND('PEGAR'!O262=0,'PEGAR'!X262=2),'PEGAR'!B262&amp;"","")</f>
      </c>
      <c r="AD762" s="0">
        <f>IF(AND('PEGAR'!O262=0,'PEGAR'!X262=2),'PEGAR'!C262&amp;"","")</f>
      </c>
      <c r="AE762" s="0">
        <f>IF(AND('PEGAR'!O262=0,'PEGAR'!X262=2),'PEGAR'!D262&amp;"","")</f>
      </c>
      <c r="AF762" s="0">
        <f>IF(AND('PEGAR'!O262=0,'PEGAR'!X262=2),'PEGAR'!N262,"")</f>
      </c>
      <c r="AG762" s="0" t="n">
        <f>IF(AND('PEGAR'!O262=0,'PEGAR'!X262=2),2,0)</f>
        <v>0</v>
      </c>
      <c r="AH762" s="0">
        <f>IF(AG762&gt;0,COUNTIFS($AG$13:AG762,"&gt;0"),"")</f>
      </c>
    </row>
    <row r="763">
      <c r="AB763" s="0">
        <f>IF(AND('PEGAR'!O263=0,'PEGAR'!X263=2),"Fila 263","")</f>
      </c>
      <c r="AC763" s="0">
        <f>IF(AND('PEGAR'!O263=0,'PEGAR'!X263=2),'PEGAR'!B263&amp;"","")</f>
      </c>
      <c r="AD763" s="0">
        <f>IF(AND('PEGAR'!O263=0,'PEGAR'!X263=2),'PEGAR'!C263&amp;"","")</f>
      </c>
      <c r="AE763" s="0">
        <f>IF(AND('PEGAR'!O263=0,'PEGAR'!X263=2),'PEGAR'!D263&amp;"","")</f>
      </c>
      <c r="AF763" s="0">
        <f>IF(AND('PEGAR'!O263=0,'PEGAR'!X263=2),'PEGAR'!N263,"")</f>
      </c>
      <c r="AG763" s="0" t="n">
        <f>IF(AND('PEGAR'!O263=0,'PEGAR'!X263=2),2,0)</f>
        <v>0</v>
      </c>
      <c r="AH763" s="0">
        <f>IF(AG763&gt;0,COUNTIFS($AG$13:AG763,"&gt;0"),"")</f>
      </c>
    </row>
    <row r="764">
      <c r="AB764" s="0">
        <f>IF(AND('PEGAR'!O264=0,'PEGAR'!X264=2),"Fila 264","")</f>
      </c>
      <c r="AC764" s="0">
        <f>IF(AND('PEGAR'!O264=0,'PEGAR'!X264=2),'PEGAR'!B264&amp;"","")</f>
      </c>
      <c r="AD764" s="0">
        <f>IF(AND('PEGAR'!O264=0,'PEGAR'!X264=2),'PEGAR'!C264&amp;"","")</f>
      </c>
      <c r="AE764" s="0">
        <f>IF(AND('PEGAR'!O264=0,'PEGAR'!X264=2),'PEGAR'!D264&amp;"","")</f>
      </c>
      <c r="AF764" s="0">
        <f>IF(AND('PEGAR'!O264=0,'PEGAR'!X264=2),'PEGAR'!N264,"")</f>
      </c>
      <c r="AG764" s="0" t="n">
        <f>IF(AND('PEGAR'!O264=0,'PEGAR'!X264=2),2,0)</f>
        <v>0</v>
      </c>
      <c r="AH764" s="0">
        <f>IF(AG764&gt;0,COUNTIFS($AG$13:AG764,"&gt;0"),"")</f>
      </c>
    </row>
    <row r="765">
      <c r="AB765" s="0">
        <f>IF(AND('PEGAR'!O265=0,'PEGAR'!X265=2),"Fila 265","")</f>
      </c>
      <c r="AC765" s="0">
        <f>IF(AND('PEGAR'!O265=0,'PEGAR'!X265=2),'PEGAR'!B265&amp;"","")</f>
      </c>
      <c r="AD765" s="0">
        <f>IF(AND('PEGAR'!O265=0,'PEGAR'!X265=2),'PEGAR'!C265&amp;"","")</f>
      </c>
      <c r="AE765" s="0">
        <f>IF(AND('PEGAR'!O265=0,'PEGAR'!X265=2),'PEGAR'!D265&amp;"","")</f>
      </c>
      <c r="AF765" s="0">
        <f>IF(AND('PEGAR'!O265=0,'PEGAR'!X265=2),'PEGAR'!N265,"")</f>
      </c>
      <c r="AG765" s="0" t="n">
        <f>IF(AND('PEGAR'!O265=0,'PEGAR'!X265=2),2,0)</f>
        <v>0</v>
      </c>
      <c r="AH765" s="0">
        <f>IF(AG765&gt;0,COUNTIFS($AG$13:AG765,"&gt;0"),"")</f>
      </c>
    </row>
    <row r="766">
      <c r="AB766" s="0">
        <f>IF(AND('PEGAR'!O266=0,'PEGAR'!X266=2),"Fila 266","")</f>
      </c>
      <c r="AC766" s="0">
        <f>IF(AND('PEGAR'!O266=0,'PEGAR'!X266=2),'PEGAR'!B266&amp;"","")</f>
      </c>
      <c r="AD766" s="0">
        <f>IF(AND('PEGAR'!O266=0,'PEGAR'!X266=2),'PEGAR'!C266&amp;"","")</f>
      </c>
      <c r="AE766" s="0">
        <f>IF(AND('PEGAR'!O266=0,'PEGAR'!X266=2),'PEGAR'!D266&amp;"","")</f>
      </c>
      <c r="AF766" s="0">
        <f>IF(AND('PEGAR'!O266=0,'PEGAR'!X266=2),'PEGAR'!N266,"")</f>
      </c>
      <c r="AG766" s="0" t="n">
        <f>IF(AND('PEGAR'!O266=0,'PEGAR'!X266=2),2,0)</f>
        <v>0</v>
      </c>
      <c r="AH766" s="0">
        <f>IF(AG766&gt;0,COUNTIFS($AG$13:AG766,"&gt;0"),"")</f>
      </c>
    </row>
    <row r="767">
      <c r="AB767" s="0">
        <f>IF(AND('PEGAR'!O267=0,'PEGAR'!X267=2),"Fila 267","")</f>
      </c>
      <c r="AC767" s="0">
        <f>IF(AND('PEGAR'!O267=0,'PEGAR'!X267=2),'PEGAR'!B267&amp;"","")</f>
      </c>
      <c r="AD767" s="0">
        <f>IF(AND('PEGAR'!O267=0,'PEGAR'!X267=2),'PEGAR'!C267&amp;"","")</f>
      </c>
      <c r="AE767" s="0">
        <f>IF(AND('PEGAR'!O267=0,'PEGAR'!X267=2),'PEGAR'!D267&amp;"","")</f>
      </c>
      <c r="AF767" s="0">
        <f>IF(AND('PEGAR'!O267=0,'PEGAR'!X267=2),'PEGAR'!N267,"")</f>
      </c>
      <c r="AG767" s="0" t="n">
        <f>IF(AND('PEGAR'!O267=0,'PEGAR'!X267=2),2,0)</f>
        <v>0</v>
      </c>
      <c r="AH767" s="0">
        <f>IF(AG767&gt;0,COUNTIFS($AG$13:AG767,"&gt;0"),"")</f>
      </c>
    </row>
    <row r="768">
      <c r="AB768" s="0">
        <f>IF(AND('PEGAR'!O268=0,'PEGAR'!X268=2),"Fila 268","")</f>
      </c>
      <c r="AC768" s="0">
        <f>IF(AND('PEGAR'!O268=0,'PEGAR'!X268=2),'PEGAR'!B268&amp;"","")</f>
      </c>
      <c r="AD768" s="0">
        <f>IF(AND('PEGAR'!O268=0,'PEGAR'!X268=2),'PEGAR'!C268&amp;"","")</f>
      </c>
      <c r="AE768" s="0">
        <f>IF(AND('PEGAR'!O268=0,'PEGAR'!X268=2),'PEGAR'!D268&amp;"","")</f>
      </c>
      <c r="AF768" s="0">
        <f>IF(AND('PEGAR'!O268=0,'PEGAR'!X268=2),'PEGAR'!N268,"")</f>
      </c>
      <c r="AG768" s="0" t="n">
        <f>IF(AND('PEGAR'!O268=0,'PEGAR'!X268=2),2,0)</f>
        <v>0</v>
      </c>
      <c r="AH768" s="0">
        <f>IF(AG768&gt;0,COUNTIFS($AG$13:AG768,"&gt;0"),"")</f>
      </c>
    </row>
    <row r="769">
      <c r="AB769" s="0">
        <f>IF(AND('PEGAR'!O269=0,'PEGAR'!X269=2),"Fila 269","")</f>
      </c>
      <c r="AC769" s="0">
        <f>IF(AND('PEGAR'!O269=0,'PEGAR'!X269=2),'PEGAR'!B269&amp;"","")</f>
      </c>
      <c r="AD769" s="0">
        <f>IF(AND('PEGAR'!O269=0,'PEGAR'!X269=2),'PEGAR'!C269&amp;"","")</f>
      </c>
      <c r="AE769" s="0">
        <f>IF(AND('PEGAR'!O269=0,'PEGAR'!X269=2),'PEGAR'!D269&amp;"","")</f>
      </c>
      <c r="AF769" s="0">
        <f>IF(AND('PEGAR'!O269=0,'PEGAR'!X269=2),'PEGAR'!N269,"")</f>
      </c>
      <c r="AG769" s="0" t="n">
        <f>IF(AND('PEGAR'!O269=0,'PEGAR'!X269=2),2,0)</f>
        <v>0</v>
      </c>
      <c r="AH769" s="0">
        <f>IF(AG769&gt;0,COUNTIFS($AG$13:AG769,"&gt;0"),"")</f>
      </c>
    </row>
    <row r="770">
      <c r="AB770" s="0">
        <f>IF(AND('PEGAR'!O270=0,'PEGAR'!X270=2),"Fila 270","")</f>
      </c>
      <c r="AC770" s="0">
        <f>IF(AND('PEGAR'!O270=0,'PEGAR'!X270=2),'PEGAR'!B270&amp;"","")</f>
      </c>
      <c r="AD770" s="0">
        <f>IF(AND('PEGAR'!O270=0,'PEGAR'!X270=2),'PEGAR'!C270&amp;"","")</f>
      </c>
      <c r="AE770" s="0">
        <f>IF(AND('PEGAR'!O270=0,'PEGAR'!X270=2),'PEGAR'!D270&amp;"","")</f>
      </c>
      <c r="AF770" s="0">
        <f>IF(AND('PEGAR'!O270=0,'PEGAR'!X270=2),'PEGAR'!N270,"")</f>
      </c>
      <c r="AG770" s="0" t="n">
        <f>IF(AND('PEGAR'!O270=0,'PEGAR'!X270=2),2,0)</f>
        <v>0</v>
      </c>
      <c r="AH770" s="0">
        <f>IF(AG770&gt;0,COUNTIFS($AG$13:AG770,"&gt;0"),"")</f>
      </c>
    </row>
    <row r="771">
      <c r="AB771" s="0">
        <f>IF(AND('PEGAR'!O271=0,'PEGAR'!X271=2),"Fila 271","")</f>
      </c>
      <c r="AC771" s="0">
        <f>IF(AND('PEGAR'!O271=0,'PEGAR'!X271=2),'PEGAR'!B271&amp;"","")</f>
      </c>
      <c r="AD771" s="0">
        <f>IF(AND('PEGAR'!O271=0,'PEGAR'!X271=2),'PEGAR'!C271&amp;"","")</f>
      </c>
      <c r="AE771" s="0">
        <f>IF(AND('PEGAR'!O271=0,'PEGAR'!X271=2),'PEGAR'!D271&amp;"","")</f>
      </c>
      <c r="AF771" s="0">
        <f>IF(AND('PEGAR'!O271=0,'PEGAR'!X271=2),'PEGAR'!N271,"")</f>
      </c>
      <c r="AG771" s="0" t="n">
        <f>IF(AND('PEGAR'!O271=0,'PEGAR'!X271=2),2,0)</f>
        <v>0</v>
      </c>
      <c r="AH771" s="0">
        <f>IF(AG771&gt;0,COUNTIFS($AG$13:AG771,"&gt;0"),"")</f>
      </c>
    </row>
    <row r="772">
      <c r="AB772" s="0">
        <f>IF(AND('PEGAR'!O272=0,'PEGAR'!X272=2),"Fila 272","")</f>
      </c>
      <c r="AC772" s="0">
        <f>IF(AND('PEGAR'!O272=0,'PEGAR'!X272=2),'PEGAR'!B272&amp;"","")</f>
      </c>
      <c r="AD772" s="0">
        <f>IF(AND('PEGAR'!O272=0,'PEGAR'!X272=2),'PEGAR'!C272&amp;"","")</f>
      </c>
      <c r="AE772" s="0">
        <f>IF(AND('PEGAR'!O272=0,'PEGAR'!X272=2),'PEGAR'!D272&amp;"","")</f>
      </c>
      <c r="AF772" s="0">
        <f>IF(AND('PEGAR'!O272=0,'PEGAR'!X272=2),'PEGAR'!N272,"")</f>
      </c>
      <c r="AG772" s="0" t="n">
        <f>IF(AND('PEGAR'!O272=0,'PEGAR'!X272=2),2,0)</f>
        <v>0</v>
      </c>
      <c r="AH772" s="0">
        <f>IF(AG772&gt;0,COUNTIFS($AG$13:AG772,"&gt;0"),"")</f>
      </c>
    </row>
    <row r="773">
      <c r="AB773" s="0">
        <f>IF(AND('PEGAR'!O273=0,'PEGAR'!X273=2),"Fila 273","")</f>
      </c>
      <c r="AC773" s="0">
        <f>IF(AND('PEGAR'!O273=0,'PEGAR'!X273=2),'PEGAR'!B273&amp;"","")</f>
      </c>
      <c r="AD773" s="0">
        <f>IF(AND('PEGAR'!O273=0,'PEGAR'!X273=2),'PEGAR'!C273&amp;"","")</f>
      </c>
      <c r="AE773" s="0">
        <f>IF(AND('PEGAR'!O273=0,'PEGAR'!X273=2),'PEGAR'!D273&amp;"","")</f>
      </c>
      <c r="AF773" s="0">
        <f>IF(AND('PEGAR'!O273=0,'PEGAR'!X273=2),'PEGAR'!N273,"")</f>
      </c>
      <c r="AG773" s="0" t="n">
        <f>IF(AND('PEGAR'!O273=0,'PEGAR'!X273=2),2,0)</f>
        <v>0</v>
      </c>
      <c r="AH773" s="0">
        <f>IF(AG773&gt;0,COUNTIFS($AG$13:AG773,"&gt;0"),"")</f>
      </c>
    </row>
    <row r="774">
      <c r="AB774" s="0">
        <f>IF(AND('PEGAR'!O274=0,'PEGAR'!X274=2),"Fila 274","")</f>
      </c>
      <c r="AC774" s="0">
        <f>IF(AND('PEGAR'!O274=0,'PEGAR'!X274=2),'PEGAR'!B274&amp;"","")</f>
      </c>
      <c r="AD774" s="0">
        <f>IF(AND('PEGAR'!O274=0,'PEGAR'!X274=2),'PEGAR'!C274&amp;"","")</f>
      </c>
      <c r="AE774" s="0">
        <f>IF(AND('PEGAR'!O274=0,'PEGAR'!X274=2),'PEGAR'!D274&amp;"","")</f>
      </c>
      <c r="AF774" s="0">
        <f>IF(AND('PEGAR'!O274=0,'PEGAR'!X274=2),'PEGAR'!N274,"")</f>
      </c>
      <c r="AG774" s="0" t="n">
        <f>IF(AND('PEGAR'!O274=0,'PEGAR'!X274=2),2,0)</f>
        <v>0</v>
      </c>
      <c r="AH774" s="0">
        <f>IF(AG774&gt;0,COUNTIFS($AG$13:AG774,"&gt;0"),"")</f>
      </c>
    </row>
    <row r="775">
      <c r="AB775" s="0">
        <f>IF(AND('PEGAR'!O275=0,'PEGAR'!X275=2),"Fila 275","")</f>
      </c>
      <c r="AC775" s="0">
        <f>IF(AND('PEGAR'!O275=0,'PEGAR'!X275=2),'PEGAR'!B275&amp;"","")</f>
      </c>
      <c r="AD775" s="0">
        <f>IF(AND('PEGAR'!O275=0,'PEGAR'!X275=2),'PEGAR'!C275&amp;"","")</f>
      </c>
      <c r="AE775" s="0">
        <f>IF(AND('PEGAR'!O275=0,'PEGAR'!X275=2),'PEGAR'!D275&amp;"","")</f>
      </c>
      <c r="AF775" s="0">
        <f>IF(AND('PEGAR'!O275=0,'PEGAR'!X275=2),'PEGAR'!N275,"")</f>
      </c>
      <c r="AG775" s="0" t="n">
        <f>IF(AND('PEGAR'!O275=0,'PEGAR'!X275=2),2,0)</f>
        <v>0</v>
      </c>
      <c r="AH775" s="0">
        <f>IF(AG775&gt;0,COUNTIFS($AG$13:AG775,"&gt;0"),"")</f>
      </c>
    </row>
    <row r="776">
      <c r="AB776" s="0">
        <f>IF(AND('PEGAR'!O276=0,'PEGAR'!X276=2),"Fila 276","")</f>
      </c>
      <c r="AC776" s="0">
        <f>IF(AND('PEGAR'!O276=0,'PEGAR'!X276=2),'PEGAR'!B276&amp;"","")</f>
      </c>
      <c r="AD776" s="0">
        <f>IF(AND('PEGAR'!O276=0,'PEGAR'!X276=2),'PEGAR'!C276&amp;"","")</f>
      </c>
      <c r="AE776" s="0">
        <f>IF(AND('PEGAR'!O276=0,'PEGAR'!X276=2),'PEGAR'!D276&amp;"","")</f>
      </c>
      <c r="AF776" s="0">
        <f>IF(AND('PEGAR'!O276=0,'PEGAR'!X276=2),'PEGAR'!N276,"")</f>
      </c>
      <c r="AG776" s="0" t="n">
        <f>IF(AND('PEGAR'!O276=0,'PEGAR'!X276=2),2,0)</f>
        <v>0</v>
      </c>
      <c r="AH776" s="0">
        <f>IF(AG776&gt;0,COUNTIFS($AG$13:AG776,"&gt;0"),"")</f>
      </c>
    </row>
    <row r="777">
      <c r="AB777" s="0">
        <f>IF(AND('PEGAR'!O277=0,'PEGAR'!X277=2),"Fila 277","")</f>
      </c>
      <c r="AC777" s="0">
        <f>IF(AND('PEGAR'!O277=0,'PEGAR'!X277=2),'PEGAR'!B277&amp;"","")</f>
      </c>
      <c r="AD777" s="0">
        <f>IF(AND('PEGAR'!O277=0,'PEGAR'!X277=2),'PEGAR'!C277&amp;"","")</f>
      </c>
      <c r="AE777" s="0">
        <f>IF(AND('PEGAR'!O277=0,'PEGAR'!X277=2),'PEGAR'!D277&amp;"","")</f>
      </c>
      <c r="AF777" s="0">
        <f>IF(AND('PEGAR'!O277=0,'PEGAR'!X277=2),'PEGAR'!N277,"")</f>
      </c>
      <c r="AG777" s="0" t="n">
        <f>IF(AND('PEGAR'!O277=0,'PEGAR'!X277=2),2,0)</f>
        <v>0</v>
      </c>
      <c r="AH777" s="0">
        <f>IF(AG777&gt;0,COUNTIFS($AG$13:AG777,"&gt;0"),"")</f>
      </c>
    </row>
    <row r="778">
      <c r="AB778" s="0">
        <f>IF(AND('PEGAR'!O278=0,'PEGAR'!X278=2),"Fila 278","")</f>
      </c>
      <c r="AC778" s="0">
        <f>IF(AND('PEGAR'!O278=0,'PEGAR'!X278=2),'PEGAR'!B278&amp;"","")</f>
      </c>
      <c r="AD778" s="0">
        <f>IF(AND('PEGAR'!O278=0,'PEGAR'!X278=2),'PEGAR'!C278&amp;"","")</f>
      </c>
      <c r="AE778" s="0">
        <f>IF(AND('PEGAR'!O278=0,'PEGAR'!X278=2),'PEGAR'!D278&amp;"","")</f>
      </c>
      <c r="AF778" s="0">
        <f>IF(AND('PEGAR'!O278=0,'PEGAR'!X278=2),'PEGAR'!N278,"")</f>
      </c>
      <c r="AG778" s="0" t="n">
        <f>IF(AND('PEGAR'!O278=0,'PEGAR'!X278=2),2,0)</f>
        <v>0</v>
      </c>
      <c r="AH778" s="0">
        <f>IF(AG778&gt;0,COUNTIFS($AG$13:AG778,"&gt;0"),"")</f>
      </c>
    </row>
    <row r="779">
      <c r="AB779" s="0">
        <f>IF(AND('PEGAR'!O279=0,'PEGAR'!X279=2),"Fila 279","")</f>
      </c>
      <c r="AC779" s="0">
        <f>IF(AND('PEGAR'!O279=0,'PEGAR'!X279=2),'PEGAR'!B279&amp;"","")</f>
      </c>
      <c r="AD779" s="0">
        <f>IF(AND('PEGAR'!O279=0,'PEGAR'!X279=2),'PEGAR'!C279&amp;"","")</f>
      </c>
      <c r="AE779" s="0">
        <f>IF(AND('PEGAR'!O279=0,'PEGAR'!X279=2),'PEGAR'!D279&amp;"","")</f>
      </c>
      <c r="AF779" s="0">
        <f>IF(AND('PEGAR'!O279=0,'PEGAR'!X279=2),'PEGAR'!N279,"")</f>
      </c>
      <c r="AG779" s="0" t="n">
        <f>IF(AND('PEGAR'!O279=0,'PEGAR'!X279=2),2,0)</f>
        <v>0</v>
      </c>
      <c r="AH779" s="0">
        <f>IF(AG779&gt;0,COUNTIFS($AG$13:AG779,"&gt;0"),"")</f>
      </c>
    </row>
    <row r="780">
      <c r="AB780" s="0">
        <f>IF(AND('PEGAR'!O280=0,'PEGAR'!X280=2),"Fila 280","")</f>
      </c>
      <c r="AC780" s="0">
        <f>IF(AND('PEGAR'!O280=0,'PEGAR'!X280=2),'PEGAR'!B280&amp;"","")</f>
      </c>
      <c r="AD780" s="0">
        <f>IF(AND('PEGAR'!O280=0,'PEGAR'!X280=2),'PEGAR'!C280&amp;"","")</f>
      </c>
      <c r="AE780" s="0">
        <f>IF(AND('PEGAR'!O280=0,'PEGAR'!X280=2),'PEGAR'!D280&amp;"","")</f>
      </c>
      <c r="AF780" s="0">
        <f>IF(AND('PEGAR'!O280=0,'PEGAR'!X280=2),'PEGAR'!N280,"")</f>
      </c>
      <c r="AG780" s="0" t="n">
        <f>IF(AND('PEGAR'!O280=0,'PEGAR'!X280=2),2,0)</f>
        <v>0</v>
      </c>
      <c r="AH780" s="0">
        <f>IF(AG780&gt;0,COUNTIFS($AG$13:AG780,"&gt;0"),"")</f>
      </c>
    </row>
    <row r="781">
      <c r="AB781" s="0">
        <f>IF(AND('PEGAR'!O281=0,'PEGAR'!X281=2),"Fila 281","")</f>
      </c>
      <c r="AC781" s="0">
        <f>IF(AND('PEGAR'!O281=0,'PEGAR'!X281=2),'PEGAR'!B281&amp;"","")</f>
      </c>
      <c r="AD781" s="0">
        <f>IF(AND('PEGAR'!O281=0,'PEGAR'!X281=2),'PEGAR'!C281&amp;"","")</f>
      </c>
      <c r="AE781" s="0">
        <f>IF(AND('PEGAR'!O281=0,'PEGAR'!X281=2),'PEGAR'!D281&amp;"","")</f>
      </c>
      <c r="AF781" s="0">
        <f>IF(AND('PEGAR'!O281=0,'PEGAR'!X281=2),'PEGAR'!N281,"")</f>
      </c>
      <c r="AG781" s="0" t="n">
        <f>IF(AND('PEGAR'!O281=0,'PEGAR'!X281=2),2,0)</f>
        <v>0</v>
      </c>
      <c r="AH781" s="0">
        <f>IF(AG781&gt;0,COUNTIFS($AG$13:AG781,"&gt;0"),"")</f>
      </c>
    </row>
    <row r="782">
      <c r="AB782" s="0">
        <f>IF(AND('PEGAR'!O282=0,'PEGAR'!X282=2),"Fila 282","")</f>
      </c>
      <c r="AC782" s="0">
        <f>IF(AND('PEGAR'!O282=0,'PEGAR'!X282=2),'PEGAR'!B282&amp;"","")</f>
      </c>
      <c r="AD782" s="0">
        <f>IF(AND('PEGAR'!O282=0,'PEGAR'!X282=2),'PEGAR'!C282&amp;"","")</f>
      </c>
      <c r="AE782" s="0">
        <f>IF(AND('PEGAR'!O282=0,'PEGAR'!X282=2),'PEGAR'!D282&amp;"","")</f>
      </c>
      <c r="AF782" s="0">
        <f>IF(AND('PEGAR'!O282=0,'PEGAR'!X282=2),'PEGAR'!N282,"")</f>
      </c>
      <c r="AG782" s="0" t="n">
        <f>IF(AND('PEGAR'!O282=0,'PEGAR'!X282=2),2,0)</f>
        <v>0</v>
      </c>
      <c r="AH782" s="0">
        <f>IF(AG782&gt;0,COUNTIFS($AG$13:AG782,"&gt;0"),"")</f>
      </c>
    </row>
    <row r="783">
      <c r="AB783" s="0">
        <f>IF(AND('PEGAR'!O283=0,'PEGAR'!X283=2),"Fila 283","")</f>
      </c>
      <c r="AC783" s="0">
        <f>IF(AND('PEGAR'!O283=0,'PEGAR'!X283=2),'PEGAR'!B283&amp;"","")</f>
      </c>
      <c r="AD783" s="0">
        <f>IF(AND('PEGAR'!O283=0,'PEGAR'!X283=2),'PEGAR'!C283&amp;"","")</f>
      </c>
      <c r="AE783" s="0">
        <f>IF(AND('PEGAR'!O283=0,'PEGAR'!X283=2),'PEGAR'!D283&amp;"","")</f>
      </c>
      <c r="AF783" s="0">
        <f>IF(AND('PEGAR'!O283=0,'PEGAR'!X283=2),'PEGAR'!N283,"")</f>
      </c>
      <c r="AG783" s="0" t="n">
        <f>IF(AND('PEGAR'!O283=0,'PEGAR'!X283=2),2,0)</f>
        <v>0</v>
      </c>
      <c r="AH783" s="0">
        <f>IF(AG783&gt;0,COUNTIFS($AG$13:AG783,"&gt;0"),"")</f>
      </c>
    </row>
    <row r="784">
      <c r="AB784" s="0">
        <f>IF(AND('PEGAR'!O284=0,'PEGAR'!X284=2),"Fila 284","")</f>
      </c>
      <c r="AC784" s="0">
        <f>IF(AND('PEGAR'!O284=0,'PEGAR'!X284=2),'PEGAR'!B284&amp;"","")</f>
      </c>
      <c r="AD784" s="0">
        <f>IF(AND('PEGAR'!O284=0,'PEGAR'!X284=2),'PEGAR'!C284&amp;"","")</f>
      </c>
      <c r="AE784" s="0">
        <f>IF(AND('PEGAR'!O284=0,'PEGAR'!X284=2),'PEGAR'!D284&amp;"","")</f>
      </c>
      <c r="AF784" s="0">
        <f>IF(AND('PEGAR'!O284=0,'PEGAR'!X284=2),'PEGAR'!N284,"")</f>
      </c>
      <c r="AG784" s="0" t="n">
        <f>IF(AND('PEGAR'!O284=0,'PEGAR'!X284=2),2,0)</f>
        <v>0</v>
      </c>
      <c r="AH784" s="0">
        <f>IF(AG784&gt;0,COUNTIFS($AG$13:AG784,"&gt;0"),"")</f>
      </c>
    </row>
    <row r="785">
      <c r="AB785" s="0">
        <f>IF(AND('PEGAR'!O285=0,'PEGAR'!X285=2),"Fila 285","")</f>
      </c>
      <c r="AC785" s="0">
        <f>IF(AND('PEGAR'!O285=0,'PEGAR'!X285=2),'PEGAR'!B285&amp;"","")</f>
      </c>
      <c r="AD785" s="0">
        <f>IF(AND('PEGAR'!O285=0,'PEGAR'!X285=2),'PEGAR'!C285&amp;"","")</f>
      </c>
      <c r="AE785" s="0">
        <f>IF(AND('PEGAR'!O285=0,'PEGAR'!X285=2),'PEGAR'!D285&amp;"","")</f>
      </c>
      <c r="AF785" s="0">
        <f>IF(AND('PEGAR'!O285=0,'PEGAR'!X285=2),'PEGAR'!N285,"")</f>
      </c>
      <c r="AG785" s="0" t="n">
        <f>IF(AND('PEGAR'!O285=0,'PEGAR'!X285=2),2,0)</f>
        <v>0</v>
      </c>
      <c r="AH785" s="0">
        <f>IF(AG785&gt;0,COUNTIFS($AG$13:AG785,"&gt;0"),"")</f>
      </c>
    </row>
    <row r="786">
      <c r="AB786" s="0">
        <f>IF(AND('PEGAR'!O286=0,'PEGAR'!X286=2),"Fila 286","")</f>
      </c>
      <c r="AC786" s="0">
        <f>IF(AND('PEGAR'!O286=0,'PEGAR'!X286=2),'PEGAR'!B286&amp;"","")</f>
      </c>
      <c r="AD786" s="0">
        <f>IF(AND('PEGAR'!O286=0,'PEGAR'!X286=2),'PEGAR'!C286&amp;"","")</f>
      </c>
      <c r="AE786" s="0">
        <f>IF(AND('PEGAR'!O286=0,'PEGAR'!X286=2),'PEGAR'!D286&amp;"","")</f>
      </c>
      <c r="AF786" s="0">
        <f>IF(AND('PEGAR'!O286=0,'PEGAR'!X286=2),'PEGAR'!N286,"")</f>
      </c>
      <c r="AG786" s="0" t="n">
        <f>IF(AND('PEGAR'!O286=0,'PEGAR'!X286=2),2,0)</f>
        <v>0</v>
      </c>
      <c r="AH786" s="0">
        <f>IF(AG786&gt;0,COUNTIFS($AG$13:AG786,"&gt;0"),"")</f>
      </c>
    </row>
    <row r="787">
      <c r="AB787" s="0">
        <f>IF(AND('PEGAR'!O287=0,'PEGAR'!X287=2),"Fila 287","")</f>
      </c>
      <c r="AC787" s="0">
        <f>IF(AND('PEGAR'!O287=0,'PEGAR'!X287=2),'PEGAR'!B287&amp;"","")</f>
      </c>
      <c r="AD787" s="0">
        <f>IF(AND('PEGAR'!O287=0,'PEGAR'!X287=2),'PEGAR'!C287&amp;"","")</f>
      </c>
      <c r="AE787" s="0">
        <f>IF(AND('PEGAR'!O287=0,'PEGAR'!X287=2),'PEGAR'!D287&amp;"","")</f>
      </c>
      <c r="AF787" s="0">
        <f>IF(AND('PEGAR'!O287=0,'PEGAR'!X287=2),'PEGAR'!N287,"")</f>
      </c>
      <c r="AG787" s="0" t="n">
        <f>IF(AND('PEGAR'!O287=0,'PEGAR'!X287=2),2,0)</f>
        <v>0</v>
      </c>
      <c r="AH787" s="0">
        <f>IF(AG787&gt;0,COUNTIFS($AG$13:AG787,"&gt;0"),"")</f>
      </c>
    </row>
    <row r="788">
      <c r="AB788" s="0">
        <f>IF(AND('PEGAR'!O288=0,'PEGAR'!X288=2),"Fila 288","")</f>
      </c>
      <c r="AC788" s="0">
        <f>IF(AND('PEGAR'!O288=0,'PEGAR'!X288=2),'PEGAR'!B288&amp;"","")</f>
      </c>
      <c r="AD788" s="0">
        <f>IF(AND('PEGAR'!O288=0,'PEGAR'!X288=2),'PEGAR'!C288&amp;"","")</f>
      </c>
      <c r="AE788" s="0">
        <f>IF(AND('PEGAR'!O288=0,'PEGAR'!X288=2),'PEGAR'!D288&amp;"","")</f>
      </c>
      <c r="AF788" s="0">
        <f>IF(AND('PEGAR'!O288=0,'PEGAR'!X288=2),'PEGAR'!N288,"")</f>
      </c>
      <c r="AG788" s="0" t="n">
        <f>IF(AND('PEGAR'!O288=0,'PEGAR'!X288=2),2,0)</f>
        <v>0</v>
      </c>
      <c r="AH788" s="0">
        <f>IF(AG788&gt;0,COUNTIFS($AG$13:AG788,"&gt;0"),"")</f>
      </c>
    </row>
    <row r="789">
      <c r="AB789" s="0">
        <f>IF(AND('PEGAR'!O289=0,'PEGAR'!X289=2),"Fila 289","")</f>
      </c>
      <c r="AC789" s="0">
        <f>IF(AND('PEGAR'!O289=0,'PEGAR'!X289=2),'PEGAR'!B289&amp;"","")</f>
      </c>
      <c r="AD789" s="0">
        <f>IF(AND('PEGAR'!O289=0,'PEGAR'!X289=2),'PEGAR'!C289&amp;"","")</f>
      </c>
      <c r="AE789" s="0">
        <f>IF(AND('PEGAR'!O289=0,'PEGAR'!X289=2),'PEGAR'!D289&amp;"","")</f>
      </c>
      <c r="AF789" s="0">
        <f>IF(AND('PEGAR'!O289=0,'PEGAR'!X289=2),'PEGAR'!N289,"")</f>
      </c>
      <c r="AG789" s="0" t="n">
        <f>IF(AND('PEGAR'!O289=0,'PEGAR'!X289=2),2,0)</f>
        <v>0</v>
      </c>
      <c r="AH789" s="0">
        <f>IF(AG789&gt;0,COUNTIFS($AG$13:AG789,"&gt;0"),"")</f>
      </c>
    </row>
    <row r="790">
      <c r="AB790" s="0">
        <f>IF(AND('PEGAR'!O290=0,'PEGAR'!X290=2),"Fila 290","")</f>
      </c>
      <c r="AC790" s="0">
        <f>IF(AND('PEGAR'!O290=0,'PEGAR'!X290=2),'PEGAR'!B290&amp;"","")</f>
      </c>
      <c r="AD790" s="0">
        <f>IF(AND('PEGAR'!O290=0,'PEGAR'!X290=2),'PEGAR'!C290&amp;"","")</f>
      </c>
      <c r="AE790" s="0">
        <f>IF(AND('PEGAR'!O290=0,'PEGAR'!X290=2),'PEGAR'!D290&amp;"","")</f>
      </c>
      <c r="AF790" s="0">
        <f>IF(AND('PEGAR'!O290=0,'PEGAR'!X290=2),'PEGAR'!N290,"")</f>
      </c>
      <c r="AG790" s="0" t="n">
        <f>IF(AND('PEGAR'!O290=0,'PEGAR'!X290=2),2,0)</f>
        <v>0</v>
      </c>
      <c r="AH790" s="0">
        <f>IF(AG790&gt;0,COUNTIFS($AG$13:AG790,"&gt;0"),"")</f>
      </c>
    </row>
    <row r="791">
      <c r="AB791" s="0">
        <f>IF(AND('PEGAR'!O291=0,'PEGAR'!X291=2),"Fila 291","")</f>
      </c>
      <c r="AC791" s="0">
        <f>IF(AND('PEGAR'!O291=0,'PEGAR'!X291=2),'PEGAR'!B291&amp;"","")</f>
      </c>
      <c r="AD791" s="0">
        <f>IF(AND('PEGAR'!O291=0,'PEGAR'!X291=2),'PEGAR'!C291&amp;"","")</f>
      </c>
      <c r="AE791" s="0">
        <f>IF(AND('PEGAR'!O291=0,'PEGAR'!X291=2),'PEGAR'!D291&amp;"","")</f>
      </c>
      <c r="AF791" s="0">
        <f>IF(AND('PEGAR'!O291=0,'PEGAR'!X291=2),'PEGAR'!N291,"")</f>
      </c>
      <c r="AG791" s="0" t="n">
        <f>IF(AND('PEGAR'!O291=0,'PEGAR'!X291=2),2,0)</f>
        <v>0</v>
      </c>
      <c r="AH791" s="0">
        <f>IF(AG791&gt;0,COUNTIFS($AG$13:AG791,"&gt;0"),"")</f>
      </c>
    </row>
    <row r="792">
      <c r="AB792" s="0">
        <f>IF(AND('PEGAR'!O292=0,'PEGAR'!X292=2),"Fila 292","")</f>
      </c>
      <c r="AC792" s="0">
        <f>IF(AND('PEGAR'!O292=0,'PEGAR'!X292=2),'PEGAR'!B292&amp;"","")</f>
      </c>
      <c r="AD792" s="0">
        <f>IF(AND('PEGAR'!O292=0,'PEGAR'!X292=2),'PEGAR'!C292&amp;"","")</f>
      </c>
      <c r="AE792" s="0">
        <f>IF(AND('PEGAR'!O292=0,'PEGAR'!X292=2),'PEGAR'!D292&amp;"","")</f>
      </c>
      <c r="AF792" s="0">
        <f>IF(AND('PEGAR'!O292=0,'PEGAR'!X292=2),'PEGAR'!N292,"")</f>
      </c>
      <c r="AG792" s="0" t="n">
        <f>IF(AND('PEGAR'!O292=0,'PEGAR'!X292=2),2,0)</f>
        <v>0</v>
      </c>
      <c r="AH792" s="0">
        <f>IF(AG792&gt;0,COUNTIFS($AG$13:AG792,"&gt;0"),"")</f>
      </c>
    </row>
    <row r="793">
      <c r="AB793" s="0">
        <f>IF(AND('PEGAR'!O293=0,'PEGAR'!X293=2),"Fila 293","")</f>
      </c>
      <c r="AC793" s="0">
        <f>IF(AND('PEGAR'!O293=0,'PEGAR'!X293=2),'PEGAR'!B293&amp;"","")</f>
      </c>
      <c r="AD793" s="0">
        <f>IF(AND('PEGAR'!O293=0,'PEGAR'!X293=2),'PEGAR'!C293&amp;"","")</f>
      </c>
      <c r="AE793" s="0">
        <f>IF(AND('PEGAR'!O293=0,'PEGAR'!X293=2),'PEGAR'!D293&amp;"","")</f>
      </c>
      <c r="AF793" s="0">
        <f>IF(AND('PEGAR'!O293=0,'PEGAR'!X293=2),'PEGAR'!N293,"")</f>
      </c>
      <c r="AG793" s="0" t="n">
        <f>IF(AND('PEGAR'!O293=0,'PEGAR'!X293=2),2,0)</f>
        <v>0</v>
      </c>
      <c r="AH793" s="0">
        <f>IF(AG793&gt;0,COUNTIFS($AG$13:AG793,"&gt;0"),"")</f>
      </c>
    </row>
    <row r="794">
      <c r="AB794" s="0">
        <f>IF(AND('PEGAR'!O294=0,'PEGAR'!X294=2),"Fila 294","")</f>
      </c>
      <c r="AC794" s="0">
        <f>IF(AND('PEGAR'!O294=0,'PEGAR'!X294=2),'PEGAR'!B294&amp;"","")</f>
      </c>
      <c r="AD794" s="0">
        <f>IF(AND('PEGAR'!O294=0,'PEGAR'!X294=2),'PEGAR'!C294&amp;"","")</f>
      </c>
      <c r="AE794" s="0">
        <f>IF(AND('PEGAR'!O294=0,'PEGAR'!X294=2),'PEGAR'!D294&amp;"","")</f>
      </c>
      <c r="AF794" s="0">
        <f>IF(AND('PEGAR'!O294=0,'PEGAR'!X294=2),'PEGAR'!N294,"")</f>
      </c>
      <c r="AG794" s="0" t="n">
        <f>IF(AND('PEGAR'!O294=0,'PEGAR'!X294=2),2,0)</f>
        <v>0</v>
      </c>
      <c r="AH794" s="0">
        <f>IF(AG794&gt;0,COUNTIFS($AG$13:AG794,"&gt;0"),"")</f>
      </c>
    </row>
    <row r="795">
      <c r="AB795" s="0">
        <f>IF(AND('PEGAR'!O295=0,'PEGAR'!X295=2),"Fila 295","")</f>
      </c>
      <c r="AC795" s="0">
        <f>IF(AND('PEGAR'!O295=0,'PEGAR'!X295=2),'PEGAR'!B295&amp;"","")</f>
      </c>
      <c r="AD795" s="0">
        <f>IF(AND('PEGAR'!O295=0,'PEGAR'!X295=2),'PEGAR'!C295&amp;"","")</f>
      </c>
      <c r="AE795" s="0">
        <f>IF(AND('PEGAR'!O295=0,'PEGAR'!X295=2),'PEGAR'!D295&amp;"","")</f>
      </c>
      <c r="AF795" s="0">
        <f>IF(AND('PEGAR'!O295=0,'PEGAR'!X295=2),'PEGAR'!N295,"")</f>
      </c>
      <c r="AG795" s="0" t="n">
        <f>IF(AND('PEGAR'!O295=0,'PEGAR'!X295=2),2,0)</f>
        <v>0</v>
      </c>
      <c r="AH795" s="0">
        <f>IF(AG795&gt;0,COUNTIFS($AG$13:AG795,"&gt;0"),"")</f>
      </c>
    </row>
    <row r="796">
      <c r="AB796" s="0">
        <f>IF(AND('PEGAR'!O296=0,'PEGAR'!X296=2),"Fila 296","")</f>
      </c>
      <c r="AC796" s="0">
        <f>IF(AND('PEGAR'!O296=0,'PEGAR'!X296=2),'PEGAR'!B296&amp;"","")</f>
      </c>
      <c r="AD796" s="0">
        <f>IF(AND('PEGAR'!O296=0,'PEGAR'!X296=2),'PEGAR'!C296&amp;"","")</f>
      </c>
      <c r="AE796" s="0">
        <f>IF(AND('PEGAR'!O296=0,'PEGAR'!X296=2),'PEGAR'!D296&amp;"","")</f>
      </c>
      <c r="AF796" s="0">
        <f>IF(AND('PEGAR'!O296=0,'PEGAR'!X296=2),'PEGAR'!N296,"")</f>
      </c>
      <c r="AG796" s="0" t="n">
        <f>IF(AND('PEGAR'!O296=0,'PEGAR'!X296=2),2,0)</f>
        <v>0</v>
      </c>
      <c r="AH796" s="0">
        <f>IF(AG796&gt;0,COUNTIFS($AG$13:AG796,"&gt;0"),"")</f>
      </c>
    </row>
    <row r="797">
      <c r="AB797" s="0">
        <f>IF(AND('PEGAR'!O297=0,'PEGAR'!X297=2),"Fila 297","")</f>
      </c>
      <c r="AC797" s="0">
        <f>IF(AND('PEGAR'!O297=0,'PEGAR'!X297=2),'PEGAR'!B297&amp;"","")</f>
      </c>
      <c r="AD797" s="0">
        <f>IF(AND('PEGAR'!O297=0,'PEGAR'!X297=2),'PEGAR'!C297&amp;"","")</f>
      </c>
      <c r="AE797" s="0">
        <f>IF(AND('PEGAR'!O297=0,'PEGAR'!X297=2),'PEGAR'!D297&amp;"","")</f>
      </c>
      <c r="AF797" s="0">
        <f>IF(AND('PEGAR'!O297=0,'PEGAR'!X297=2),'PEGAR'!N297,"")</f>
      </c>
      <c r="AG797" s="0" t="n">
        <f>IF(AND('PEGAR'!O297=0,'PEGAR'!X297=2),2,0)</f>
        <v>0</v>
      </c>
      <c r="AH797" s="0">
        <f>IF(AG797&gt;0,COUNTIFS($AG$13:AG797,"&gt;0"),"")</f>
      </c>
    </row>
    <row r="798">
      <c r="AB798" s="0">
        <f>IF(AND('PEGAR'!O298=0,'PEGAR'!X298=2),"Fila 298","")</f>
      </c>
      <c r="AC798" s="0">
        <f>IF(AND('PEGAR'!O298=0,'PEGAR'!X298=2),'PEGAR'!B298&amp;"","")</f>
      </c>
      <c r="AD798" s="0">
        <f>IF(AND('PEGAR'!O298=0,'PEGAR'!X298=2),'PEGAR'!C298&amp;"","")</f>
      </c>
      <c r="AE798" s="0">
        <f>IF(AND('PEGAR'!O298=0,'PEGAR'!X298=2),'PEGAR'!D298&amp;"","")</f>
      </c>
      <c r="AF798" s="0">
        <f>IF(AND('PEGAR'!O298=0,'PEGAR'!X298=2),'PEGAR'!N298,"")</f>
      </c>
      <c r="AG798" s="0" t="n">
        <f>IF(AND('PEGAR'!O298=0,'PEGAR'!X298=2),2,0)</f>
        <v>0</v>
      </c>
      <c r="AH798" s="0">
        <f>IF(AG798&gt;0,COUNTIFS($AG$13:AG798,"&gt;0"),"")</f>
      </c>
    </row>
    <row r="799">
      <c r="AB799" s="0">
        <f>IF(AND('PEGAR'!O299=0,'PEGAR'!X299=2),"Fila 299","")</f>
      </c>
      <c r="AC799" s="0">
        <f>IF(AND('PEGAR'!O299=0,'PEGAR'!X299=2),'PEGAR'!B299&amp;"","")</f>
      </c>
      <c r="AD799" s="0">
        <f>IF(AND('PEGAR'!O299=0,'PEGAR'!X299=2),'PEGAR'!C299&amp;"","")</f>
      </c>
      <c r="AE799" s="0">
        <f>IF(AND('PEGAR'!O299=0,'PEGAR'!X299=2),'PEGAR'!D299&amp;"","")</f>
      </c>
      <c r="AF799" s="0">
        <f>IF(AND('PEGAR'!O299=0,'PEGAR'!X299=2),'PEGAR'!N299,"")</f>
      </c>
      <c r="AG799" s="0" t="n">
        <f>IF(AND('PEGAR'!O299=0,'PEGAR'!X299=2),2,0)</f>
        <v>0</v>
      </c>
      <c r="AH799" s="0">
        <f>IF(AG799&gt;0,COUNTIFS($AG$13:AG799,"&gt;0"),"")</f>
      </c>
    </row>
    <row r="800">
      <c r="AB800" s="0">
        <f>IF(AND('PEGAR'!O300=0,'PEGAR'!X300=2),"Fila 300","")</f>
      </c>
      <c r="AC800" s="0">
        <f>IF(AND('PEGAR'!O300=0,'PEGAR'!X300=2),'PEGAR'!B300&amp;"","")</f>
      </c>
      <c r="AD800" s="0">
        <f>IF(AND('PEGAR'!O300=0,'PEGAR'!X300=2),'PEGAR'!C300&amp;"","")</f>
      </c>
      <c r="AE800" s="0">
        <f>IF(AND('PEGAR'!O300=0,'PEGAR'!X300=2),'PEGAR'!D300&amp;"","")</f>
      </c>
      <c r="AF800" s="0">
        <f>IF(AND('PEGAR'!O300=0,'PEGAR'!X300=2),'PEGAR'!N300,"")</f>
      </c>
      <c r="AG800" s="0" t="n">
        <f>IF(AND('PEGAR'!O300=0,'PEGAR'!X300=2),2,0)</f>
        <v>0</v>
      </c>
      <c r="AH800" s="0">
        <f>IF(AG800&gt;0,COUNTIFS($AG$13:AG800,"&gt;0"),"")</f>
      </c>
    </row>
    <row r="801">
      <c r="AB801" s="0">
        <f>IF(AND('PEGAR'!O301=0,'PEGAR'!X301=2),"Fila 301","")</f>
      </c>
      <c r="AC801" s="0">
        <f>IF(AND('PEGAR'!O301=0,'PEGAR'!X301=2),'PEGAR'!B301&amp;"","")</f>
      </c>
      <c r="AD801" s="0">
        <f>IF(AND('PEGAR'!O301=0,'PEGAR'!X301=2),'PEGAR'!C301&amp;"","")</f>
      </c>
      <c r="AE801" s="0">
        <f>IF(AND('PEGAR'!O301=0,'PEGAR'!X301=2),'PEGAR'!D301&amp;"","")</f>
      </c>
      <c r="AF801" s="0">
        <f>IF(AND('PEGAR'!O301=0,'PEGAR'!X301=2),'PEGAR'!N301,"")</f>
      </c>
      <c r="AG801" s="0" t="n">
        <f>IF(AND('PEGAR'!O301=0,'PEGAR'!X301=2),2,0)</f>
        <v>0</v>
      </c>
      <c r="AH801" s="0">
        <f>IF(AG801&gt;0,COUNTIFS($AG$13:AG801,"&gt;0"),"")</f>
      </c>
    </row>
    <row r="802">
      <c r="AB802" s="0">
        <f>IF(AND('PEGAR'!O302=0,'PEGAR'!X302=2),"Fila 302","")</f>
      </c>
      <c r="AC802" s="0">
        <f>IF(AND('PEGAR'!O302=0,'PEGAR'!X302=2),'PEGAR'!B302&amp;"","")</f>
      </c>
      <c r="AD802" s="0">
        <f>IF(AND('PEGAR'!O302=0,'PEGAR'!X302=2),'PEGAR'!C302&amp;"","")</f>
      </c>
      <c r="AE802" s="0">
        <f>IF(AND('PEGAR'!O302=0,'PEGAR'!X302=2),'PEGAR'!D302&amp;"","")</f>
      </c>
      <c r="AF802" s="0">
        <f>IF(AND('PEGAR'!O302=0,'PEGAR'!X302=2),'PEGAR'!N302,"")</f>
      </c>
      <c r="AG802" s="0" t="n">
        <f>IF(AND('PEGAR'!O302=0,'PEGAR'!X302=2),2,0)</f>
        <v>0</v>
      </c>
      <c r="AH802" s="0">
        <f>IF(AG802&gt;0,COUNTIFS($AG$13:AG802,"&gt;0"),"")</f>
      </c>
    </row>
    <row r="803">
      <c r="AB803" s="0">
        <f>IF(AND('PEGAR'!O303=0,'PEGAR'!X303=2),"Fila 303","")</f>
      </c>
      <c r="AC803" s="0">
        <f>IF(AND('PEGAR'!O303=0,'PEGAR'!X303=2),'PEGAR'!B303&amp;"","")</f>
      </c>
      <c r="AD803" s="0">
        <f>IF(AND('PEGAR'!O303=0,'PEGAR'!X303=2),'PEGAR'!C303&amp;"","")</f>
      </c>
      <c r="AE803" s="0">
        <f>IF(AND('PEGAR'!O303=0,'PEGAR'!X303=2),'PEGAR'!D303&amp;"","")</f>
      </c>
      <c r="AF803" s="0">
        <f>IF(AND('PEGAR'!O303=0,'PEGAR'!X303=2),'PEGAR'!N303,"")</f>
      </c>
      <c r="AG803" s="0" t="n">
        <f>IF(AND('PEGAR'!O303=0,'PEGAR'!X303=2),2,0)</f>
        <v>0</v>
      </c>
      <c r="AH803" s="0">
        <f>IF(AG803&gt;0,COUNTIFS($AG$13:AG803,"&gt;0"),"")</f>
      </c>
    </row>
    <row r="804">
      <c r="AB804" s="0">
        <f>IF(AND('PEGAR'!O304=0,'PEGAR'!X304=2),"Fila 304","")</f>
      </c>
      <c r="AC804" s="0">
        <f>IF(AND('PEGAR'!O304=0,'PEGAR'!X304=2),'PEGAR'!B304&amp;"","")</f>
      </c>
      <c r="AD804" s="0">
        <f>IF(AND('PEGAR'!O304=0,'PEGAR'!X304=2),'PEGAR'!C304&amp;"","")</f>
      </c>
      <c r="AE804" s="0">
        <f>IF(AND('PEGAR'!O304=0,'PEGAR'!X304=2),'PEGAR'!D304&amp;"","")</f>
      </c>
      <c r="AF804" s="0">
        <f>IF(AND('PEGAR'!O304=0,'PEGAR'!X304=2),'PEGAR'!N304,"")</f>
      </c>
      <c r="AG804" s="0" t="n">
        <f>IF(AND('PEGAR'!O304=0,'PEGAR'!X304=2),2,0)</f>
        <v>0</v>
      </c>
      <c r="AH804" s="0">
        <f>IF(AG804&gt;0,COUNTIFS($AG$13:AG804,"&gt;0"),"")</f>
      </c>
    </row>
    <row r="805">
      <c r="AB805" s="0">
        <f>IF(AND('PEGAR'!O305=0,'PEGAR'!X305=2),"Fila 305","")</f>
      </c>
      <c r="AC805" s="0">
        <f>IF(AND('PEGAR'!O305=0,'PEGAR'!X305=2),'PEGAR'!B305&amp;"","")</f>
      </c>
      <c r="AD805" s="0">
        <f>IF(AND('PEGAR'!O305=0,'PEGAR'!X305=2),'PEGAR'!C305&amp;"","")</f>
      </c>
      <c r="AE805" s="0">
        <f>IF(AND('PEGAR'!O305=0,'PEGAR'!X305=2),'PEGAR'!D305&amp;"","")</f>
      </c>
      <c r="AF805" s="0">
        <f>IF(AND('PEGAR'!O305=0,'PEGAR'!X305=2),'PEGAR'!N305,"")</f>
      </c>
      <c r="AG805" s="0" t="n">
        <f>IF(AND('PEGAR'!O305=0,'PEGAR'!X305=2),2,0)</f>
        <v>0</v>
      </c>
      <c r="AH805" s="0">
        <f>IF(AG805&gt;0,COUNTIFS($AG$13:AG805,"&gt;0"),"")</f>
      </c>
    </row>
    <row r="806">
      <c r="AB806" s="0">
        <f>IF(AND('PEGAR'!O306=0,'PEGAR'!X306=2),"Fila 306","")</f>
      </c>
      <c r="AC806" s="0">
        <f>IF(AND('PEGAR'!O306=0,'PEGAR'!X306=2),'PEGAR'!B306&amp;"","")</f>
      </c>
      <c r="AD806" s="0">
        <f>IF(AND('PEGAR'!O306=0,'PEGAR'!X306=2),'PEGAR'!C306&amp;"","")</f>
      </c>
      <c r="AE806" s="0">
        <f>IF(AND('PEGAR'!O306=0,'PEGAR'!X306=2),'PEGAR'!D306&amp;"","")</f>
      </c>
      <c r="AF806" s="0">
        <f>IF(AND('PEGAR'!O306=0,'PEGAR'!X306=2),'PEGAR'!N306,"")</f>
      </c>
      <c r="AG806" s="0" t="n">
        <f>IF(AND('PEGAR'!O306=0,'PEGAR'!X306=2),2,0)</f>
        <v>0</v>
      </c>
      <c r="AH806" s="0">
        <f>IF(AG806&gt;0,COUNTIFS($AG$13:AG806,"&gt;0"),"")</f>
      </c>
    </row>
    <row r="807">
      <c r="AB807" s="0">
        <f>IF(AND('PEGAR'!O307=0,'PEGAR'!X307=2),"Fila 307","")</f>
      </c>
      <c r="AC807" s="0">
        <f>IF(AND('PEGAR'!O307=0,'PEGAR'!X307=2),'PEGAR'!B307&amp;"","")</f>
      </c>
      <c r="AD807" s="0">
        <f>IF(AND('PEGAR'!O307=0,'PEGAR'!X307=2),'PEGAR'!C307&amp;"","")</f>
      </c>
      <c r="AE807" s="0">
        <f>IF(AND('PEGAR'!O307=0,'PEGAR'!X307=2),'PEGAR'!D307&amp;"","")</f>
      </c>
      <c r="AF807" s="0">
        <f>IF(AND('PEGAR'!O307=0,'PEGAR'!X307=2),'PEGAR'!N307,"")</f>
      </c>
      <c r="AG807" s="0" t="n">
        <f>IF(AND('PEGAR'!O307=0,'PEGAR'!X307=2),2,0)</f>
        <v>0</v>
      </c>
      <c r="AH807" s="0">
        <f>IF(AG807&gt;0,COUNTIFS($AG$13:AG807,"&gt;0"),"")</f>
      </c>
    </row>
    <row r="808">
      <c r="AB808" s="0">
        <f>IF(AND('PEGAR'!O308=0,'PEGAR'!X308=2),"Fila 308","")</f>
      </c>
      <c r="AC808" s="0">
        <f>IF(AND('PEGAR'!O308=0,'PEGAR'!X308=2),'PEGAR'!B308&amp;"","")</f>
      </c>
      <c r="AD808" s="0">
        <f>IF(AND('PEGAR'!O308=0,'PEGAR'!X308=2),'PEGAR'!C308&amp;"","")</f>
      </c>
      <c r="AE808" s="0">
        <f>IF(AND('PEGAR'!O308=0,'PEGAR'!X308=2),'PEGAR'!D308&amp;"","")</f>
      </c>
      <c r="AF808" s="0">
        <f>IF(AND('PEGAR'!O308=0,'PEGAR'!X308=2),'PEGAR'!N308,"")</f>
      </c>
      <c r="AG808" s="0" t="n">
        <f>IF(AND('PEGAR'!O308=0,'PEGAR'!X308=2),2,0)</f>
        <v>0</v>
      </c>
      <c r="AH808" s="0">
        <f>IF(AG808&gt;0,COUNTIFS($AG$13:AG808,"&gt;0"),"")</f>
      </c>
    </row>
    <row r="809">
      <c r="AB809" s="0">
        <f>IF(AND('PEGAR'!O309=0,'PEGAR'!X309=2),"Fila 309","")</f>
      </c>
      <c r="AC809" s="0">
        <f>IF(AND('PEGAR'!O309=0,'PEGAR'!X309=2),'PEGAR'!B309&amp;"","")</f>
      </c>
      <c r="AD809" s="0">
        <f>IF(AND('PEGAR'!O309=0,'PEGAR'!X309=2),'PEGAR'!C309&amp;"","")</f>
      </c>
      <c r="AE809" s="0">
        <f>IF(AND('PEGAR'!O309=0,'PEGAR'!X309=2),'PEGAR'!D309&amp;"","")</f>
      </c>
      <c r="AF809" s="0">
        <f>IF(AND('PEGAR'!O309=0,'PEGAR'!X309=2),'PEGAR'!N309,"")</f>
      </c>
      <c r="AG809" s="0" t="n">
        <f>IF(AND('PEGAR'!O309=0,'PEGAR'!X309=2),2,0)</f>
        <v>0</v>
      </c>
      <c r="AH809" s="0">
        <f>IF(AG809&gt;0,COUNTIFS($AG$13:AG809,"&gt;0"),"")</f>
      </c>
    </row>
    <row r="810">
      <c r="AB810" s="0">
        <f>IF(AND('PEGAR'!O310=0,'PEGAR'!X310=2),"Fila 310","")</f>
      </c>
      <c r="AC810" s="0">
        <f>IF(AND('PEGAR'!O310=0,'PEGAR'!X310=2),'PEGAR'!B310&amp;"","")</f>
      </c>
      <c r="AD810" s="0">
        <f>IF(AND('PEGAR'!O310=0,'PEGAR'!X310=2),'PEGAR'!C310&amp;"","")</f>
      </c>
      <c r="AE810" s="0">
        <f>IF(AND('PEGAR'!O310=0,'PEGAR'!X310=2),'PEGAR'!D310&amp;"","")</f>
      </c>
      <c r="AF810" s="0">
        <f>IF(AND('PEGAR'!O310=0,'PEGAR'!X310=2),'PEGAR'!N310,"")</f>
      </c>
      <c r="AG810" s="0" t="n">
        <f>IF(AND('PEGAR'!O310=0,'PEGAR'!X310=2),2,0)</f>
        <v>0</v>
      </c>
      <c r="AH810" s="0">
        <f>IF(AG810&gt;0,COUNTIFS($AG$13:AG810,"&gt;0"),"")</f>
      </c>
    </row>
    <row r="811">
      <c r="AB811" s="0">
        <f>IF(AND('PEGAR'!O311=0,'PEGAR'!X311=2),"Fila 311","")</f>
      </c>
      <c r="AC811" s="0">
        <f>IF(AND('PEGAR'!O311=0,'PEGAR'!X311=2),'PEGAR'!B311&amp;"","")</f>
      </c>
      <c r="AD811" s="0">
        <f>IF(AND('PEGAR'!O311=0,'PEGAR'!X311=2),'PEGAR'!C311&amp;"","")</f>
      </c>
      <c r="AE811" s="0">
        <f>IF(AND('PEGAR'!O311=0,'PEGAR'!X311=2),'PEGAR'!D311&amp;"","")</f>
      </c>
      <c r="AF811" s="0">
        <f>IF(AND('PEGAR'!O311=0,'PEGAR'!X311=2),'PEGAR'!N311,"")</f>
      </c>
      <c r="AG811" s="0" t="n">
        <f>IF(AND('PEGAR'!O311=0,'PEGAR'!X311=2),2,0)</f>
        <v>0</v>
      </c>
      <c r="AH811" s="0">
        <f>IF(AG811&gt;0,COUNTIFS($AG$13:AG811,"&gt;0"),"")</f>
      </c>
    </row>
    <row r="812">
      <c r="AB812" s="0">
        <f>IF(AND('PEGAR'!O312=0,'PEGAR'!X312=2),"Fila 312","")</f>
      </c>
      <c r="AC812" s="0">
        <f>IF(AND('PEGAR'!O312=0,'PEGAR'!X312=2),'PEGAR'!B312&amp;"","")</f>
      </c>
      <c r="AD812" s="0">
        <f>IF(AND('PEGAR'!O312=0,'PEGAR'!X312=2),'PEGAR'!C312&amp;"","")</f>
      </c>
      <c r="AE812" s="0">
        <f>IF(AND('PEGAR'!O312=0,'PEGAR'!X312=2),'PEGAR'!D312&amp;"","")</f>
      </c>
      <c r="AF812" s="0">
        <f>IF(AND('PEGAR'!O312=0,'PEGAR'!X312=2),'PEGAR'!N312,"")</f>
      </c>
      <c r="AG812" s="0" t="n">
        <f>IF(AND('PEGAR'!O312=0,'PEGAR'!X312=2),2,0)</f>
        <v>0</v>
      </c>
      <c r="AH812" s="0">
        <f>IF(AG812&gt;0,COUNTIFS($AG$13:AG812,"&gt;0"),"")</f>
      </c>
    </row>
    <row r="813">
      <c r="AB813" s="0">
        <f>IF(AND('PEGAR'!O313=0,'PEGAR'!X313=2),"Fila 313","")</f>
      </c>
      <c r="AC813" s="0">
        <f>IF(AND('PEGAR'!O313=0,'PEGAR'!X313=2),'PEGAR'!B313&amp;"","")</f>
      </c>
      <c r="AD813" s="0">
        <f>IF(AND('PEGAR'!O313=0,'PEGAR'!X313=2),'PEGAR'!C313&amp;"","")</f>
      </c>
      <c r="AE813" s="0">
        <f>IF(AND('PEGAR'!O313=0,'PEGAR'!X313=2),'PEGAR'!D313&amp;"","")</f>
      </c>
      <c r="AF813" s="0">
        <f>IF(AND('PEGAR'!O313=0,'PEGAR'!X313=2),'PEGAR'!N313,"")</f>
      </c>
      <c r="AG813" s="0" t="n">
        <f>IF(AND('PEGAR'!O313=0,'PEGAR'!X313=2),2,0)</f>
        <v>0</v>
      </c>
      <c r="AH813" s="0">
        <f>IF(AG813&gt;0,COUNTIFS($AG$13:AG813,"&gt;0"),"")</f>
      </c>
    </row>
    <row r="814">
      <c r="AB814" s="0">
        <f>IF(AND('PEGAR'!O314=0,'PEGAR'!X314=2),"Fila 314","")</f>
      </c>
      <c r="AC814" s="0">
        <f>IF(AND('PEGAR'!O314=0,'PEGAR'!X314=2),'PEGAR'!B314&amp;"","")</f>
      </c>
      <c r="AD814" s="0">
        <f>IF(AND('PEGAR'!O314=0,'PEGAR'!X314=2),'PEGAR'!C314&amp;"","")</f>
      </c>
      <c r="AE814" s="0">
        <f>IF(AND('PEGAR'!O314=0,'PEGAR'!X314=2),'PEGAR'!D314&amp;"","")</f>
      </c>
      <c r="AF814" s="0">
        <f>IF(AND('PEGAR'!O314=0,'PEGAR'!X314=2),'PEGAR'!N314,"")</f>
      </c>
      <c r="AG814" s="0" t="n">
        <f>IF(AND('PEGAR'!O314=0,'PEGAR'!X314=2),2,0)</f>
        <v>0</v>
      </c>
      <c r="AH814" s="0">
        <f>IF(AG814&gt;0,COUNTIFS($AG$13:AG814,"&gt;0"),"")</f>
      </c>
    </row>
    <row r="815">
      <c r="AB815" s="0">
        <f>IF(AND('PEGAR'!O315=0,'PEGAR'!X315=2),"Fila 315","")</f>
      </c>
      <c r="AC815" s="0">
        <f>IF(AND('PEGAR'!O315=0,'PEGAR'!X315=2),'PEGAR'!B315&amp;"","")</f>
      </c>
      <c r="AD815" s="0">
        <f>IF(AND('PEGAR'!O315=0,'PEGAR'!X315=2),'PEGAR'!C315&amp;"","")</f>
      </c>
      <c r="AE815" s="0">
        <f>IF(AND('PEGAR'!O315=0,'PEGAR'!X315=2),'PEGAR'!D315&amp;"","")</f>
      </c>
      <c r="AF815" s="0">
        <f>IF(AND('PEGAR'!O315=0,'PEGAR'!X315=2),'PEGAR'!N315,"")</f>
      </c>
      <c r="AG815" s="0" t="n">
        <f>IF(AND('PEGAR'!O315=0,'PEGAR'!X315=2),2,0)</f>
        <v>0</v>
      </c>
      <c r="AH815" s="0">
        <f>IF(AG815&gt;0,COUNTIFS($AG$13:AG815,"&gt;0"),"")</f>
      </c>
    </row>
    <row r="816">
      <c r="AB816" s="0">
        <f>IF(AND('PEGAR'!O316=0,'PEGAR'!X316=2),"Fila 316","")</f>
      </c>
      <c r="AC816" s="0">
        <f>IF(AND('PEGAR'!O316=0,'PEGAR'!X316=2),'PEGAR'!B316&amp;"","")</f>
      </c>
      <c r="AD816" s="0">
        <f>IF(AND('PEGAR'!O316=0,'PEGAR'!X316=2),'PEGAR'!C316&amp;"","")</f>
      </c>
      <c r="AE816" s="0">
        <f>IF(AND('PEGAR'!O316=0,'PEGAR'!X316=2),'PEGAR'!D316&amp;"","")</f>
      </c>
      <c r="AF816" s="0">
        <f>IF(AND('PEGAR'!O316=0,'PEGAR'!X316=2),'PEGAR'!N316,"")</f>
      </c>
      <c r="AG816" s="0" t="n">
        <f>IF(AND('PEGAR'!O316=0,'PEGAR'!X316=2),2,0)</f>
        <v>0</v>
      </c>
      <c r="AH816" s="0">
        <f>IF(AG816&gt;0,COUNTIFS($AG$13:AG816,"&gt;0"),"")</f>
      </c>
    </row>
    <row r="817">
      <c r="AB817" s="0">
        <f>IF(AND('PEGAR'!O317=0,'PEGAR'!X317=2),"Fila 317","")</f>
      </c>
      <c r="AC817" s="0">
        <f>IF(AND('PEGAR'!O317=0,'PEGAR'!X317=2),'PEGAR'!B317&amp;"","")</f>
      </c>
      <c r="AD817" s="0">
        <f>IF(AND('PEGAR'!O317=0,'PEGAR'!X317=2),'PEGAR'!C317&amp;"","")</f>
      </c>
      <c r="AE817" s="0">
        <f>IF(AND('PEGAR'!O317=0,'PEGAR'!X317=2),'PEGAR'!D317&amp;"","")</f>
      </c>
      <c r="AF817" s="0">
        <f>IF(AND('PEGAR'!O317=0,'PEGAR'!X317=2),'PEGAR'!N317,"")</f>
      </c>
      <c r="AG817" s="0" t="n">
        <f>IF(AND('PEGAR'!O317=0,'PEGAR'!X317=2),2,0)</f>
        <v>0</v>
      </c>
      <c r="AH817" s="0">
        <f>IF(AG817&gt;0,COUNTIFS($AG$13:AG817,"&gt;0"),"")</f>
      </c>
    </row>
    <row r="818">
      <c r="AB818" s="0">
        <f>IF(AND('PEGAR'!O318=0,'PEGAR'!X318=2),"Fila 318","")</f>
      </c>
      <c r="AC818" s="0">
        <f>IF(AND('PEGAR'!O318=0,'PEGAR'!X318=2),'PEGAR'!B318&amp;"","")</f>
      </c>
      <c r="AD818" s="0">
        <f>IF(AND('PEGAR'!O318=0,'PEGAR'!X318=2),'PEGAR'!C318&amp;"","")</f>
      </c>
      <c r="AE818" s="0">
        <f>IF(AND('PEGAR'!O318=0,'PEGAR'!X318=2),'PEGAR'!D318&amp;"","")</f>
      </c>
      <c r="AF818" s="0">
        <f>IF(AND('PEGAR'!O318=0,'PEGAR'!X318=2),'PEGAR'!N318,"")</f>
      </c>
      <c r="AG818" s="0" t="n">
        <f>IF(AND('PEGAR'!O318=0,'PEGAR'!X318=2),2,0)</f>
        <v>0</v>
      </c>
      <c r="AH818" s="0">
        <f>IF(AG818&gt;0,COUNTIFS($AG$13:AG818,"&gt;0"),"")</f>
      </c>
    </row>
    <row r="819">
      <c r="AB819" s="0">
        <f>IF(AND('PEGAR'!O319=0,'PEGAR'!X319=2),"Fila 319","")</f>
      </c>
      <c r="AC819" s="0">
        <f>IF(AND('PEGAR'!O319=0,'PEGAR'!X319=2),'PEGAR'!B319&amp;"","")</f>
      </c>
      <c r="AD819" s="0">
        <f>IF(AND('PEGAR'!O319=0,'PEGAR'!X319=2),'PEGAR'!C319&amp;"","")</f>
      </c>
      <c r="AE819" s="0">
        <f>IF(AND('PEGAR'!O319=0,'PEGAR'!X319=2),'PEGAR'!D319&amp;"","")</f>
      </c>
      <c r="AF819" s="0">
        <f>IF(AND('PEGAR'!O319=0,'PEGAR'!X319=2),'PEGAR'!N319,"")</f>
      </c>
      <c r="AG819" s="0" t="n">
        <f>IF(AND('PEGAR'!O319=0,'PEGAR'!X319=2),2,0)</f>
        <v>0</v>
      </c>
      <c r="AH819" s="0">
        <f>IF(AG819&gt;0,COUNTIFS($AG$13:AG819,"&gt;0"),"")</f>
      </c>
    </row>
    <row r="820">
      <c r="AB820" s="0">
        <f>IF(AND('PEGAR'!O320=0,'PEGAR'!X320=2),"Fila 320","")</f>
      </c>
      <c r="AC820" s="0">
        <f>IF(AND('PEGAR'!O320=0,'PEGAR'!X320=2),'PEGAR'!B320&amp;"","")</f>
      </c>
      <c r="AD820" s="0">
        <f>IF(AND('PEGAR'!O320=0,'PEGAR'!X320=2),'PEGAR'!C320&amp;"","")</f>
      </c>
      <c r="AE820" s="0">
        <f>IF(AND('PEGAR'!O320=0,'PEGAR'!X320=2),'PEGAR'!D320&amp;"","")</f>
      </c>
      <c r="AF820" s="0">
        <f>IF(AND('PEGAR'!O320=0,'PEGAR'!X320=2),'PEGAR'!N320,"")</f>
      </c>
      <c r="AG820" s="0" t="n">
        <f>IF(AND('PEGAR'!O320=0,'PEGAR'!X320=2),2,0)</f>
        <v>0</v>
      </c>
      <c r="AH820" s="0">
        <f>IF(AG820&gt;0,COUNTIFS($AG$13:AG820,"&gt;0"),"")</f>
      </c>
    </row>
    <row r="821">
      <c r="AB821" s="0">
        <f>IF(AND('PEGAR'!O321=0,'PEGAR'!X321=2),"Fila 321","")</f>
      </c>
      <c r="AC821" s="0">
        <f>IF(AND('PEGAR'!O321=0,'PEGAR'!X321=2),'PEGAR'!B321&amp;"","")</f>
      </c>
      <c r="AD821" s="0">
        <f>IF(AND('PEGAR'!O321=0,'PEGAR'!X321=2),'PEGAR'!C321&amp;"","")</f>
      </c>
      <c r="AE821" s="0">
        <f>IF(AND('PEGAR'!O321=0,'PEGAR'!X321=2),'PEGAR'!D321&amp;"","")</f>
      </c>
      <c r="AF821" s="0">
        <f>IF(AND('PEGAR'!O321=0,'PEGAR'!X321=2),'PEGAR'!N321,"")</f>
      </c>
      <c r="AG821" s="0" t="n">
        <f>IF(AND('PEGAR'!O321=0,'PEGAR'!X321=2),2,0)</f>
        <v>0</v>
      </c>
      <c r="AH821" s="0">
        <f>IF(AG821&gt;0,COUNTIFS($AG$13:AG821,"&gt;0"),"")</f>
      </c>
    </row>
    <row r="822">
      <c r="AB822" s="0">
        <f>IF(AND('PEGAR'!O322=0,'PEGAR'!X322=2),"Fila 322","")</f>
      </c>
      <c r="AC822" s="0">
        <f>IF(AND('PEGAR'!O322=0,'PEGAR'!X322=2),'PEGAR'!B322&amp;"","")</f>
      </c>
      <c r="AD822" s="0">
        <f>IF(AND('PEGAR'!O322=0,'PEGAR'!X322=2),'PEGAR'!C322&amp;"","")</f>
      </c>
      <c r="AE822" s="0">
        <f>IF(AND('PEGAR'!O322=0,'PEGAR'!X322=2),'PEGAR'!D322&amp;"","")</f>
      </c>
      <c r="AF822" s="0">
        <f>IF(AND('PEGAR'!O322=0,'PEGAR'!X322=2),'PEGAR'!N322,"")</f>
      </c>
      <c r="AG822" s="0" t="n">
        <f>IF(AND('PEGAR'!O322=0,'PEGAR'!X322=2),2,0)</f>
        <v>0</v>
      </c>
      <c r="AH822" s="0">
        <f>IF(AG822&gt;0,COUNTIFS($AG$13:AG822,"&gt;0"),"")</f>
      </c>
    </row>
    <row r="823">
      <c r="AB823" s="0">
        <f>IF(AND('PEGAR'!O323=0,'PEGAR'!X323=2),"Fila 323","")</f>
      </c>
      <c r="AC823" s="0">
        <f>IF(AND('PEGAR'!O323=0,'PEGAR'!X323=2),'PEGAR'!B323&amp;"","")</f>
      </c>
      <c r="AD823" s="0">
        <f>IF(AND('PEGAR'!O323=0,'PEGAR'!X323=2),'PEGAR'!C323&amp;"","")</f>
      </c>
      <c r="AE823" s="0">
        <f>IF(AND('PEGAR'!O323=0,'PEGAR'!X323=2),'PEGAR'!D323&amp;"","")</f>
      </c>
      <c r="AF823" s="0">
        <f>IF(AND('PEGAR'!O323=0,'PEGAR'!X323=2),'PEGAR'!N323,"")</f>
      </c>
      <c r="AG823" s="0" t="n">
        <f>IF(AND('PEGAR'!O323=0,'PEGAR'!X323=2),2,0)</f>
        <v>0</v>
      </c>
      <c r="AH823" s="0">
        <f>IF(AG823&gt;0,COUNTIFS($AG$13:AG823,"&gt;0"),"")</f>
      </c>
    </row>
    <row r="824">
      <c r="AB824" s="0">
        <f>IF(AND('PEGAR'!O324=0,'PEGAR'!X324=2),"Fila 324","")</f>
      </c>
      <c r="AC824" s="0">
        <f>IF(AND('PEGAR'!O324=0,'PEGAR'!X324=2),'PEGAR'!B324&amp;"","")</f>
      </c>
      <c r="AD824" s="0">
        <f>IF(AND('PEGAR'!O324=0,'PEGAR'!X324=2),'PEGAR'!C324&amp;"","")</f>
      </c>
      <c r="AE824" s="0">
        <f>IF(AND('PEGAR'!O324=0,'PEGAR'!X324=2),'PEGAR'!D324&amp;"","")</f>
      </c>
      <c r="AF824" s="0">
        <f>IF(AND('PEGAR'!O324=0,'PEGAR'!X324=2),'PEGAR'!N324,"")</f>
      </c>
      <c r="AG824" s="0" t="n">
        <f>IF(AND('PEGAR'!O324=0,'PEGAR'!X324=2),2,0)</f>
        <v>0</v>
      </c>
      <c r="AH824" s="0">
        <f>IF(AG824&gt;0,COUNTIFS($AG$13:AG824,"&gt;0"),"")</f>
      </c>
    </row>
    <row r="825">
      <c r="AB825" s="0">
        <f>IF(AND('PEGAR'!O325=0,'PEGAR'!X325=2),"Fila 325","")</f>
      </c>
      <c r="AC825" s="0">
        <f>IF(AND('PEGAR'!O325=0,'PEGAR'!X325=2),'PEGAR'!B325&amp;"","")</f>
      </c>
      <c r="AD825" s="0">
        <f>IF(AND('PEGAR'!O325=0,'PEGAR'!X325=2),'PEGAR'!C325&amp;"","")</f>
      </c>
      <c r="AE825" s="0">
        <f>IF(AND('PEGAR'!O325=0,'PEGAR'!X325=2),'PEGAR'!D325&amp;"","")</f>
      </c>
      <c r="AF825" s="0">
        <f>IF(AND('PEGAR'!O325=0,'PEGAR'!X325=2),'PEGAR'!N325,"")</f>
      </c>
      <c r="AG825" s="0" t="n">
        <f>IF(AND('PEGAR'!O325=0,'PEGAR'!X325=2),2,0)</f>
        <v>0</v>
      </c>
      <c r="AH825" s="0">
        <f>IF(AG825&gt;0,COUNTIFS($AG$13:AG825,"&gt;0"),"")</f>
      </c>
    </row>
    <row r="826">
      <c r="AB826" s="0">
        <f>IF(AND('PEGAR'!O326=0,'PEGAR'!X326=2),"Fila 326","")</f>
      </c>
      <c r="AC826" s="0">
        <f>IF(AND('PEGAR'!O326=0,'PEGAR'!X326=2),'PEGAR'!B326&amp;"","")</f>
      </c>
      <c r="AD826" s="0">
        <f>IF(AND('PEGAR'!O326=0,'PEGAR'!X326=2),'PEGAR'!C326&amp;"","")</f>
      </c>
      <c r="AE826" s="0">
        <f>IF(AND('PEGAR'!O326=0,'PEGAR'!X326=2),'PEGAR'!D326&amp;"","")</f>
      </c>
      <c r="AF826" s="0">
        <f>IF(AND('PEGAR'!O326=0,'PEGAR'!X326=2),'PEGAR'!N326,"")</f>
      </c>
      <c r="AG826" s="0" t="n">
        <f>IF(AND('PEGAR'!O326=0,'PEGAR'!X326=2),2,0)</f>
        <v>0</v>
      </c>
      <c r="AH826" s="0">
        <f>IF(AG826&gt;0,COUNTIFS($AG$13:AG826,"&gt;0"),"")</f>
      </c>
    </row>
    <row r="827">
      <c r="AB827" s="0">
        <f>IF(AND('PEGAR'!O327=0,'PEGAR'!X327=2),"Fila 327","")</f>
      </c>
      <c r="AC827" s="0">
        <f>IF(AND('PEGAR'!O327=0,'PEGAR'!X327=2),'PEGAR'!B327&amp;"","")</f>
      </c>
      <c r="AD827" s="0">
        <f>IF(AND('PEGAR'!O327=0,'PEGAR'!X327=2),'PEGAR'!C327&amp;"","")</f>
      </c>
      <c r="AE827" s="0">
        <f>IF(AND('PEGAR'!O327=0,'PEGAR'!X327=2),'PEGAR'!D327&amp;"","")</f>
      </c>
      <c r="AF827" s="0">
        <f>IF(AND('PEGAR'!O327=0,'PEGAR'!X327=2),'PEGAR'!N327,"")</f>
      </c>
      <c r="AG827" s="0" t="n">
        <f>IF(AND('PEGAR'!O327=0,'PEGAR'!X327=2),2,0)</f>
        <v>0</v>
      </c>
      <c r="AH827" s="0">
        <f>IF(AG827&gt;0,COUNTIFS($AG$13:AG827,"&gt;0"),"")</f>
      </c>
    </row>
    <row r="828">
      <c r="AB828" s="0">
        <f>IF(AND('PEGAR'!O328=0,'PEGAR'!X328=2),"Fila 328","")</f>
      </c>
      <c r="AC828" s="0">
        <f>IF(AND('PEGAR'!O328=0,'PEGAR'!X328=2),'PEGAR'!B328&amp;"","")</f>
      </c>
      <c r="AD828" s="0">
        <f>IF(AND('PEGAR'!O328=0,'PEGAR'!X328=2),'PEGAR'!C328&amp;"","")</f>
      </c>
      <c r="AE828" s="0">
        <f>IF(AND('PEGAR'!O328=0,'PEGAR'!X328=2),'PEGAR'!D328&amp;"","")</f>
      </c>
      <c r="AF828" s="0">
        <f>IF(AND('PEGAR'!O328=0,'PEGAR'!X328=2),'PEGAR'!N328,"")</f>
      </c>
      <c r="AG828" s="0" t="n">
        <f>IF(AND('PEGAR'!O328=0,'PEGAR'!X328=2),2,0)</f>
        <v>0</v>
      </c>
      <c r="AH828" s="0">
        <f>IF(AG828&gt;0,COUNTIFS($AG$13:AG828,"&gt;0"),"")</f>
      </c>
    </row>
    <row r="829">
      <c r="AB829" s="0">
        <f>IF(AND('PEGAR'!O329=0,'PEGAR'!X329=2),"Fila 329","")</f>
      </c>
      <c r="AC829" s="0">
        <f>IF(AND('PEGAR'!O329=0,'PEGAR'!X329=2),'PEGAR'!B329&amp;"","")</f>
      </c>
      <c r="AD829" s="0">
        <f>IF(AND('PEGAR'!O329=0,'PEGAR'!X329=2),'PEGAR'!C329&amp;"","")</f>
      </c>
      <c r="AE829" s="0">
        <f>IF(AND('PEGAR'!O329=0,'PEGAR'!X329=2),'PEGAR'!D329&amp;"","")</f>
      </c>
      <c r="AF829" s="0">
        <f>IF(AND('PEGAR'!O329=0,'PEGAR'!X329=2),'PEGAR'!N329,"")</f>
      </c>
      <c r="AG829" s="0" t="n">
        <f>IF(AND('PEGAR'!O329=0,'PEGAR'!X329=2),2,0)</f>
        <v>0</v>
      </c>
      <c r="AH829" s="0">
        <f>IF(AG829&gt;0,COUNTIFS($AG$13:AG829,"&gt;0"),"")</f>
      </c>
    </row>
    <row r="830">
      <c r="AB830" s="0">
        <f>IF(AND('PEGAR'!O330=0,'PEGAR'!X330=2),"Fila 330","")</f>
      </c>
      <c r="AC830" s="0">
        <f>IF(AND('PEGAR'!O330=0,'PEGAR'!X330=2),'PEGAR'!B330&amp;"","")</f>
      </c>
      <c r="AD830" s="0">
        <f>IF(AND('PEGAR'!O330=0,'PEGAR'!X330=2),'PEGAR'!C330&amp;"","")</f>
      </c>
      <c r="AE830" s="0">
        <f>IF(AND('PEGAR'!O330=0,'PEGAR'!X330=2),'PEGAR'!D330&amp;"","")</f>
      </c>
      <c r="AF830" s="0">
        <f>IF(AND('PEGAR'!O330=0,'PEGAR'!X330=2),'PEGAR'!N330,"")</f>
      </c>
      <c r="AG830" s="0" t="n">
        <f>IF(AND('PEGAR'!O330=0,'PEGAR'!X330=2),2,0)</f>
        <v>0</v>
      </c>
      <c r="AH830" s="0">
        <f>IF(AG830&gt;0,COUNTIFS($AG$13:AG830,"&gt;0"),"")</f>
      </c>
    </row>
    <row r="831">
      <c r="AB831" s="0">
        <f>IF(AND('PEGAR'!O331=0,'PEGAR'!X331=2),"Fila 331","")</f>
      </c>
      <c r="AC831" s="0">
        <f>IF(AND('PEGAR'!O331=0,'PEGAR'!X331=2),'PEGAR'!B331&amp;"","")</f>
      </c>
      <c r="AD831" s="0">
        <f>IF(AND('PEGAR'!O331=0,'PEGAR'!X331=2),'PEGAR'!C331&amp;"","")</f>
      </c>
      <c r="AE831" s="0">
        <f>IF(AND('PEGAR'!O331=0,'PEGAR'!X331=2),'PEGAR'!D331&amp;"","")</f>
      </c>
      <c r="AF831" s="0">
        <f>IF(AND('PEGAR'!O331=0,'PEGAR'!X331=2),'PEGAR'!N331,"")</f>
      </c>
      <c r="AG831" s="0" t="n">
        <f>IF(AND('PEGAR'!O331=0,'PEGAR'!X331=2),2,0)</f>
        <v>0</v>
      </c>
      <c r="AH831" s="0">
        <f>IF(AG831&gt;0,COUNTIFS($AG$13:AG831,"&gt;0"),"")</f>
      </c>
    </row>
    <row r="832">
      <c r="AB832" s="0">
        <f>IF(AND('PEGAR'!O332=0,'PEGAR'!X332=2),"Fila 332","")</f>
      </c>
      <c r="AC832" s="0">
        <f>IF(AND('PEGAR'!O332=0,'PEGAR'!X332=2),'PEGAR'!B332&amp;"","")</f>
      </c>
      <c r="AD832" s="0">
        <f>IF(AND('PEGAR'!O332=0,'PEGAR'!X332=2),'PEGAR'!C332&amp;"","")</f>
      </c>
      <c r="AE832" s="0">
        <f>IF(AND('PEGAR'!O332=0,'PEGAR'!X332=2),'PEGAR'!D332&amp;"","")</f>
      </c>
      <c r="AF832" s="0">
        <f>IF(AND('PEGAR'!O332=0,'PEGAR'!X332=2),'PEGAR'!N332,"")</f>
      </c>
      <c r="AG832" s="0" t="n">
        <f>IF(AND('PEGAR'!O332=0,'PEGAR'!X332=2),2,0)</f>
        <v>0</v>
      </c>
      <c r="AH832" s="0">
        <f>IF(AG832&gt;0,COUNTIFS($AG$13:AG832,"&gt;0"),"")</f>
      </c>
    </row>
    <row r="833">
      <c r="AB833" s="0">
        <f>IF(AND('PEGAR'!O333=0,'PEGAR'!X333=2),"Fila 333","")</f>
      </c>
      <c r="AC833" s="0">
        <f>IF(AND('PEGAR'!O333=0,'PEGAR'!X333=2),'PEGAR'!B333&amp;"","")</f>
      </c>
      <c r="AD833" s="0">
        <f>IF(AND('PEGAR'!O333=0,'PEGAR'!X333=2),'PEGAR'!C333&amp;"","")</f>
      </c>
      <c r="AE833" s="0">
        <f>IF(AND('PEGAR'!O333=0,'PEGAR'!X333=2),'PEGAR'!D333&amp;"","")</f>
      </c>
      <c r="AF833" s="0">
        <f>IF(AND('PEGAR'!O333=0,'PEGAR'!X333=2),'PEGAR'!N333,"")</f>
      </c>
      <c r="AG833" s="0" t="n">
        <f>IF(AND('PEGAR'!O333=0,'PEGAR'!X333=2),2,0)</f>
        <v>0</v>
      </c>
      <c r="AH833" s="0">
        <f>IF(AG833&gt;0,COUNTIFS($AG$13:AG833,"&gt;0"),"")</f>
      </c>
    </row>
    <row r="834">
      <c r="AB834" s="0">
        <f>IF(AND('PEGAR'!O334=0,'PEGAR'!X334=2),"Fila 334","")</f>
      </c>
      <c r="AC834" s="0">
        <f>IF(AND('PEGAR'!O334=0,'PEGAR'!X334=2),'PEGAR'!B334&amp;"","")</f>
      </c>
      <c r="AD834" s="0">
        <f>IF(AND('PEGAR'!O334=0,'PEGAR'!X334=2),'PEGAR'!C334&amp;"","")</f>
      </c>
      <c r="AE834" s="0">
        <f>IF(AND('PEGAR'!O334=0,'PEGAR'!X334=2),'PEGAR'!D334&amp;"","")</f>
      </c>
      <c r="AF834" s="0">
        <f>IF(AND('PEGAR'!O334=0,'PEGAR'!X334=2),'PEGAR'!N334,"")</f>
      </c>
      <c r="AG834" s="0" t="n">
        <f>IF(AND('PEGAR'!O334=0,'PEGAR'!X334=2),2,0)</f>
        <v>0</v>
      </c>
      <c r="AH834" s="0">
        <f>IF(AG834&gt;0,COUNTIFS($AG$13:AG834,"&gt;0"),"")</f>
      </c>
    </row>
    <row r="835">
      <c r="AB835" s="0">
        <f>IF(AND('PEGAR'!O335=0,'PEGAR'!X335=2),"Fila 335","")</f>
      </c>
      <c r="AC835" s="0">
        <f>IF(AND('PEGAR'!O335=0,'PEGAR'!X335=2),'PEGAR'!B335&amp;"","")</f>
      </c>
      <c r="AD835" s="0">
        <f>IF(AND('PEGAR'!O335=0,'PEGAR'!X335=2),'PEGAR'!C335&amp;"","")</f>
      </c>
      <c r="AE835" s="0">
        <f>IF(AND('PEGAR'!O335=0,'PEGAR'!X335=2),'PEGAR'!D335&amp;"","")</f>
      </c>
      <c r="AF835" s="0">
        <f>IF(AND('PEGAR'!O335=0,'PEGAR'!X335=2),'PEGAR'!N335,"")</f>
      </c>
      <c r="AG835" s="0" t="n">
        <f>IF(AND('PEGAR'!O335=0,'PEGAR'!X335=2),2,0)</f>
        <v>0</v>
      </c>
      <c r="AH835" s="0">
        <f>IF(AG835&gt;0,COUNTIFS($AG$13:AG835,"&gt;0"),"")</f>
      </c>
    </row>
    <row r="836">
      <c r="AB836" s="0">
        <f>IF(AND('PEGAR'!O336=0,'PEGAR'!X336=2),"Fila 336","")</f>
      </c>
      <c r="AC836" s="0">
        <f>IF(AND('PEGAR'!O336=0,'PEGAR'!X336=2),'PEGAR'!B336&amp;"","")</f>
      </c>
      <c r="AD836" s="0">
        <f>IF(AND('PEGAR'!O336=0,'PEGAR'!X336=2),'PEGAR'!C336&amp;"","")</f>
      </c>
      <c r="AE836" s="0">
        <f>IF(AND('PEGAR'!O336=0,'PEGAR'!X336=2),'PEGAR'!D336&amp;"","")</f>
      </c>
      <c r="AF836" s="0">
        <f>IF(AND('PEGAR'!O336=0,'PEGAR'!X336=2),'PEGAR'!N336,"")</f>
      </c>
      <c r="AG836" s="0" t="n">
        <f>IF(AND('PEGAR'!O336=0,'PEGAR'!X336=2),2,0)</f>
        <v>0</v>
      </c>
      <c r="AH836" s="0">
        <f>IF(AG836&gt;0,COUNTIFS($AG$13:AG836,"&gt;0"),"")</f>
      </c>
    </row>
    <row r="837">
      <c r="AB837" s="0">
        <f>IF(AND('PEGAR'!O337=0,'PEGAR'!X337=2),"Fila 337","")</f>
      </c>
      <c r="AC837" s="0">
        <f>IF(AND('PEGAR'!O337=0,'PEGAR'!X337=2),'PEGAR'!B337&amp;"","")</f>
      </c>
      <c r="AD837" s="0">
        <f>IF(AND('PEGAR'!O337=0,'PEGAR'!X337=2),'PEGAR'!C337&amp;"","")</f>
      </c>
      <c r="AE837" s="0">
        <f>IF(AND('PEGAR'!O337=0,'PEGAR'!X337=2),'PEGAR'!D337&amp;"","")</f>
      </c>
      <c r="AF837" s="0">
        <f>IF(AND('PEGAR'!O337=0,'PEGAR'!X337=2),'PEGAR'!N337,"")</f>
      </c>
      <c r="AG837" s="0" t="n">
        <f>IF(AND('PEGAR'!O337=0,'PEGAR'!X337=2),2,0)</f>
        <v>0</v>
      </c>
      <c r="AH837" s="0">
        <f>IF(AG837&gt;0,COUNTIFS($AG$13:AG837,"&gt;0"),"")</f>
      </c>
    </row>
    <row r="838">
      <c r="AB838" s="0">
        <f>IF(AND('PEGAR'!O338=0,'PEGAR'!X338=2),"Fila 338","")</f>
      </c>
      <c r="AC838" s="0">
        <f>IF(AND('PEGAR'!O338=0,'PEGAR'!X338=2),'PEGAR'!B338&amp;"","")</f>
      </c>
      <c r="AD838" s="0">
        <f>IF(AND('PEGAR'!O338=0,'PEGAR'!X338=2),'PEGAR'!C338&amp;"","")</f>
      </c>
      <c r="AE838" s="0">
        <f>IF(AND('PEGAR'!O338=0,'PEGAR'!X338=2),'PEGAR'!D338&amp;"","")</f>
      </c>
      <c r="AF838" s="0">
        <f>IF(AND('PEGAR'!O338=0,'PEGAR'!X338=2),'PEGAR'!N338,"")</f>
      </c>
      <c r="AG838" s="0" t="n">
        <f>IF(AND('PEGAR'!O338=0,'PEGAR'!X338=2),2,0)</f>
        <v>0</v>
      </c>
      <c r="AH838" s="0">
        <f>IF(AG838&gt;0,COUNTIFS($AG$13:AG838,"&gt;0"),"")</f>
      </c>
    </row>
    <row r="839">
      <c r="AB839" s="0">
        <f>IF(AND('PEGAR'!O339=0,'PEGAR'!X339=2),"Fila 339","")</f>
      </c>
      <c r="AC839" s="0">
        <f>IF(AND('PEGAR'!O339=0,'PEGAR'!X339=2),'PEGAR'!B339&amp;"","")</f>
      </c>
      <c r="AD839" s="0">
        <f>IF(AND('PEGAR'!O339=0,'PEGAR'!X339=2),'PEGAR'!C339&amp;"","")</f>
      </c>
      <c r="AE839" s="0">
        <f>IF(AND('PEGAR'!O339=0,'PEGAR'!X339=2),'PEGAR'!D339&amp;"","")</f>
      </c>
      <c r="AF839" s="0">
        <f>IF(AND('PEGAR'!O339=0,'PEGAR'!X339=2),'PEGAR'!N339,"")</f>
      </c>
      <c r="AG839" s="0" t="n">
        <f>IF(AND('PEGAR'!O339=0,'PEGAR'!X339=2),2,0)</f>
        <v>0</v>
      </c>
      <c r="AH839" s="0">
        <f>IF(AG839&gt;0,COUNTIFS($AG$13:AG839,"&gt;0"),"")</f>
      </c>
    </row>
    <row r="840">
      <c r="AB840" s="0">
        <f>IF(AND('PEGAR'!O340=0,'PEGAR'!X340=2),"Fila 340","")</f>
      </c>
      <c r="AC840" s="0">
        <f>IF(AND('PEGAR'!O340=0,'PEGAR'!X340=2),'PEGAR'!B340&amp;"","")</f>
      </c>
      <c r="AD840" s="0">
        <f>IF(AND('PEGAR'!O340=0,'PEGAR'!X340=2),'PEGAR'!C340&amp;"","")</f>
      </c>
      <c r="AE840" s="0">
        <f>IF(AND('PEGAR'!O340=0,'PEGAR'!X340=2),'PEGAR'!D340&amp;"","")</f>
      </c>
      <c r="AF840" s="0">
        <f>IF(AND('PEGAR'!O340=0,'PEGAR'!X340=2),'PEGAR'!N340,"")</f>
      </c>
      <c r="AG840" s="0" t="n">
        <f>IF(AND('PEGAR'!O340=0,'PEGAR'!X340=2),2,0)</f>
        <v>0</v>
      </c>
      <c r="AH840" s="0">
        <f>IF(AG840&gt;0,COUNTIFS($AG$13:AG840,"&gt;0"),"")</f>
      </c>
    </row>
    <row r="841">
      <c r="AB841" s="0">
        <f>IF(AND('PEGAR'!O341=0,'PEGAR'!X341=2),"Fila 341","")</f>
      </c>
      <c r="AC841" s="0">
        <f>IF(AND('PEGAR'!O341=0,'PEGAR'!X341=2),'PEGAR'!B341&amp;"","")</f>
      </c>
      <c r="AD841" s="0">
        <f>IF(AND('PEGAR'!O341=0,'PEGAR'!X341=2),'PEGAR'!C341&amp;"","")</f>
      </c>
      <c r="AE841" s="0">
        <f>IF(AND('PEGAR'!O341=0,'PEGAR'!X341=2),'PEGAR'!D341&amp;"","")</f>
      </c>
      <c r="AF841" s="0">
        <f>IF(AND('PEGAR'!O341=0,'PEGAR'!X341=2),'PEGAR'!N341,"")</f>
      </c>
      <c r="AG841" s="0" t="n">
        <f>IF(AND('PEGAR'!O341=0,'PEGAR'!X341=2),2,0)</f>
        <v>0</v>
      </c>
      <c r="AH841" s="0">
        <f>IF(AG841&gt;0,COUNTIFS($AG$13:AG841,"&gt;0"),"")</f>
      </c>
    </row>
    <row r="842">
      <c r="AB842" s="0">
        <f>IF(AND('PEGAR'!O342=0,'PEGAR'!X342=2),"Fila 342","")</f>
      </c>
      <c r="AC842" s="0">
        <f>IF(AND('PEGAR'!O342=0,'PEGAR'!X342=2),'PEGAR'!B342&amp;"","")</f>
      </c>
      <c r="AD842" s="0">
        <f>IF(AND('PEGAR'!O342=0,'PEGAR'!X342=2),'PEGAR'!C342&amp;"","")</f>
      </c>
      <c r="AE842" s="0">
        <f>IF(AND('PEGAR'!O342=0,'PEGAR'!X342=2),'PEGAR'!D342&amp;"","")</f>
      </c>
      <c r="AF842" s="0">
        <f>IF(AND('PEGAR'!O342=0,'PEGAR'!X342=2),'PEGAR'!N342,"")</f>
      </c>
      <c r="AG842" s="0" t="n">
        <f>IF(AND('PEGAR'!O342=0,'PEGAR'!X342=2),2,0)</f>
        <v>0</v>
      </c>
      <c r="AH842" s="0">
        <f>IF(AG842&gt;0,COUNTIFS($AG$13:AG842,"&gt;0"),"")</f>
      </c>
    </row>
    <row r="843">
      <c r="AB843" s="0">
        <f>IF(AND('PEGAR'!O343=0,'PEGAR'!X343=2),"Fila 343","")</f>
      </c>
      <c r="AC843" s="0">
        <f>IF(AND('PEGAR'!O343=0,'PEGAR'!X343=2),'PEGAR'!B343&amp;"","")</f>
      </c>
      <c r="AD843" s="0">
        <f>IF(AND('PEGAR'!O343=0,'PEGAR'!X343=2),'PEGAR'!C343&amp;"","")</f>
      </c>
      <c r="AE843" s="0">
        <f>IF(AND('PEGAR'!O343=0,'PEGAR'!X343=2),'PEGAR'!D343&amp;"","")</f>
      </c>
      <c r="AF843" s="0">
        <f>IF(AND('PEGAR'!O343=0,'PEGAR'!X343=2),'PEGAR'!N343,"")</f>
      </c>
      <c r="AG843" s="0" t="n">
        <f>IF(AND('PEGAR'!O343=0,'PEGAR'!X343=2),2,0)</f>
        <v>0</v>
      </c>
      <c r="AH843" s="0">
        <f>IF(AG843&gt;0,COUNTIFS($AG$13:AG843,"&gt;0"),"")</f>
      </c>
    </row>
    <row r="844">
      <c r="AB844" s="0">
        <f>IF(AND('PEGAR'!O344=0,'PEGAR'!X344=2),"Fila 344","")</f>
      </c>
      <c r="AC844" s="0">
        <f>IF(AND('PEGAR'!O344=0,'PEGAR'!X344=2),'PEGAR'!B344&amp;"","")</f>
      </c>
      <c r="AD844" s="0">
        <f>IF(AND('PEGAR'!O344=0,'PEGAR'!X344=2),'PEGAR'!C344&amp;"","")</f>
      </c>
      <c r="AE844" s="0">
        <f>IF(AND('PEGAR'!O344=0,'PEGAR'!X344=2),'PEGAR'!D344&amp;"","")</f>
      </c>
      <c r="AF844" s="0">
        <f>IF(AND('PEGAR'!O344=0,'PEGAR'!X344=2),'PEGAR'!N344,"")</f>
      </c>
      <c r="AG844" s="0" t="n">
        <f>IF(AND('PEGAR'!O344=0,'PEGAR'!X344=2),2,0)</f>
        <v>0</v>
      </c>
      <c r="AH844" s="0">
        <f>IF(AG844&gt;0,COUNTIFS($AG$13:AG844,"&gt;0"),"")</f>
      </c>
    </row>
    <row r="845">
      <c r="AB845" s="0">
        <f>IF(AND('PEGAR'!O345=0,'PEGAR'!X345=2),"Fila 345","")</f>
      </c>
      <c r="AC845" s="0">
        <f>IF(AND('PEGAR'!O345=0,'PEGAR'!X345=2),'PEGAR'!B345&amp;"","")</f>
      </c>
      <c r="AD845" s="0">
        <f>IF(AND('PEGAR'!O345=0,'PEGAR'!X345=2),'PEGAR'!C345&amp;"","")</f>
      </c>
      <c r="AE845" s="0">
        <f>IF(AND('PEGAR'!O345=0,'PEGAR'!X345=2),'PEGAR'!D345&amp;"","")</f>
      </c>
      <c r="AF845" s="0">
        <f>IF(AND('PEGAR'!O345=0,'PEGAR'!X345=2),'PEGAR'!N345,"")</f>
      </c>
      <c r="AG845" s="0" t="n">
        <f>IF(AND('PEGAR'!O345=0,'PEGAR'!X345=2),2,0)</f>
        <v>0</v>
      </c>
      <c r="AH845" s="0">
        <f>IF(AG845&gt;0,COUNTIFS($AG$13:AG845,"&gt;0"),"")</f>
      </c>
    </row>
    <row r="846">
      <c r="AB846" s="0">
        <f>IF(AND('PEGAR'!O346=0,'PEGAR'!X346=2),"Fila 346","")</f>
      </c>
      <c r="AC846" s="0">
        <f>IF(AND('PEGAR'!O346=0,'PEGAR'!X346=2),'PEGAR'!B346&amp;"","")</f>
      </c>
      <c r="AD846" s="0">
        <f>IF(AND('PEGAR'!O346=0,'PEGAR'!X346=2),'PEGAR'!C346&amp;"","")</f>
      </c>
      <c r="AE846" s="0">
        <f>IF(AND('PEGAR'!O346=0,'PEGAR'!X346=2),'PEGAR'!D346&amp;"","")</f>
      </c>
      <c r="AF846" s="0">
        <f>IF(AND('PEGAR'!O346=0,'PEGAR'!X346=2),'PEGAR'!N346,"")</f>
      </c>
      <c r="AG846" s="0" t="n">
        <f>IF(AND('PEGAR'!O346=0,'PEGAR'!X346=2),2,0)</f>
        <v>0</v>
      </c>
      <c r="AH846" s="0">
        <f>IF(AG846&gt;0,COUNTIFS($AG$13:AG846,"&gt;0"),"")</f>
      </c>
    </row>
    <row r="847">
      <c r="AB847" s="0">
        <f>IF(AND('PEGAR'!O347=0,'PEGAR'!X347=2),"Fila 347","")</f>
      </c>
      <c r="AC847" s="0">
        <f>IF(AND('PEGAR'!O347=0,'PEGAR'!X347=2),'PEGAR'!B347&amp;"","")</f>
      </c>
      <c r="AD847" s="0">
        <f>IF(AND('PEGAR'!O347=0,'PEGAR'!X347=2),'PEGAR'!C347&amp;"","")</f>
      </c>
      <c r="AE847" s="0">
        <f>IF(AND('PEGAR'!O347=0,'PEGAR'!X347=2),'PEGAR'!D347&amp;"","")</f>
      </c>
      <c r="AF847" s="0">
        <f>IF(AND('PEGAR'!O347=0,'PEGAR'!X347=2),'PEGAR'!N347,"")</f>
      </c>
      <c r="AG847" s="0" t="n">
        <f>IF(AND('PEGAR'!O347=0,'PEGAR'!X347=2),2,0)</f>
        <v>0</v>
      </c>
      <c r="AH847" s="0">
        <f>IF(AG847&gt;0,COUNTIFS($AG$13:AG847,"&gt;0"),"")</f>
      </c>
    </row>
    <row r="848">
      <c r="AB848" s="0">
        <f>IF(AND('PEGAR'!O348=0,'PEGAR'!X348=2),"Fila 348","")</f>
      </c>
      <c r="AC848" s="0">
        <f>IF(AND('PEGAR'!O348=0,'PEGAR'!X348=2),'PEGAR'!B348&amp;"","")</f>
      </c>
      <c r="AD848" s="0">
        <f>IF(AND('PEGAR'!O348=0,'PEGAR'!X348=2),'PEGAR'!C348&amp;"","")</f>
      </c>
      <c r="AE848" s="0">
        <f>IF(AND('PEGAR'!O348=0,'PEGAR'!X348=2),'PEGAR'!D348&amp;"","")</f>
      </c>
      <c r="AF848" s="0">
        <f>IF(AND('PEGAR'!O348=0,'PEGAR'!X348=2),'PEGAR'!N348,"")</f>
      </c>
      <c r="AG848" s="0" t="n">
        <f>IF(AND('PEGAR'!O348=0,'PEGAR'!X348=2),2,0)</f>
        <v>0</v>
      </c>
      <c r="AH848" s="0">
        <f>IF(AG848&gt;0,COUNTIFS($AG$13:AG848,"&gt;0"),"")</f>
      </c>
    </row>
    <row r="849">
      <c r="AB849" s="0">
        <f>IF(AND('PEGAR'!O349=0,'PEGAR'!X349=2),"Fila 349","")</f>
      </c>
      <c r="AC849" s="0">
        <f>IF(AND('PEGAR'!O349=0,'PEGAR'!X349=2),'PEGAR'!B349&amp;"","")</f>
      </c>
      <c r="AD849" s="0">
        <f>IF(AND('PEGAR'!O349=0,'PEGAR'!X349=2),'PEGAR'!C349&amp;"","")</f>
      </c>
      <c r="AE849" s="0">
        <f>IF(AND('PEGAR'!O349=0,'PEGAR'!X349=2),'PEGAR'!D349&amp;"","")</f>
      </c>
      <c r="AF849" s="0">
        <f>IF(AND('PEGAR'!O349=0,'PEGAR'!X349=2),'PEGAR'!N349,"")</f>
      </c>
      <c r="AG849" s="0" t="n">
        <f>IF(AND('PEGAR'!O349=0,'PEGAR'!X349=2),2,0)</f>
        <v>0</v>
      </c>
      <c r="AH849" s="0">
        <f>IF(AG849&gt;0,COUNTIFS($AG$13:AG849,"&gt;0"),"")</f>
      </c>
    </row>
    <row r="850">
      <c r="AB850" s="0">
        <f>IF(AND('PEGAR'!O350=0,'PEGAR'!X350=2),"Fila 350","")</f>
      </c>
      <c r="AC850" s="0">
        <f>IF(AND('PEGAR'!O350=0,'PEGAR'!X350=2),'PEGAR'!B350&amp;"","")</f>
      </c>
      <c r="AD850" s="0">
        <f>IF(AND('PEGAR'!O350=0,'PEGAR'!X350=2),'PEGAR'!C350&amp;"","")</f>
      </c>
      <c r="AE850" s="0">
        <f>IF(AND('PEGAR'!O350=0,'PEGAR'!X350=2),'PEGAR'!D350&amp;"","")</f>
      </c>
      <c r="AF850" s="0">
        <f>IF(AND('PEGAR'!O350=0,'PEGAR'!X350=2),'PEGAR'!N350,"")</f>
      </c>
      <c r="AG850" s="0" t="n">
        <f>IF(AND('PEGAR'!O350=0,'PEGAR'!X350=2),2,0)</f>
        <v>0</v>
      </c>
      <c r="AH850" s="0">
        <f>IF(AG850&gt;0,COUNTIFS($AG$13:AG850,"&gt;0"),"")</f>
      </c>
    </row>
    <row r="851">
      <c r="AB851" s="0">
        <f>IF(AND('PEGAR'!O351=0,'PEGAR'!X351=2),"Fila 351","")</f>
      </c>
      <c r="AC851" s="0">
        <f>IF(AND('PEGAR'!O351=0,'PEGAR'!X351=2),'PEGAR'!B351&amp;"","")</f>
      </c>
      <c r="AD851" s="0">
        <f>IF(AND('PEGAR'!O351=0,'PEGAR'!X351=2),'PEGAR'!C351&amp;"","")</f>
      </c>
      <c r="AE851" s="0">
        <f>IF(AND('PEGAR'!O351=0,'PEGAR'!X351=2),'PEGAR'!D351&amp;"","")</f>
      </c>
      <c r="AF851" s="0">
        <f>IF(AND('PEGAR'!O351=0,'PEGAR'!X351=2),'PEGAR'!N351,"")</f>
      </c>
      <c r="AG851" s="0" t="n">
        <f>IF(AND('PEGAR'!O351=0,'PEGAR'!X351=2),2,0)</f>
        <v>0</v>
      </c>
      <c r="AH851" s="0">
        <f>IF(AG851&gt;0,COUNTIFS($AG$13:AG851,"&gt;0"),"")</f>
      </c>
    </row>
    <row r="852">
      <c r="AB852" s="0">
        <f>IF(AND('PEGAR'!O352=0,'PEGAR'!X352=2),"Fila 352","")</f>
      </c>
      <c r="AC852" s="0">
        <f>IF(AND('PEGAR'!O352=0,'PEGAR'!X352=2),'PEGAR'!B352&amp;"","")</f>
      </c>
      <c r="AD852" s="0">
        <f>IF(AND('PEGAR'!O352=0,'PEGAR'!X352=2),'PEGAR'!C352&amp;"","")</f>
      </c>
      <c r="AE852" s="0">
        <f>IF(AND('PEGAR'!O352=0,'PEGAR'!X352=2),'PEGAR'!D352&amp;"","")</f>
      </c>
      <c r="AF852" s="0">
        <f>IF(AND('PEGAR'!O352=0,'PEGAR'!X352=2),'PEGAR'!N352,"")</f>
      </c>
      <c r="AG852" s="0" t="n">
        <f>IF(AND('PEGAR'!O352=0,'PEGAR'!X352=2),2,0)</f>
        <v>0</v>
      </c>
      <c r="AH852" s="0">
        <f>IF(AG852&gt;0,COUNTIFS($AG$13:AG852,"&gt;0"),"")</f>
      </c>
    </row>
    <row r="853">
      <c r="AB853" s="0">
        <f>IF(AND('PEGAR'!O353=0,'PEGAR'!X353=2),"Fila 353","")</f>
      </c>
      <c r="AC853" s="0">
        <f>IF(AND('PEGAR'!O353=0,'PEGAR'!X353=2),'PEGAR'!B353&amp;"","")</f>
      </c>
      <c r="AD853" s="0">
        <f>IF(AND('PEGAR'!O353=0,'PEGAR'!X353=2),'PEGAR'!C353&amp;"","")</f>
      </c>
      <c r="AE853" s="0">
        <f>IF(AND('PEGAR'!O353=0,'PEGAR'!X353=2),'PEGAR'!D353&amp;"","")</f>
      </c>
      <c r="AF853" s="0">
        <f>IF(AND('PEGAR'!O353=0,'PEGAR'!X353=2),'PEGAR'!N353,"")</f>
      </c>
      <c r="AG853" s="0" t="n">
        <f>IF(AND('PEGAR'!O353=0,'PEGAR'!X353=2),2,0)</f>
        <v>0</v>
      </c>
      <c r="AH853" s="0">
        <f>IF(AG853&gt;0,COUNTIFS($AG$13:AG853,"&gt;0"),"")</f>
      </c>
    </row>
    <row r="854">
      <c r="AB854" s="0">
        <f>IF(AND('PEGAR'!O354=0,'PEGAR'!X354=2),"Fila 354","")</f>
      </c>
      <c r="AC854" s="0">
        <f>IF(AND('PEGAR'!O354=0,'PEGAR'!X354=2),'PEGAR'!B354&amp;"","")</f>
      </c>
      <c r="AD854" s="0">
        <f>IF(AND('PEGAR'!O354=0,'PEGAR'!X354=2),'PEGAR'!C354&amp;"","")</f>
      </c>
      <c r="AE854" s="0">
        <f>IF(AND('PEGAR'!O354=0,'PEGAR'!X354=2),'PEGAR'!D354&amp;"","")</f>
      </c>
      <c r="AF854" s="0">
        <f>IF(AND('PEGAR'!O354=0,'PEGAR'!X354=2),'PEGAR'!N354,"")</f>
      </c>
      <c r="AG854" s="0" t="n">
        <f>IF(AND('PEGAR'!O354=0,'PEGAR'!X354=2),2,0)</f>
        <v>0</v>
      </c>
      <c r="AH854" s="0">
        <f>IF(AG854&gt;0,COUNTIFS($AG$13:AG854,"&gt;0"),"")</f>
      </c>
    </row>
    <row r="855">
      <c r="AB855" s="0">
        <f>IF(AND('PEGAR'!O355=0,'PEGAR'!X355=2),"Fila 355","")</f>
      </c>
      <c r="AC855" s="0">
        <f>IF(AND('PEGAR'!O355=0,'PEGAR'!X355=2),'PEGAR'!B355&amp;"","")</f>
      </c>
      <c r="AD855" s="0">
        <f>IF(AND('PEGAR'!O355=0,'PEGAR'!X355=2),'PEGAR'!C355&amp;"","")</f>
      </c>
      <c r="AE855" s="0">
        <f>IF(AND('PEGAR'!O355=0,'PEGAR'!X355=2),'PEGAR'!D355&amp;"","")</f>
      </c>
      <c r="AF855" s="0">
        <f>IF(AND('PEGAR'!O355=0,'PEGAR'!X355=2),'PEGAR'!N355,"")</f>
      </c>
      <c r="AG855" s="0" t="n">
        <f>IF(AND('PEGAR'!O355=0,'PEGAR'!X355=2),2,0)</f>
        <v>0</v>
      </c>
      <c r="AH855" s="0">
        <f>IF(AG855&gt;0,COUNTIFS($AG$13:AG855,"&gt;0"),"")</f>
      </c>
    </row>
    <row r="856">
      <c r="AB856" s="0">
        <f>IF(AND('PEGAR'!O356=0,'PEGAR'!X356=2),"Fila 356","")</f>
      </c>
      <c r="AC856" s="0">
        <f>IF(AND('PEGAR'!O356=0,'PEGAR'!X356=2),'PEGAR'!B356&amp;"","")</f>
      </c>
      <c r="AD856" s="0">
        <f>IF(AND('PEGAR'!O356=0,'PEGAR'!X356=2),'PEGAR'!C356&amp;"","")</f>
      </c>
      <c r="AE856" s="0">
        <f>IF(AND('PEGAR'!O356=0,'PEGAR'!X356=2),'PEGAR'!D356&amp;"","")</f>
      </c>
      <c r="AF856" s="0">
        <f>IF(AND('PEGAR'!O356=0,'PEGAR'!X356=2),'PEGAR'!N356,"")</f>
      </c>
      <c r="AG856" s="0" t="n">
        <f>IF(AND('PEGAR'!O356=0,'PEGAR'!X356=2),2,0)</f>
        <v>0</v>
      </c>
      <c r="AH856" s="0">
        <f>IF(AG856&gt;0,COUNTIFS($AG$13:AG856,"&gt;0"),"")</f>
      </c>
    </row>
    <row r="857">
      <c r="AB857" s="0">
        <f>IF(AND('PEGAR'!O357=0,'PEGAR'!X357=2),"Fila 357","")</f>
      </c>
      <c r="AC857" s="0">
        <f>IF(AND('PEGAR'!O357=0,'PEGAR'!X357=2),'PEGAR'!B357&amp;"","")</f>
      </c>
      <c r="AD857" s="0">
        <f>IF(AND('PEGAR'!O357=0,'PEGAR'!X357=2),'PEGAR'!C357&amp;"","")</f>
      </c>
      <c r="AE857" s="0">
        <f>IF(AND('PEGAR'!O357=0,'PEGAR'!X357=2),'PEGAR'!D357&amp;"","")</f>
      </c>
      <c r="AF857" s="0">
        <f>IF(AND('PEGAR'!O357=0,'PEGAR'!X357=2),'PEGAR'!N357,"")</f>
      </c>
      <c r="AG857" s="0" t="n">
        <f>IF(AND('PEGAR'!O357=0,'PEGAR'!X357=2),2,0)</f>
        <v>0</v>
      </c>
      <c r="AH857" s="0">
        <f>IF(AG857&gt;0,COUNTIFS($AG$13:AG857,"&gt;0"),"")</f>
      </c>
    </row>
    <row r="858">
      <c r="AB858" s="0">
        <f>IF(AND('PEGAR'!O358=0,'PEGAR'!X358=2),"Fila 358","")</f>
      </c>
      <c r="AC858" s="0">
        <f>IF(AND('PEGAR'!O358=0,'PEGAR'!X358=2),'PEGAR'!B358&amp;"","")</f>
      </c>
      <c r="AD858" s="0">
        <f>IF(AND('PEGAR'!O358=0,'PEGAR'!X358=2),'PEGAR'!C358&amp;"","")</f>
      </c>
      <c r="AE858" s="0">
        <f>IF(AND('PEGAR'!O358=0,'PEGAR'!X358=2),'PEGAR'!D358&amp;"","")</f>
      </c>
      <c r="AF858" s="0">
        <f>IF(AND('PEGAR'!O358=0,'PEGAR'!X358=2),'PEGAR'!N358,"")</f>
      </c>
      <c r="AG858" s="0" t="n">
        <f>IF(AND('PEGAR'!O358=0,'PEGAR'!X358=2),2,0)</f>
        <v>0</v>
      </c>
      <c r="AH858" s="0">
        <f>IF(AG858&gt;0,COUNTIFS($AG$13:AG858,"&gt;0"),"")</f>
      </c>
    </row>
    <row r="859">
      <c r="AB859" s="0">
        <f>IF(AND('PEGAR'!O359=0,'PEGAR'!X359=2),"Fila 359","")</f>
      </c>
      <c r="AC859" s="0">
        <f>IF(AND('PEGAR'!O359=0,'PEGAR'!X359=2),'PEGAR'!B359&amp;"","")</f>
      </c>
      <c r="AD859" s="0">
        <f>IF(AND('PEGAR'!O359=0,'PEGAR'!X359=2),'PEGAR'!C359&amp;"","")</f>
      </c>
      <c r="AE859" s="0">
        <f>IF(AND('PEGAR'!O359=0,'PEGAR'!X359=2),'PEGAR'!D359&amp;"","")</f>
      </c>
      <c r="AF859" s="0">
        <f>IF(AND('PEGAR'!O359=0,'PEGAR'!X359=2),'PEGAR'!N359,"")</f>
      </c>
      <c r="AG859" s="0" t="n">
        <f>IF(AND('PEGAR'!O359=0,'PEGAR'!X359=2),2,0)</f>
        <v>0</v>
      </c>
      <c r="AH859" s="0">
        <f>IF(AG859&gt;0,COUNTIFS($AG$13:AG859,"&gt;0"),"")</f>
      </c>
    </row>
    <row r="860">
      <c r="AB860" s="0">
        <f>IF(AND('PEGAR'!O360=0,'PEGAR'!X360=2),"Fila 360","")</f>
      </c>
      <c r="AC860" s="0">
        <f>IF(AND('PEGAR'!O360=0,'PEGAR'!X360=2),'PEGAR'!B360&amp;"","")</f>
      </c>
      <c r="AD860" s="0">
        <f>IF(AND('PEGAR'!O360=0,'PEGAR'!X360=2),'PEGAR'!C360&amp;"","")</f>
      </c>
      <c r="AE860" s="0">
        <f>IF(AND('PEGAR'!O360=0,'PEGAR'!X360=2),'PEGAR'!D360&amp;"","")</f>
      </c>
      <c r="AF860" s="0">
        <f>IF(AND('PEGAR'!O360=0,'PEGAR'!X360=2),'PEGAR'!N360,"")</f>
      </c>
      <c r="AG860" s="0" t="n">
        <f>IF(AND('PEGAR'!O360=0,'PEGAR'!X360=2),2,0)</f>
        <v>0</v>
      </c>
      <c r="AH860" s="0">
        <f>IF(AG860&gt;0,COUNTIFS($AG$13:AG860,"&gt;0"),"")</f>
      </c>
    </row>
    <row r="861">
      <c r="AB861" s="0">
        <f>IF(AND('PEGAR'!O361=0,'PEGAR'!X361=2),"Fila 361","")</f>
      </c>
      <c r="AC861" s="0">
        <f>IF(AND('PEGAR'!O361=0,'PEGAR'!X361=2),'PEGAR'!B361&amp;"","")</f>
      </c>
      <c r="AD861" s="0">
        <f>IF(AND('PEGAR'!O361=0,'PEGAR'!X361=2),'PEGAR'!C361&amp;"","")</f>
      </c>
      <c r="AE861" s="0">
        <f>IF(AND('PEGAR'!O361=0,'PEGAR'!X361=2),'PEGAR'!D361&amp;"","")</f>
      </c>
      <c r="AF861" s="0">
        <f>IF(AND('PEGAR'!O361=0,'PEGAR'!X361=2),'PEGAR'!N361,"")</f>
      </c>
      <c r="AG861" s="0" t="n">
        <f>IF(AND('PEGAR'!O361=0,'PEGAR'!X361=2),2,0)</f>
        <v>0</v>
      </c>
      <c r="AH861" s="0">
        <f>IF(AG861&gt;0,COUNTIFS($AG$13:AG861,"&gt;0"),"")</f>
      </c>
    </row>
    <row r="862">
      <c r="AB862" s="0">
        <f>IF(AND('PEGAR'!O362=0,'PEGAR'!X362=2),"Fila 362","")</f>
      </c>
      <c r="AC862" s="0">
        <f>IF(AND('PEGAR'!O362=0,'PEGAR'!X362=2),'PEGAR'!B362&amp;"","")</f>
      </c>
      <c r="AD862" s="0">
        <f>IF(AND('PEGAR'!O362=0,'PEGAR'!X362=2),'PEGAR'!C362&amp;"","")</f>
      </c>
      <c r="AE862" s="0">
        <f>IF(AND('PEGAR'!O362=0,'PEGAR'!X362=2),'PEGAR'!D362&amp;"","")</f>
      </c>
      <c r="AF862" s="0">
        <f>IF(AND('PEGAR'!O362=0,'PEGAR'!X362=2),'PEGAR'!N362,"")</f>
      </c>
      <c r="AG862" s="0" t="n">
        <f>IF(AND('PEGAR'!O362=0,'PEGAR'!X362=2),2,0)</f>
        <v>0</v>
      </c>
      <c r="AH862" s="0">
        <f>IF(AG862&gt;0,COUNTIFS($AG$13:AG862,"&gt;0"),"")</f>
      </c>
    </row>
    <row r="863">
      <c r="AB863" s="0">
        <f>IF(AND('PEGAR'!O363=0,'PEGAR'!X363=2),"Fila 363","")</f>
      </c>
      <c r="AC863" s="0">
        <f>IF(AND('PEGAR'!O363=0,'PEGAR'!X363=2),'PEGAR'!B363&amp;"","")</f>
      </c>
      <c r="AD863" s="0">
        <f>IF(AND('PEGAR'!O363=0,'PEGAR'!X363=2),'PEGAR'!C363&amp;"","")</f>
      </c>
      <c r="AE863" s="0">
        <f>IF(AND('PEGAR'!O363=0,'PEGAR'!X363=2),'PEGAR'!D363&amp;"","")</f>
      </c>
      <c r="AF863" s="0">
        <f>IF(AND('PEGAR'!O363=0,'PEGAR'!X363=2),'PEGAR'!N363,"")</f>
      </c>
      <c r="AG863" s="0" t="n">
        <f>IF(AND('PEGAR'!O363=0,'PEGAR'!X363=2),2,0)</f>
        <v>0</v>
      </c>
      <c r="AH863" s="0">
        <f>IF(AG863&gt;0,COUNTIFS($AG$13:AG863,"&gt;0"),"")</f>
      </c>
    </row>
    <row r="864">
      <c r="AB864" s="0">
        <f>IF(AND('PEGAR'!O364=0,'PEGAR'!X364=2),"Fila 364","")</f>
      </c>
      <c r="AC864" s="0">
        <f>IF(AND('PEGAR'!O364=0,'PEGAR'!X364=2),'PEGAR'!B364&amp;"","")</f>
      </c>
      <c r="AD864" s="0">
        <f>IF(AND('PEGAR'!O364=0,'PEGAR'!X364=2),'PEGAR'!C364&amp;"","")</f>
      </c>
      <c r="AE864" s="0">
        <f>IF(AND('PEGAR'!O364=0,'PEGAR'!X364=2),'PEGAR'!D364&amp;"","")</f>
      </c>
      <c r="AF864" s="0">
        <f>IF(AND('PEGAR'!O364=0,'PEGAR'!X364=2),'PEGAR'!N364,"")</f>
      </c>
      <c r="AG864" s="0" t="n">
        <f>IF(AND('PEGAR'!O364=0,'PEGAR'!X364=2),2,0)</f>
        <v>0</v>
      </c>
      <c r="AH864" s="0">
        <f>IF(AG864&gt;0,COUNTIFS($AG$13:AG864,"&gt;0"),"")</f>
      </c>
    </row>
    <row r="865">
      <c r="AB865" s="0">
        <f>IF(AND('PEGAR'!O365=0,'PEGAR'!X365=2),"Fila 365","")</f>
      </c>
      <c r="AC865" s="0">
        <f>IF(AND('PEGAR'!O365=0,'PEGAR'!X365=2),'PEGAR'!B365&amp;"","")</f>
      </c>
      <c r="AD865" s="0">
        <f>IF(AND('PEGAR'!O365=0,'PEGAR'!X365=2),'PEGAR'!C365&amp;"","")</f>
      </c>
      <c r="AE865" s="0">
        <f>IF(AND('PEGAR'!O365=0,'PEGAR'!X365=2),'PEGAR'!D365&amp;"","")</f>
      </c>
      <c r="AF865" s="0">
        <f>IF(AND('PEGAR'!O365=0,'PEGAR'!X365=2),'PEGAR'!N365,"")</f>
      </c>
      <c r="AG865" s="0" t="n">
        <f>IF(AND('PEGAR'!O365=0,'PEGAR'!X365=2),2,0)</f>
        <v>0</v>
      </c>
      <c r="AH865" s="0">
        <f>IF(AG865&gt;0,COUNTIFS($AG$13:AG865,"&gt;0"),"")</f>
      </c>
    </row>
    <row r="866">
      <c r="AB866" s="0">
        <f>IF(AND('PEGAR'!O366=0,'PEGAR'!X366=2),"Fila 366","")</f>
      </c>
      <c r="AC866" s="0">
        <f>IF(AND('PEGAR'!O366=0,'PEGAR'!X366=2),'PEGAR'!B366&amp;"","")</f>
      </c>
      <c r="AD866" s="0">
        <f>IF(AND('PEGAR'!O366=0,'PEGAR'!X366=2),'PEGAR'!C366&amp;"","")</f>
      </c>
      <c r="AE866" s="0">
        <f>IF(AND('PEGAR'!O366=0,'PEGAR'!X366=2),'PEGAR'!D366&amp;"","")</f>
      </c>
      <c r="AF866" s="0">
        <f>IF(AND('PEGAR'!O366=0,'PEGAR'!X366=2),'PEGAR'!N366,"")</f>
      </c>
      <c r="AG866" s="0" t="n">
        <f>IF(AND('PEGAR'!O366=0,'PEGAR'!X366=2),2,0)</f>
        <v>0</v>
      </c>
      <c r="AH866" s="0">
        <f>IF(AG866&gt;0,COUNTIFS($AG$13:AG866,"&gt;0"),"")</f>
      </c>
    </row>
    <row r="867">
      <c r="AB867" s="0">
        <f>IF(AND('PEGAR'!O367=0,'PEGAR'!X367=2),"Fila 367","")</f>
      </c>
      <c r="AC867" s="0">
        <f>IF(AND('PEGAR'!O367=0,'PEGAR'!X367=2),'PEGAR'!B367&amp;"","")</f>
      </c>
      <c r="AD867" s="0">
        <f>IF(AND('PEGAR'!O367=0,'PEGAR'!X367=2),'PEGAR'!C367&amp;"","")</f>
      </c>
      <c r="AE867" s="0">
        <f>IF(AND('PEGAR'!O367=0,'PEGAR'!X367=2),'PEGAR'!D367&amp;"","")</f>
      </c>
      <c r="AF867" s="0">
        <f>IF(AND('PEGAR'!O367=0,'PEGAR'!X367=2),'PEGAR'!N367,"")</f>
      </c>
      <c r="AG867" s="0" t="n">
        <f>IF(AND('PEGAR'!O367=0,'PEGAR'!X367=2),2,0)</f>
        <v>0</v>
      </c>
      <c r="AH867" s="0">
        <f>IF(AG867&gt;0,COUNTIFS($AG$13:AG867,"&gt;0"),"")</f>
      </c>
    </row>
    <row r="868">
      <c r="AB868" s="0">
        <f>IF(AND('PEGAR'!O368=0,'PEGAR'!X368=2),"Fila 368","")</f>
      </c>
      <c r="AC868" s="0">
        <f>IF(AND('PEGAR'!O368=0,'PEGAR'!X368=2),'PEGAR'!B368&amp;"","")</f>
      </c>
      <c r="AD868" s="0">
        <f>IF(AND('PEGAR'!O368=0,'PEGAR'!X368=2),'PEGAR'!C368&amp;"","")</f>
      </c>
      <c r="AE868" s="0">
        <f>IF(AND('PEGAR'!O368=0,'PEGAR'!X368=2),'PEGAR'!D368&amp;"","")</f>
      </c>
      <c r="AF868" s="0">
        <f>IF(AND('PEGAR'!O368=0,'PEGAR'!X368=2),'PEGAR'!N368,"")</f>
      </c>
      <c r="AG868" s="0" t="n">
        <f>IF(AND('PEGAR'!O368=0,'PEGAR'!X368=2),2,0)</f>
        <v>0</v>
      </c>
      <c r="AH868" s="0">
        <f>IF(AG868&gt;0,COUNTIFS($AG$13:AG868,"&gt;0"),"")</f>
      </c>
    </row>
    <row r="869">
      <c r="AB869" s="0">
        <f>IF(AND('PEGAR'!O369=0,'PEGAR'!X369=2),"Fila 369","")</f>
      </c>
      <c r="AC869" s="0">
        <f>IF(AND('PEGAR'!O369=0,'PEGAR'!X369=2),'PEGAR'!B369&amp;"","")</f>
      </c>
      <c r="AD869" s="0">
        <f>IF(AND('PEGAR'!O369=0,'PEGAR'!X369=2),'PEGAR'!C369&amp;"","")</f>
      </c>
      <c r="AE869" s="0">
        <f>IF(AND('PEGAR'!O369=0,'PEGAR'!X369=2),'PEGAR'!D369&amp;"","")</f>
      </c>
      <c r="AF869" s="0">
        <f>IF(AND('PEGAR'!O369=0,'PEGAR'!X369=2),'PEGAR'!N369,"")</f>
      </c>
      <c r="AG869" s="0" t="n">
        <f>IF(AND('PEGAR'!O369=0,'PEGAR'!X369=2),2,0)</f>
        <v>0</v>
      </c>
      <c r="AH869" s="0">
        <f>IF(AG869&gt;0,COUNTIFS($AG$13:AG869,"&gt;0"),"")</f>
      </c>
    </row>
    <row r="870">
      <c r="AB870" s="0">
        <f>IF(AND('PEGAR'!O370=0,'PEGAR'!X370=2),"Fila 370","")</f>
      </c>
      <c r="AC870" s="0">
        <f>IF(AND('PEGAR'!O370=0,'PEGAR'!X370=2),'PEGAR'!B370&amp;"","")</f>
      </c>
      <c r="AD870" s="0">
        <f>IF(AND('PEGAR'!O370=0,'PEGAR'!X370=2),'PEGAR'!C370&amp;"","")</f>
      </c>
      <c r="AE870" s="0">
        <f>IF(AND('PEGAR'!O370=0,'PEGAR'!X370=2),'PEGAR'!D370&amp;"","")</f>
      </c>
      <c r="AF870" s="0">
        <f>IF(AND('PEGAR'!O370=0,'PEGAR'!X370=2),'PEGAR'!N370,"")</f>
      </c>
      <c r="AG870" s="0" t="n">
        <f>IF(AND('PEGAR'!O370=0,'PEGAR'!X370=2),2,0)</f>
        <v>0</v>
      </c>
      <c r="AH870" s="0">
        <f>IF(AG870&gt;0,COUNTIFS($AG$13:AG870,"&gt;0"),"")</f>
      </c>
    </row>
    <row r="871">
      <c r="AB871" s="0">
        <f>IF(AND('PEGAR'!O371=0,'PEGAR'!X371=2),"Fila 371","")</f>
      </c>
      <c r="AC871" s="0">
        <f>IF(AND('PEGAR'!O371=0,'PEGAR'!X371=2),'PEGAR'!B371&amp;"","")</f>
      </c>
      <c r="AD871" s="0">
        <f>IF(AND('PEGAR'!O371=0,'PEGAR'!X371=2),'PEGAR'!C371&amp;"","")</f>
      </c>
      <c r="AE871" s="0">
        <f>IF(AND('PEGAR'!O371=0,'PEGAR'!X371=2),'PEGAR'!D371&amp;"","")</f>
      </c>
      <c r="AF871" s="0">
        <f>IF(AND('PEGAR'!O371=0,'PEGAR'!X371=2),'PEGAR'!N371,"")</f>
      </c>
      <c r="AG871" s="0" t="n">
        <f>IF(AND('PEGAR'!O371=0,'PEGAR'!X371=2),2,0)</f>
        <v>0</v>
      </c>
      <c r="AH871" s="0">
        <f>IF(AG871&gt;0,COUNTIFS($AG$13:AG871,"&gt;0"),"")</f>
      </c>
    </row>
    <row r="872">
      <c r="AB872" s="0">
        <f>IF(AND('PEGAR'!O372=0,'PEGAR'!X372=2),"Fila 372","")</f>
      </c>
      <c r="AC872" s="0">
        <f>IF(AND('PEGAR'!O372=0,'PEGAR'!X372=2),'PEGAR'!B372&amp;"","")</f>
      </c>
      <c r="AD872" s="0">
        <f>IF(AND('PEGAR'!O372=0,'PEGAR'!X372=2),'PEGAR'!C372&amp;"","")</f>
      </c>
      <c r="AE872" s="0">
        <f>IF(AND('PEGAR'!O372=0,'PEGAR'!X372=2),'PEGAR'!D372&amp;"","")</f>
      </c>
      <c r="AF872" s="0">
        <f>IF(AND('PEGAR'!O372=0,'PEGAR'!X372=2),'PEGAR'!N372,"")</f>
      </c>
      <c r="AG872" s="0" t="n">
        <f>IF(AND('PEGAR'!O372=0,'PEGAR'!X372=2),2,0)</f>
        <v>0</v>
      </c>
      <c r="AH872" s="0">
        <f>IF(AG872&gt;0,COUNTIFS($AG$13:AG872,"&gt;0"),"")</f>
      </c>
    </row>
    <row r="873">
      <c r="AB873" s="0">
        <f>IF(AND('PEGAR'!O373=0,'PEGAR'!X373=2),"Fila 373","")</f>
      </c>
      <c r="AC873" s="0">
        <f>IF(AND('PEGAR'!O373=0,'PEGAR'!X373=2),'PEGAR'!B373&amp;"","")</f>
      </c>
      <c r="AD873" s="0">
        <f>IF(AND('PEGAR'!O373=0,'PEGAR'!X373=2),'PEGAR'!C373&amp;"","")</f>
      </c>
      <c r="AE873" s="0">
        <f>IF(AND('PEGAR'!O373=0,'PEGAR'!X373=2),'PEGAR'!D373&amp;"","")</f>
      </c>
      <c r="AF873" s="0">
        <f>IF(AND('PEGAR'!O373=0,'PEGAR'!X373=2),'PEGAR'!N373,"")</f>
      </c>
      <c r="AG873" s="0" t="n">
        <f>IF(AND('PEGAR'!O373=0,'PEGAR'!X373=2),2,0)</f>
        <v>0</v>
      </c>
      <c r="AH873" s="0">
        <f>IF(AG873&gt;0,COUNTIFS($AG$13:AG873,"&gt;0"),"")</f>
      </c>
    </row>
    <row r="874">
      <c r="AB874" s="0">
        <f>IF(AND('PEGAR'!O374=0,'PEGAR'!X374=2),"Fila 374","")</f>
      </c>
      <c r="AC874" s="0">
        <f>IF(AND('PEGAR'!O374=0,'PEGAR'!X374=2),'PEGAR'!B374&amp;"","")</f>
      </c>
      <c r="AD874" s="0">
        <f>IF(AND('PEGAR'!O374=0,'PEGAR'!X374=2),'PEGAR'!C374&amp;"","")</f>
      </c>
      <c r="AE874" s="0">
        <f>IF(AND('PEGAR'!O374=0,'PEGAR'!X374=2),'PEGAR'!D374&amp;"","")</f>
      </c>
      <c r="AF874" s="0">
        <f>IF(AND('PEGAR'!O374=0,'PEGAR'!X374=2),'PEGAR'!N374,"")</f>
      </c>
      <c r="AG874" s="0" t="n">
        <f>IF(AND('PEGAR'!O374=0,'PEGAR'!X374=2),2,0)</f>
        <v>0</v>
      </c>
      <c r="AH874" s="0">
        <f>IF(AG874&gt;0,COUNTIFS($AG$13:AG874,"&gt;0"),"")</f>
      </c>
    </row>
    <row r="875">
      <c r="AB875" s="0">
        <f>IF(AND('PEGAR'!O375=0,'PEGAR'!X375=2),"Fila 375","")</f>
      </c>
      <c r="AC875" s="0">
        <f>IF(AND('PEGAR'!O375=0,'PEGAR'!X375=2),'PEGAR'!B375&amp;"","")</f>
      </c>
      <c r="AD875" s="0">
        <f>IF(AND('PEGAR'!O375=0,'PEGAR'!X375=2),'PEGAR'!C375&amp;"","")</f>
      </c>
      <c r="AE875" s="0">
        <f>IF(AND('PEGAR'!O375=0,'PEGAR'!X375=2),'PEGAR'!D375&amp;"","")</f>
      </c>
      <c r="AF875" s="0">
        <f>IF(AND('PEGAR'!O375=0,'PEGAR'!X375=2),'PEGAR'!N375,"")</f>
      </c>
      <c r="AG875" s="0" t="n">
        <f>IF(AND('PEGAR'!O375=0,'PEGAR'!X375=2),2,0)</f>
        <v>0</v>
      </c>
      <c r="AH875" s="0">
        <f>IF(AG875&gt;0,COUNTIFS($AG$13:AG875,"&gt;0"),"")</f>
      </c>
    </row>
    <row r="876">
      <c r="AB876" s="0">
        <f>IF(AND('PEGAR'!O376=0,'PEGAR'!X376=2),"Fila 376","")</f>
      </c>
      <c r="AC876" s="0">
        <f>IF(AND('PEGAR'!O376=0,'PEGAR'!X376=2),'PEGAR'!B376&amp;"","")</f>
      </c>
      <c r="AD876" s="0">
        <f>IF(AND('PEGAR'!O376=0,'PEGAR'!X376=2),'PEGAR'!C376&amp;"","")</f>
      </c>
      <c r="AE876" s="0">
        <f>IF(AND('PEGAR'!O376=0,'PEGAR'!X376=2),'PEGAR'!D376&amp;"","")</f>
      </c>
      <c r="AF876" s="0">
        <f>IF(AND('PEGAR'!O376=0,'PEGAR'!X376=2),'PEGAR'!N376,"")</f>
      </c>
      <c r="AG876" s="0" t="n">
        <f>IF(AND('PEGAR'!O376=0,'PEGAR'!X376=2),2,0)</f>
        <v>0</v>
      </c>
      <c r="AH876" s="0">
        <f>IF(AG876&gt;0,COUNTIFS($AG$13:AG876,"&gt;0"),"")</f>
      </c>
    </row>
    <row r="877">
      <c r="AB877" s="0">
        <f>IF(AND('PEGAR'!O377=0,'PEGAR'!X377=2),"Fila 377","")</f>
      </c>
      <c r="AC877" s="0">
        <f>IF(AND('PEGAR'!O377=0,'PEGAR'!X377=2),'PEGAR'!B377&amp;"","")</f>
      </c>
      <c r="AD877" s="0">
        <f>IF(AND('PEGAR'!O377=0,'PEGAR'!X377=2),'PEGAR'!C377&amp;"","")</f>
      </c>
      <c r="AE877" s="0">
        <f>IF(AND('PEGAR'!O377=0,'PEGAR'!X377=2),'PEGAR'!D377&amp;"","")</f>
      </c>
      <c r="AF877" s="0">
        <f>IF(AND('PEGAR'!O377=0,'PEGAR'!X377=2),'PEGAR'!N377,"")</f>
      </c>
      <c r="AG877" s="0" t="n">
        <f>IF(AND('PEGAR'!O377=0,'PEGAR'!X377=2),2,0)</f>
        <v>0</v>
      </c>
      <c r="AH877" s="0">
        <f>IF(AG877&gt;0,COUNTIFS($AG$13:AG877,"&gt;0"),"")</f>
      </c>
    </row>
    <row r="878">
      <c r="AB878" s="0">
        <f>IF(AND('PEGAR'!O378=0,'PEGAR'!X378=2),"Fila 378","")</f>
      </c>
      <c r="AC878" s="0">
        <f>IF(AND('PEGAR'!O378=0,'PEGAR'!X378=2),'PEGAR'!B378&amp;"","")</f>
      </c>
      <c r="AD878" s="0">
        <f>IF(AND('PEGAR'!O378=0,'PEGAR'!X378=2),'PEGAR'!C378&amp;"","")</f>
      </c>
      <c r="AE878" s="0">
        <f>IF(AND('PEGAR'!O378=0,'PEGAR'!X378=2),'PEGAR'!D378&amp;"","")</f>
      </c>
      <c r="AF878" s="0">
        <f>IF(AND('PEGAR'!O378=0,'PEGAR'!X378=2),'PEGAR'!N378,"")</f>
      </c>
      <c r="AG878" s="0" t="n">
        <f>IF(AND('PEGAR'!O378=0,'PEGAR'!X378=2),2,0)</f>
        <v>0</v>
      </c>
      <c r="AH878" s="0">
        <f>IF(AG878&gt;0,COUNTIFS($AG$13:AG878,"&gt;0"),"")</f>
      </c>
    </row>
    <row r="879">
      <c r="AB879" s="0">
        <f>IF(AND('PEGAR'!O379=0,'PEGAR'!X379=2),"Fila 379","")</f>
      </c>
      <c r="AC879" s="0">
        <f>IF(AND('PEGAR'!O379=0,'PEGAR'!X379=2),'PEGAR'!B379&amp;"","")</f>
      </c>
      <c r="AD879" s="0">
        <f>IF(AND('PEGAR'!O379=0,'PEGAR'!X379=2),'PEGAR'!C379&amp;"","")</f>
      </c>
      <c r="AE879" s="0">
        <f>IF(AND('PEGAR'!O379=0,'PEGAR'!X379=2),'PEGAR'!D379&amp;"","")</f>
      </c>
      <c r="AF879" s="0">
        <f>IF(AND('PEGAR'!O379=0,'PEGAR'!X379=2),'PEGAR'!N379,"")</f>
      </c>
      <c r="AG879" s="0" t="n">
        <f>IF(AND('PEGAR'!O379=0,'PEGAR'!X379=2),2,0)</f>
        <v>0</v>
      </c>
      <c r="AH879" s="0">
        <f>IF(AG879&gt;0,COUNTIFS($AG$13:AG879,"&gt;0"),"")</f>
      </c>
    </row>
    <row r="880">
      <c r="AB880" s="0">
        <f>IF(AND('PEGAR'!O380=0,'PEGAR'!X380=2),"Fila 380","")</f>
      </c>
      <c r="AC880" s="0">
        <f>IF(AND('PEGAR'!O380=0,'PEGAR'!X380=2),'PEGAR'!B380&amp;"","")</f>
      </c>
      <c r="AD880" s="0">
        <f>IF(AND('PEGAR'!O380=0,'PEGAR'!X380=2),'PEGAR'!C380&amp;"","")</f>
      </c>
      <c r="AE880" s="0">
        <f>IF(AND('PEGAR'!O380=0,'PEGAR'!X380=2),'PEGAR'!D380&amp;"","")</f>
      </c>
      <c r="AF880" s="0">
        <f>IF(AND('PEGAR'!O380=0,'PEGAR'!X380=2),'PEGAR'!N380,"")</f>
      </c>
      <c r="AG880" s="0" t="n">
        <f>IF(AND('PEGAR'!O380=0,'PEGAR'!X380=2),2,0)</f>
        <v>0</v>
      </c>
      <c r="AH880" s="0">
        <f>IF(AG880&gt;0,COUNTIFS($AG$13:AG880,"&gt;0"),"")</f>
      </c>
    </row>
    <row r="881">
      <c r="AB881" s="0">
        <f>IF(AND('PEGAR'!O381=0,'PEGAR'!X381=2),"Fila 381","")</f>
      </c>
      <c r="AC881" s="0">
        <f>IF(AND('PEGAR'!O381=0,'PEGAR'!X381=2),'PEGAR'!B381&amp;"","")</f>
      </c>
      <c r="AD881" s="0">
        <f>IF(AND('PEGAR'!O381=0,'PEGAR'!X381=2),'PEGAR'!C381&amp;"","")</f>
      </c>
      <c r="AE881" s="0">
        <f>IF(AND('PEGAR'!O381=0,'PEGAR'!X381=2),'PEGAR'!D381&amp;"","")</f>
      </c>
      <c r="AF881" s="0">
        <f>IF(AND('PEGAR'!O381=0,'PEGAR'!X381=2),'PEGAR'!N381,"")</f>
      </c>
      <c r="AG881" s="0" t="n">
        <f>IF(AND('PEGAR'!O381=0,'PEGAR'!X381=2),2,0)</f>
        <v>0</v>
      </c>
      <c r="AH881" s="0">
        <f>IF(AG881&gt;0,COUNTIFS($AG$13:AG881,"&gt;0"),"")</f>
      </c>
    </row>
    <row r="882">
      <c r="AB882" s="0">
        <f>IF(AND('PEGAR'!O382=0,'PEGAR'!X382=2),"Fila 382","")</f>
      </c>
      <c r="AC882" s="0">
        <f>IF(AND('PEGAR'!O382=0,'PEGAR'!X382=2),'PEGAR'!B382&amp;"","")</f>
      </c>
      <c r="AD882" s="0">
        <f>IF(AND('PEGAR'!O382=0,'PEGAR'!X382=2),'PEGAR'!C382&amp;"","")</f>
      </c>
      <c r="AE882" s="0">
        <f>IF(AND('PEGAR'!O382=0,'PEGAR'!X382=2),'PEGAR'!D382&amp;"","")</f>
      </c>
      <c r="AF882" s="0">
        <f>IF(AND('PEGAR'!O382=0,'PEGAR'!X382=2),'PEGAR'!N382,"")</f>
      </c>
      <c r="AG882" s="0" t="n">
        <f>IF(AND('PEGAR'!O382=0,'PEGAR'!X382=2),2,0)</f>
        <v>0</v>
      </c>
      <c r="AH882" s="0">
        <f>IF(AG882&gt;0,COUNTIFS($AG$13:AG882,"&gt;0"),"")</f>
      </c>
    </row>
    <row r="883">
      <c r="AB883" s="0">
        <f>IF(AND('PEGAR'!O383=0,'PEGAR'!X383=2),"Fila 383","")</f>
      </c>
      <c r="AC883" s="0">
        <f>IF(AND('PEGAR'!O383=0,'PEGAR'!X383=2),'PEGAR'!B383&amp;"","")</f>
      </c>
      <c r="AD883" s="0">
        <f>IF(AND('PEGAR'!O383=0,'PEGAR'!X383=2),'PEGAR'!C383&amp;"","")</f>
      </c>
      <c r="AE883" s="0">
        <f>IF(AND('PEGAR'!O383=0,'PEGAR'!X383=2),'PEGAR'!D383&amp;"","")</f>
      </c>
      <c r="AF883" s="0">
        <f>IF(AND('PEGAR'!O383=0,'PEGAR'!X383=2),'PEGAR'!N383,"")</f>
      </c>
      <c r="AG883" s="0" t="n">
        <f>IF(AND('PEGAR'!O383=0,'PEGAR'!X383=2),2,0)</f>
        <v>0</v>
      </c>
      <c r="AH883" s="0">
        <f>IF(AG883&gt;0,COUNTIFS($AG$13:AG883,"&gt;0"),"")</f>
      </c>
    </row>
    <row r="884">
      <c r="AB884" s="0">
        <f>IF(AND('PEGAR'!O384=0,'PEGAR'!X384=2),"Fila 384","")</f>
      </c>
      <c r="AC884" s="0">
        <f>IF(AND('PEGAR'!O384=0,'PEGAR'!X384=2),'PEGAR'!B384&amp;"","")</f>
      </c>
      <c r="AD884" s="0">
        <f>IF(AND('PEGAR'!O384=0,'PEGAR'!X384=2),'PEGAR'!C384&amp;"","")</f>
      </c>
      <c r="AE884" s="0">
        <f>IF(AND('PEGAR'!O384=0,'PEGAR'!X384=2),'PEGAR'!D384&amp;"","")</f>
      </c>
      <c r="AF884" s="0">
        <f>IF(AND('PEGAR'!O384=0,'PEGAR'!X384=2),'PEGAR'!N384,"")</f>
      </c>
      <c r="AG884" s="0" t="n">
        <f>IF(AND('PEGAR'!O384=0,'PEGAR'!X384=2),2,0)</f>
        <v>0</v>
      </c>
      <c r="AH884" s="0">
        <f>IF(AG884&gt;0,COUNTIFS($AG$13:AG884,"&gt;0"),"")</f>
      </c>
    </row>
    <row r="885">
      <c r="AB885" s="0">
        <f>IF(AND('PEGAR'!O385=0,'PEGAR'!X385=2),"Fila 385","")</f>
      </c>
      <c r="AC885" s="0">
        <f>IF(AND('PEGAR'!O385=0,'PEGAR'!X385=2),'PEGAR'!B385&amp;"","")</f>
      </c>
      <c r="AD885" s="0">
        <f>IF(AND('PEGAR'!O385=0,'PEGAR'!X385=2),'PEGAR'!C385&amp;"","")</f>
      </c>
      <c r="AE885" s="0">
        <f>IF(AND('PEGAR'!O385=0,'PEGAR'!X385=2),'PEGAR'!D385&amp;"","")</f>
      </c>
      <c r="AF885" s="0">
        <f>IF(AND('PEGAR'!O385=0,'PEGAR'!X385=2),'PEGAR'!N385,"")</f>
      </c>
      <c r="AG885" s="0" t="n">
        <f>IF(AND('PEGAR'!O385=0,'PEGAR'!X385=2),2,0)</f>
        <v>0</v>
      </c>
      <c r="AH885" s="0">
        <f>IF(AG885&gt;0,COUNTIFS($AG$13:AG885,"&gt;0"),"")</f>
      </c>
    </row>
    <row r="886">
      <c r="AB886" s="0">
        <f>IF(AND('PEGAR'!O386=0,'PEGAR'!X386=2),"Fila 386","")</f>
      </c>
      <c r="AC886" s="0">
        <f>IF(AND('PEGAR'!O386=0,'PEGAR'!X386=2),'PEGAR'!B386&amp;"","")</f>
      </c>
      <c r="AD886" s="0">
        <f>IF(AND('PEGAR'!O386=0,'PEGAR'!X386=2),'PEGAR'!C386&amp;"","")</f>
      </c>
      <c r="AE886" s="0">
        <f>IF(AND('PEGAR'!O386=0,'PEGAR'!X386=2),'PEGAR'!D386&amp;"","")</f>
      </c>
      <c r="AF886" s="0">
        <f>IF(AND('PEGAR'!O386=0,'PEGAR'!X386=2),'PEGAR'!N386,"")</f>
      </c>
      <c r="AG886" s="0" t="n">
        <f>IF(AND('PEGAR'!O386=0,'PEGAR'!X386=2),2,0)</f>
        <v>0</v>
      </c>
      <c r="AH886" s="0">
        <f>IF(AG886&gt;0,COUNTIFS($AG$13:AG886,"&gt;0"),"")</f>
      </c>
    </row>
    <row r="887">
      <c r="AB887" s="0">
        <f>IF(AND('PEGAR'!O387=0,'PEGAR'!X387=2),"Fila 387","")</f>
      </c>
      <c r="AC887" s="0">
        <f>IF(AND('PEGAR'!O387=0,'PEGAR'!X387=2),'PEGAR'!B387&amp;"","")</f>
      </c>
      <c r="AD887" s="0">
        <f>IF(AND('PEGAR'!O387=0,'PEGAR'!X387=2),'PEGAR'!C387&amp;"","")</f>
      </c>
      <c r="AE887" s="0">
        <f>IF(AND('PEGAR'!O387=0,'PEGAR'!X387=2),'PEGAR'!D387&amp;"","")</f>
      </c>
      <c r="AF887" s="0">
        <f>IF(AND('PEGAR'!O387=0,'PEGAR'!X387=2),'PEGAR'!N387,"")</f>
      </c>
      <c r="AG887" s="0" t="n">
        <f>IF(AND('PEGAR'!O387=0,'PEGAR'!X387=2),2,0)</f>
        <v>0</v>
      </c>
      <c r="AH887" s="0">
        <f>IF(AG887&gt;0,COUNTIFS($AG$13:AG887,"&gt;0"),"")</f>
      </c>
    </row>
    <row r="888">
      <c r="AB888" s="0">
        <f>IF(AND('PEGAR'!O388=0,'PEGAR'!X388=2),"Fila 388","")</f>
      </c>
      <c r="AC888" s="0">
        <f>IF(AND('PEGAR'!O388=0,'PEGAR'!X388=2),'PEGAR'!B388&amp;"","")</f>
      </c>
      <c r="AD888" s="0">
        <f>IF(AND('PEGAR'!O388=0,'PEGAR'!X388=2),'PEGAR'!C388&amp;"","")</f>
      </c>
      <c r="AE888" s="0">
        <f>IF(AND('PEGAR'!O388=0,'PEGAR'!X388=2),'PEGAR'!D388&amp;"","")</f>
      </c>
      <c r="AF888" s="0">
        <f>IF(AND('PEGAR'!O388=0,'PEGAR'!X388=2),'PEGAR'!N388,"")</f>
      </c>
      <c r="AG888" s="0" t="n">
        <f>IF(AND('PEGAR'!O388=0,'PEGAR'!X388=2),2,0)</f>
        <v>0</v>
      </c>
      <c r="AH888" s="0">
        <f>IF(AG888&gt;0,COUNTIFS($AG$13:AG888,"&gt;0"),"")</f>
      </c>
    </row>
    <row r="889">
      <c r="AB889" s="0">
        <f>IF(AND('PEGAR'!O389=0,'PEGAR'!X389=2),"Fila 389","")</f>
      </c>
      <c r="AC889" s="0">
        <f>IF(AND('PEGAR'!O389=0,'PEGAR'!X389=2),'PEGAR'!B389&amp;"","")</f>
      </c>
      <c r="AD889" s="0">
        <f>IF(AND('PEGAR'!O389=0,'PEGAR'!X389=2),'PEGAR'!C389&amp;"","")</f>
      </c>
      <c r="AE889" s="0">
        <f>IF(AND('PEGAR'!O389=0,'PEGAR'!X389=2),'PEGAR'!D389&amp;"","")</f>
      </c>
      <c r="AF889" s="0">
        <f>IF(AND('PEGAR'!O389=0,'PEGAR'!X389=2),'PEGAR'!N389,"")</f>
      </c>
      <c r="AG889" s="0" t="n">
        <f>IF(AND('PEGAR'!O389=0,'PEGAR'!X389=2),2,0)</f>
        <v>0</v>
      </c>
      <c r="AH889" s="0">
        <f>IF(AG889&gt;0,COUNTIFS($AG$13:AG889,"&gt;0"),"")</f>
      </c>
    </row>
    <row r="890">
      <c r="AB890" s="0">
        <f>IF(AND('PEGAR'!O390=0,'PEGAR'!X390=2),"Fila 390","")</f>
      </c>
      <c r="AC890" s="0">
        <f>IF(AND('PEGAR'!O390=0,'PEGAR'!X390=2),'PEGAR'!B390&amp;"","")</f>
      </c>
      <c r="AD890" s="0">
        <f>IF(AND('PEGAR'!O390=0,'PEGAR'!X390=2),'PEGAR'!C390&amp;"","")</f>
      </c>
      <c r="AE890" s="0">
        <f>IF(AND('PEGAR'!O390=0,'PEGAR'!X390=2),'PEGAR'!D390&amp;"","")</f>
      </c>
      <c r="AF890" s="0">
        <f>IF(AND('PEGAR'!O390=0,'PEGAR'!X390=2),'PEGAR'!N390,"")</f>
      </c>
      <c r="AG890" s="0" t="n">
        <f>IF(AND('PEGAR'!O390=0,'PEGAR'!X390=2),2,0)</f>
        <v>0</v>
      </c>
      <c r="AH890" s="0">
        <f>IF(AG890&gt;0,COUNTIFS($AG$13:AG890,"&gt;0"),"")</f>
      </c>
    </row>
    <row r="891">
      <c r="AB891" s="0">
        <f>IF(AND('PEGAR'!O391=0,'PEGAR'!X391=2),"Fila 391","")</f>
      </c>
      <c r="AC891" s="0">
        <f>IF(AND('PEGAR'!O391=0,'PEGAR'!X391=2),'PEGAR'!B391&amp;"","")</f>
      </c>
      <c r="AD891" s="0">
        <f>IF(AND('PEGAR'!O391=0,'PEGAR'!X391=2),'PEGAR'!C391&amp;"","")</f>
      </c>
      <c r="AE891" s="0">
        <f>IF(AND('PEGAR'!O391=0,'PEGAR'!X391=2),'PEGAR'!D391&amp;"","")</f>
      </c>
      <c r="AF891" s="0">
        <f>IF(AND('PEGAR'!O391=0,'PEGAR'!X391=2),'PEGAR'!N391,"")</f>
      </c>
      <c r="AG891" s="0" t="n">
        <f>IF(AND('PEGAR'!O391=0,'PEGAR'!X391=2),2,0)</f>
        <v>0</v>
      </c>
      <c r="AH891" s="0">
        <f>IF(AG891&gt;0,COUNTIFS($AG$13:AG891,"&gt;0"),"")</f>
      </c>
    </row>
    <row r="892">
      <c r="AB892" s="0">
        <f>IF(AND('PEGAR'!O392=0,'PEGAR'!X392=2),"Fila 392","")</f>
      </c>
      <c r="AC892" s="0">
        <f>IF(AND('PEGAR'!O392=0,'PEGAR'!X392=2),'PEGAR'!B392&amp;"","")</f>
      </c>
      <c r="AD892" s="0">
        <f>IF(AND('PEGAR'!O392=0,'PEGAR'!X392=2),'PEGAR'!C392&amp;"","")</f>
      </c>
      <c r="AE892" s="0">
        <f>IF(AND('PEGAR'!O392=0,'PEGAR'!X392=2),'PEGAR'!D392&amp;"","")</f>
      </c>
      <c r="AF892" s="0">
        <f>IF(AND('PEGAR'!O392=0,'PEGAR'!X392=2),'PEGAR'!N392,"")</f>
      </c>
      <c r="AG892" s="0" t="n">
        <f>IF(AND('PEGAR'!O392=0,'PEGAR'!X392=2),2,0)</f>
        <v>0</v>
      </c>
      <c r="AH892" s="0">
        <f>IF(AG892&gt;0,COUNTIFS($AG$13:AG892,"&gt;0"),"")</f>
      </c>
    </row>
    <row r="893">
      <c r="AB893" s="0">
        <f>IF(AND('PEGAR'!O393=0,'PEGAR'!X393=2),"Fila 393","")</f>
      </c>
      <c r="AC893" s="0">
        <f>IF(AND('PEGAR'!O393=0,'PEGAR'!X393=2),'PEGAR'!B393&amp;"","")</f>
      </c>
      <c r="AD893" s="0">
        <f>IF(AND('PEGAR'!O393=0,'PEGAR'!X393=2),'PEGAR'!C393&amp;"","")</f>
      </c>
      <c r="AE893" s="0">
        <f>IF(AND('PEGAR'!O393=0,'PEGAR'!X393=2),'PEGAR'!D393&amp;"","")</f>
      </c>
      <c r="AF893" s="0">
        <f>IF(AND('PEGAR'!O393=0,'PEGAR'!X393=2),'PEGAR'!N393,"")</f>
      </c>
      <c r="AG893" s="0" t="n">
        <f>IF(AND('PEGAR'!O393=0,'PEGAR'!X393=2),2,0)</f>
        <v>0</v>
      </c>
      <c r="AH893" s="0">
        <f>IF(AG893&gt;0,COUNTIFS($AG$13:AG893,"&gt;0"),"")</f>
      </c>
    </row>
    <row r="894">
      <c r="AB894" s="0">
        <f>IF(AND('PEGAR'!O394=0,'PEGAR'!X394=2),"Fila 394","")</f>
      </c>
      <c r="AC894" s="0">
        <f>IF(AND('PEGAR'!O394=0,'PEGAR'!X394=2),'PEGAR'!B394&amp;"","")</f>
      </c>
      <c r="AD894" s="0">
        <f>IF(AND('PEGAR'!O394=0,'PEGAR'!X394=2),'PEGAR'!C394&amp;"","")</f>
      </c>
      <c r="AE894" s="0">
        <f>IF(AND('PEGAR'!O394=0,'PEGAR'!X394=2),'PEGAR'!D394&amp;"","")</f>
      </c>
      <c r="AF894" s="0">
        <f>IF(AND('PEGAR'!O394=0,'PEGAR'!X394=2),'PEGAR'!N394,"")</f>
      </c>
      <c r="AG894" s="0" t="n">
        <f>IF(AND('PEGAR'!O394=0,'PEGAR'!X394=2),2,0)</f>
        <v>0</v>
      </c>
      <c r="AH894" s="0">
        <f>IF(AG894&gt;0,COUNTIFS($AG$13:AG894,"&gt;0"),"")</f>
      </c>
    </row>
    <row r="895">
      <c r="AB895" s="0">
        <f>IF(AND('PEGAR'!O395=0,'PEGAR'!X395=2),"Fila 395","")</f>
      </c>
      <c r="AC895" s="0">
        <f>IF(AND('PEGAR'!O395=0,'PEGAR'!X395=2),'PEGAR'!B395&amp;"","")</f>
      </c>
      <c r="AD895" s="0">
        <f>IF(AND('PEGAR'!O395=0,'PEGAR'!X395=2),'PEGAR'!C395&amp;"","")</f>
      </c>
      <c r="AE895" s="0">
        <f>IF(AND('PEGAR'!O395=0,'PEGAR'!X395=2),'PEGAR'!D395&amp;"","")</f>
      </c>
      <c r="AF895" s="0">
        <f>IF(AND('PEGAR'!O395=0,'PEGAR'!X395=2),'PEGAR'!N395,"")</f>
      </c>
      <c r="AG895" s="0" t="n">
        <f>IF(AND('PEGAR'!O395=0,'PEGAR'!X395=2),2,0)</f>
        <v>0</v>
      </c>
      <c r="AH895" s="0">
        <f>IF(AG895&gt;0,COUNTIFS($AG$13:AG895,"&gt;0"),"")</f>
      </c>
    </row>
    <row r="896">
      <c r="AB896" s="0">
        <f>IF(AND('PEGAR'!O396=0,'PEGAR'!X396=2),"Fila 396","")</f>
      </c>
      <c r="AC896" s="0">
        <f>IF(AND('PEGAR'!O396=0,'PEGAR'!X396=2),'PEGAR'!B396&amp;"","")</f>
      </c>
      <c r="AD896" s="0">
        <f>IF(AND('PEGAR'!O396=0,'PEGAR'!X396=2),'PEGAR'!C396&amp;"","")</f>
      </c>
      <c r="AE896" s="0">
        <f>IF(AND('PEGAR'!O396=0,'PEGAR'!X396=2),'PEGAR'!D396&amp;"","")</f>
      </c>
      <c r="AF896" s="0">
        <f>IF(AND('PEGAR'!O396=0,'PEGAR'!X396=2),'PEGAR'!N396,"")</f>
      </c>
      <c r="AG896" s="0" t="n">
        <f>IF(AND('PEGAR'!O396=0,'PEGAR'!X396=2),2,0)</f>
        <v>0</v>
      </c>
      <c r="AH896" s="0">
        <f>IF(AG896&gt;0,COUNTIFS($AG$13:AG896,"&gt;0"),"")</f>
      </c>
    </row>
    <row r="897">
      <c r="AB897" s="0">
        <f>IF(AND('PEGAR'!O397=0,'PEGAR'!X397=2),"Fila 397","")</f>
      </c>
      <c r="AC897" s="0">
        <f>IF(AND('PEGAR'!O397=0,'PEGAR'!X397=2),'PEGAR'!B397&amp;"","")</f>
      </c>
      <c r="AD897" s="0">
        <f>IF(AND('PEGAR'!O397=0,'PEGAR'!X397=2),'PEGAR'!C397&amp;"","")</f>
      </c>
      <c r="AE897" s="0">
        <f>IF(AND('PEGAR'!O397=0,'PEGAR'!X397=2),'PEGAR'!D397&amp;"","")</f>
      </c>
      <c r="AF897" s="0">
        <f>IF(AND('PEGAR'!O397=0,'PEGAR'!X397=2),'PEGAR'!N397,"")</f>
      </c>
      <c r="AG897" s="0" t="n">
        <f>IF(AND('PEGAR'!O397=0,'PEGAR'!X397=2),2,0)</f>
        <v>0</v>
      </c>
      <c r="AH897" s="0">
        <f>IF(AG897&gt;0,COUNTIFS($AG$13:AG897,"&gt;0"),"")</f>
      </c>
    </row>
    <row r="898">
      <c r="AB898" s="0">
        <f>IF(AND('PEGAR'!O398=0,'PEGAR'!X398=2),"Fila 398","")</f>
      </c>
      <c r="AC898" s="0">
        <f>IF(AND('PEGAR'!O398=0,'PEGAR'!X398=2),'PEGAR'!B398&amp;"","")</f>
      </c>
      <c r="AD898" s="0">
        <f>IF(AND('PEGAR'!O398=0,'PEGAR'!X398=2),'PEGAR'!C398&amp;"","")</f>
      </c>
      <c r="AE898" s="0">
        <f>IF(AND('PEGAR'!O398=0,'PEGAR'!X398=2),'PEGAR'!D398&amp;"","")</f>
      </c>
      <c r="AF898" s="0">
        <f>IF(AND('PEGAR'!O398=0,'PEGAR'!X398=2),'PEGAR'!N398,"")</f>
      </c>
      <c r="AG898" s="0" t="n">
        <f>IF(AND('PEGAR'!O398=0,'PEGAR'!X398=2),2,0)</f>
        <v>0</v>
      </c>
      <c r="AH898" s="0">
        <f>IF(AG898&gt;0,COUNTIFS($AG$13:AG898,"&gt;0"),"")</f>
      </c>
    </row>
    <row r="899">
      <c r="AB899" s="0">
        <f>IF(AND('PEGAR'!O399=0,'PEGAR'!X399=2),"Fila 399","")</f>
      </c>
      <c r="AC899" s="0">
        <f>IF(AND('PEGAR'!O399=0,'PEGAR'!X399=2),'PEGAR'!B399&amp;"","")</f>
      </c>
      <c r="AD899" s="0">
        <f>IF(AND('PEGAR'!O399=0,'PEGAR'!X399=2),'PEGAR'!C399&amp;"","")</f>
      </c>
      <c r="AE899" s="0">
        <f>IF(AND('PEGAR'!O399=0,'PEGAR'!X399=2),'PEGAR'!D399&amp;"","")</f>
      </c>
      <c r="AF899" s="0">
        <f>IF(AND('PEGAR'!O399=0,'PEGAR'!X399=2),'PEGAR'!N399,"")</f>
      </c>
      <c r="AG899" s="0" t="n">
        <f>IF(AND('PEGAR'!O399=0,'PEGAR'!X399=2),2,0)</f>
        <v>0</v>
      </c>
      <c r="AH899" s="0">
        <f>IF(AG899&gt;0,COUNTIFS($AG$13:AG899,"&gt;0"),"")</f>
      </c>
    </row>
    <row r="900">
      <c r="AB900" s="0">
        <f>IF(AND('PEGAR'!O400=0,'PEGAR'!X400=2),"Fila 400","")</f>
      </c>
      <c r="AC900" s="0">
        <f>IF(AND('PEGAR'!O400=0,'PEGAR'!X400=2),'PEGAR'!B400&amp;"","")</f>
      </c>
      <c r="AD900" s="0">
        <f>IF(AND('PEGAR'!O400=0,'PEGAR'!X400=2),'PEGAR'!C400&amp;"","")</f>
      </c>
      <c r="AE900" s="0">
        <f>IF(AND('PEGAR'!O400=0,'PEGAR'!X400=2),'PEGAR'!D400&amp;"","")</f>
      </c>
      <c r="AF900" s="0">
        <f>IF(AND('PEGAR'!O400=0,'PEGAR'!X400=2),'PEGAR'!N400,"")</f>
      </c>
      <c r="AG900" s="0" t="n">
        <f>IF(AND('PEGAR'!O400=0,'PEGAR'!X400=2),2,0)</f>
        <v>0</v>
      </c>
      <c r="AH900" s="0">
        <f>IF(AG900&gt;0,COUNTIFS($AG$13:AG900,"&gt;0"),"")</f>
      </c>
    </row>
    <row r="901">
      <c r="AB901" s="0">
        <f>IF(AND('PEGAR'!O401=0,'PEGAR'!X401=2),"Fila 401","")</f>
      </c>
      <c r="AC901" s="0">
        <f>IF(AND('PEGAR'!O401=0,'PEGAR'!X401=2),'PEGAR'!B401&amp;"","")</f>
      </c>
      <c r="AD901" s="0">
        <f>IF(AND('PEGAR'!O401=0,'PEGAR'!X401=2),'PEGAR'!C401&amp;"","")</f>
      </c>
      <c r="AE901" s="0">
        <f>IF(AND('PEGAR'!O401=0,'PEGAR'!X401=2),'PEGAR'!D401&amp;"","")</f>
      </c>
      <c r="AF901" s="0">
        <f>IF(AND('PEGAR'!O401=0,'PEGAR'!X401=2),'PEGAR'!N401,"")</f>
      </c>
      <c r="AG901" s="0" t="n">
        <f>IF(AND('PEGAR'!O401=0,'PEGAR'!X401=2),2,0)</f>
        <v>0</v>
      </c>
      <c r="AH901" s="0">
        <f>IF(AG901&gt;0,COUNTIFS($AG$13:AG901,"&gt;0"),"")</f>
      </c>
    </row>
    <row r="902">
      <c r="AB902" s="0">
        <f>IF(AND('PEGAR'!O402=0,'PEGAR'!X402=2),"Fila 402","")</f>
      </c>
      <c r="AC902" s="0">
        <f>IF(AND('PEGAR'!O402=0,'PEGAR'!X402=2),'PEGAR'!B402&amp;"","")</f>
      </c>
      <c r="AD902" s="0">
        <f>IF(AND('PEGAR'!O402=0,'PEGAR'!X402=2),'PEGAR'!C402&amp;"","")</f>
      </c>
      <c r="AE902" s="0">
        <f>IF(AND('PEGAR'!O402=0,'PEGAR'!X402=2),'PEGAR'!D402&amp;"","")</f>
      </c>
      <c r="AF902" s="0">
        <f>IF(AND('PEGAR'!O402=0,'PEGAR'!X402=2),'PEGAR'!N402,"")</f>
      </c>
      <c r="AG902" s="0" t="n">
        <f>IF(AND('PEGAR'!O402=0,'PEGAR'!X402=2),2,0)</f>
        <v>0</v>
      </c>
      <c r="AH902" s="0">
        <f>IF(AG902&gt;0,COUNTIFS($AG$13:AG902,"&gt;0"),"")</f>
      </c>
    </row>
    <row r="903">
      <c r="AB903" s="0">
        <f>IF(AND('PEGAR'!O403=0,'PEGAR'!X403=2),"Fila 403","")</f>
      </c>
      <c r="AC903" s="0">
        <f>IF(AND('PEGAR'!O403=0,'PEGAR'!X403=2),'PEGAR'!B403&amp;"","")</f>
      </c>
      <c r="AD903" s="0">
        <f>IF(AND('PEGAR'!O403=0,'PEGAR'!X403=2),'PEGAR'!C403&amp;"","")</f>
      </c>
      <c r="AE903" s="0">
        <f>IF(AND('PEGAR'!O403=0,'PEGAR'!X403=2),'PEGAR'!D403&amp;"","")</f>
      </c>
      <c r="AF903" s="0">
        <f>IF(AND('PEGAR'!O403=0,'PEGAR'!X403=2),'PEGAR'!N403,"")</f>
      </c>
      <c r="AG903" s="0" t="n">
        <f>IF(AND('PEGAR'!O403=0,'PEGAR'!X403=2),2,0)</f>
        <v>0</v>
      </c>
      <c r="AH903" s="0">
        <f>IF(AG903&gt;0,COUNTIFS($AG$13:AG903,"&gt;0"),"")</f>
      </c>
    </row>
    <row r="904">
      <c r="AB904" s="0">
        <f>IF(AND('PEGAR'!O404=0,'PEGAR'!X404=2),"Fila 404","")</f>
      </c>
      <c r="AC904" s="0">
        <f>IF(AND('PEGAR'!O404=0,'PEGAR'!X404=2),'PEGAR'!B404&amp;"","")</f>
      </c>
      <c r="AD904" s="0">
        <f>IF(AND('PEGAR'!O404=0,'PEGAR'!X404=2),'PEGAR'!C404&amp;"","")</f>
      </c>
      <c r="AE904" s="0">
        <f>IF(AND('PEGAR'!O404=0,'PEGAR'!X404=2),'PEGAR'!D404&amp;"","")</f>
      </c>
      <c r="AF904" s="0">
        <f>IF(AND('PEGAR'!O404=0,'PEGAR'!X404=2),'PEGAR'!N404,"")</f>
      </c>
      <c r="AG904" s="0" t="n">
        <f>IF(AND('PEGAR'!O404=0,'PEGAR'!X404=2),2,0)</f>
        <v>0</v>
      </c>
      <c r="AH904" s="0">
        <f>IF(AG904&gt;0,COUNTIFS($AG$13:AG904,"&gt;0"),"")</f>
      </c>
    </row>
    <row r="905">
      <c r="AB905" s="0">
        <f>IF(AND('PEGAR'!O405=0,'PEGAR'!X405=2),"Fila 405","")</f>
      </c>
      <c r="AC905" s="0">
        <f>IF(AND('PEGAR'!O405=0,'PEGAR'!X405=2),'PEGAR'!B405&amp;"","")</f>
      </c>
      <c r="AD905" s="0">
        <f>IF(AND('PEGAR'!O405=0,'PEGAR'!X405=2),'PEGAR'!C405&amp;"","")</f>
      </c>
      <c r="AE905" s="0">
        <f>IF(AND('PEGAR'!O405=0,'PEGAR'!X405=2),'PEGAR'!D405&amp;"","")</f>
      </c>
      <c r="AF905" s="0">
        <f>IF(AND('PEGAR'!O405=0,'PEGAR'!X405=2),'PEGAR'!N405,"")</f>
      </c>
      <c r="AG905" s="0" t="n">
        <f>IF(AND('PEGAR'!O405=0,'PEGAR'!X405=2),2,0)</f>
        <v>0</v>
      </c>
      <c r="AH905" s="0">
        <f>IF(AG905&gt;0,COUNTIFS($AG$13:AG905,"&gt;0"),"")</f>
      </c>
    </row>
    <row r="906">
      <c r="AB906" s="0">
        <f>IF(AND('PEGAR'!O406=0,'PEGAR'!X406=2),"Fila 406","")</f>
      </c>
      <c r="AC906" s="0">
        <f>IF(AND('PEGAR'!O406=0,'PEGAR'!X406=2),'PEGAR'!B406&amp;"","")</f>
      </c>
      <c r="AD906" s="0">
        <f>IF(AND('PEGAR'!O406=0,'PEGAR'!X406=2),'PEGAR'!C406&amp;"","")</f>
      </c>
      <c r="AE906" s="0">
        <f>IF(AND('PEGAR'!O406=0,'PEGAR'!X406=2),'PEGAR'!D406&amp;"","")</f>
      </c>
      <c r="AF906" s="0">
        <f>IF(AND('PEGAR'!O406=0,'PEGAR'!X406=2),'PEGAR'!N406,"")</f>
      </c>
      <c r="AG906" s="0" t="n">
        <f>IF(AND('PEGAR'!O406=0,'PEGAR'!X406=2),2,0)</f>
        <v>0</v>
      </c>
      <c r="AH906" s="0">
        <f>IF(AG906&gt;0,COUNTIFS($AG$13:AG906,"&gt;0"),"")</f>
      </c>
    </row>
    <row r="907">
      <c r="AB907" s="0">
        <f>IF(AND('PEGAR'!O407=0,'PEGAR'!X407=2),"Fila 407","")</f>
      </c>
      <c r="AC907" s="0">
        <f>IF(AND('PEGAR'!O407=0,'PEGAR'!X407=2),'PEGAR'!B407&amp;"","")</f>
      </c>
      <c r="AD907" s="0">
        <f>IF(AND('PEGAR'!O407=0,'PEGAR'!X407=2),'PEGAR'!C407&amp;"","")</f>
      </c>
      <c r="AE907" s="0">
        <f>IF(AND('PEGAR'!O407=0,'PEGAR'!X407=2),'PEGAR'!D407&amp;"","")</f>
      </c>
      <c r="AF907" s="0">
        <f>IF(AND('PEGAR'!O407=0,'PEGAR'!X407=2),'PEGAR'!N407,"")</f>
      </c>
      <c r="AG907" s="0" t="n">
        <f>IF(AND('PEGAR'!O407=0,'PEGAR'!X407=2),2,0)</f>
        <v>0</v>
      </c>
      <c r="AH907" s="0">
        <f>IF(AG907&gt;0,COUNTIFS($AG$13:AG907,"&gt;0"),"")</f>
      </c>
    </row>
    <row r="908">
      <c r="AB908" s="0">
        <f>IF(AND('PEGAR'!O408=0,'PEGAR'!X408=2),"Fila 408","")</f>
      </c>
      <c r="AC908" s="0">
        <f>IF(AND('PEGAR'!O408=0,'PEGAR'!X408=2),'PEGAR'!B408&amp;"","")</f>
      </c>
      <c r="AD908" s="0">
        <f>IF(AND('PEGAR'!O408=0,'PEGAR'!X408=2),'PEGAR'!C408&amp;"","")</f>
      </c>
      <c r="AE908" s="0">
        <f>IF(AND('PEGAR'!O408=0,'PEGAR'!X408=2),'PEGAR'!D408&amp;"","")</f>
      </c>
      <c r="AF908" s="0">
        <f>IF(AND('PEGAR'!O408=0,'PEGAR'!X408=2),'PEGAR'!N408,"")</f>
      </c>
      <c r="AG908" s="0" t="n">
        <f>IF(AND('PEGAR'!O408=0,'PEGAR'!X408=2),2,0)</f>
        <v>0</v>
      </c>
      <c r="AH908" s="0">
        <f>IF(AG908&gt;0,COUNTIFS($AG$13:AG908,"&gt;0"),"")</f>
      </c>
    </row>
    <row r="909">
      <c r="AB909" s="0">
        <f>IF(AND('PEGAR'!O409=0,'PEGAR'!X409=2),"Fila 409","")</f>
      </c>
      <c r="AC909" s="0">
        <f>IF(AND('PEGAR'!O409=0,'PEGAR'!X409=2),'PEGAR'!B409&amp;"","")</f>
      </c>
      <c r="AD909" s="0">
        <f>IF(AND('PEGAR'!O409=0,'PEGAR'!X409=2),'PEGAR'!C409&amp;"","")</f>
      </c>
      <c r="AE909" s="0">
        <f>IF(AND('PEGAR'!O409=0,'PEGAR'!X409=2),'PEGAR'!D409&amp;"","")</f>
      </c>
      <c r="AF909" s="0">
        <f>IF(AND('PEGAR'!O409=0,'PEGAR'!X409=2),'PEGAR'!N409,"")</f>
      </c>
      <c r="AG909" s="0" t="n">
        <f>IF(AND('PEGAR'!O409=0,'PEGAR'!X409=2),2,0)</f>
        <v>0</v>
      </c>
      <c r="AH909" s="0">
        <f>IF(AG909&gt;0,COUNTIFS($AG$13:AG909,"&gt;0"),"")</f>
      </c>
    </row>
    <row r="910">
      <c r="AB910" s="0">
        <f>IF(AND('PEGAR'!O410=0,'PEGAR'!X410=2),"Fila 410","")</f>
      </c>
      <c r="AC910" s="0">
        <f>IF(AND('PEGAR'!O410=0,'PEGAR'!X410=2),'PEGAR'!B410&amp;"","")</f>
      </c>
      <c r="AD910" s="0">
        <f>IF(AND('PEGAR'!O410=0,'PEGAR'!X410=2),'PEGAR'!C410&amp;"","")</f>
      </c>
      <c r="AE910" s="0">
        <f>IF(AND('PEGAR'!O410=0,'PEGAR'!X410=2),'PEGAR'!D410&amp;"","")</f>
      </c>
      <c r="AF910" s="0">
        <f>IF(AND('PEGAR'!O410=0,'PEGAR'!X410=2),'PEGAR'!N410,"")</f>
      </c>
      <c r="AG910" s="0" t="n">
        <f>IF(AND('PEGAR'!O410=0,'PEGAR'!X410=2),2,0)</f>
        <v>0</v>
      </c>
      <c r="AH910" s="0">
        <f>IF(AG910&gt;0,COUNTIFS($AG$13:AG910,"&gt;0"),"")</f>
      </c>
    </row>
    <row r="911">
      <c r="AB911" s="0">
        <f>IF(AND('PEGAR'!O411=0,'PEGAR'!X411=2),"Fila 411","")</f>
      </c>
      <c r="AC911" s="0">
        <f>IF(AND('PEGAR'!O411=0,'PEGAR'!X411=2),'PEGAR'!B411&amp;"","")</f>
      </c>
      <c r="AD911" s="0">
        <f>IF(AND('PEGAR'!O411=0,'PEGAR'!X411=2),'PEGAR'!C411&amp;"","")</f>
      </c>
      <c r="AE911" s="0">
        <f>IF(AND('PEGAR'!O411=0,'PEGAR'!X411=2),'PEGAR'!D411&amp;"","")</f>
      </c>
      <c r="AF911" s="0">
        <f>IF(AND('PEGAR'!O411=0,'PEGAR'!X411=2),'PEGAR'!N411,"")</f>
      </c>
      <c r="AG911" s="0" t="n">
        <f>IF(AND('PEGAR'!O411=0,'PEGAR'!X411=2),2,0)</f>
        <v>0</v>
      </c>
      <c r="AH911" s="0">
        <f>IF(AG911&gt;0,COUNTIFS($AG$13:AG911,"&gt;0"),"")</f>
      </c>
    </row>
    <row r="912">
      <c r="AB912" s="0">
        <f>IF(AND('PEGAR'!O412=0,'PEGAR'!X412=2),"Fila 412","")</f>
      </c>
      <c r="AC912" s="0">
        <f>IF(AND('PEGAR'!O412=0,'PEGAR'!X412=2),'PEGAR'!B412&amp;"","")</f>
      </c>
      <c r="AD912" s="0">
        <f>IF(AND('PEGAR'!O412=0,'PEGAR'!X412=2),'PEGAR'!C412&amp;"","")</f>
      </c>
      <c r="AE912" s="0">
        <f>IF(AND('PEGAR'!O412=0,'PEGAR'!X412=2),'PEGAR'!D412&amp;"","")</f>
      </c>
      <c r="AF912" s="0">
        <f>IF(AND('PEGAR'!O412=0,'PEGAR'!X412=2),'PEGAR'!N412,"")</f>
      </c>
      <c r="AG912" s="0" t="n">
        <f>IF(AND('PEGAR'!O412=0,'PEGAR'!X412=2),2,0)</f>
        <v>0</v>
      </c>
      <c r="AH912" s="0">
        <f>IF(AG912&gt;0,COUNTIFS($AG$13:AG912,"&gt;0"),"")</f>
      </c>
    </row>
    <row r="913">
      <c r="AB913" s="0">
        <f>IF(AND('PEGAR'!O413=0,'PEGAR'!X413=2),"Fila 413","")</f>
      </c>
      <c r="AC913" s="0">
        <f>IF(AND('PEGAR'!O413=0,'PEGAR'!X413=2),'PEGAR'!B413&amp;"","")</f>
      </c>
      <c r="AD913" s="0">
        <f>IF(AND('PEGAR'!O413=0,'PEGAR'!X413=2),'PEGAR'!C413&amp;"","")</f>
      </c>
      <c r="AE913" s="0">
        <f>IF(AND('PEGAR'!O413=0,'PEGAR'!X413=2),'PEGAR'!D413&amp;"","")</f>
      </c>
      <c r="AF913" s="0">
        <f>IF(AND('PEGAR'!O413=0,'PEGAR'!X413=2),'PEGAR'!N413,"")</f>
      </c>
      <c r="AG913" s="0" t="n">
        <f>IF(AND('PEGAR'!O413=0,'PEGAR'!X413=2),2,0)</f>
        <v>0</v>
      </c>
      <c r="AH913" s="0">
        <f>IF(AG913&gt;0,COUNTIFS($AG$13:AG913,"&gt;0"),"")</f>
      </c>
    </row>
    <row r="914">
      <c r="AB914" s="0">
        <f>IF(AND('PEGAR'!O414=0,'PEGAR'!X414=2),"Fila 414","")</f>
      </c>
      <c r="AC914" s="0">
        <f>IF(AND('PEGAR'!O414=0,'PEGAR'!X414=2),'PEGAR'!B414&amp;"","")</f>
      </c>
      <c r="AD914" s="0">
        <f>IF(AND('PEGAR'!O414=0,'PEGAR'!X414=2),'PEGAR'!C414&amp;"","")</f>
      </c>
      <c r="AE914" s="0">
        <f>IF(AND('PEGAR'!O414=0,'PEGAR'!X414=2),'PEGAR'!D414&amp;"","")</f>
      </c>
      <c r="AF914" s="0">
        <f>IF(AND('PEGAR'!O414=0,'PEGAR'!X414=2),'PEGAR'!N414,"")</f>
      </c>
      <c r="AG914" s="0" t="n">
        <f>IF(AND('PEGAR'!O414=0,'PEGAR'!X414=2),2,0)</f>
        <v>0</v>
      </c>
      <c r="AH914" s="0">
        <f>IF(AG914&gt;0,COUNTIFS($AG$13:AG914,"&gt;0"),"")</f>
      </c>
    </row>
    <row r="915">
      <c r="AB915" s="0">
        <f>IF(AND('PEGAR'!O415=0,'PEGAR'!X415=2),"Fila 415","")</f>
      </c>
      <c r="AC915" s="0">
        <f>IF(AND('PEGAR'!O415=0,'PEGAR'!X415=2),'PEGAR'!B415&amp;"","")</f>
      </c>
      <c r="AD915" s="0">
        <f>IF(AND('PEGAR'!O415=0,'PEGAR'!X415=2),'PEGAR'!C415&amp;"","")</f>
      </c>
      <c r="AE915" s="0">
        <f>IF(AND('PEGAR'!O415=0,'PEGAR'!X415=2),'PEGAR'!D415&amp;"","")</f>
      </c>
      <c r="AF915" s="0">
        <f>IF(AND('PEGAR'!O415=0,'PEGAR'!X415=2),'PEGAR'!N415,"")</f>
      </c>
      <c r="AG915" s="0" t="n">
        <f>IF(AND('PEGAR'!O415=0,'PEGAR'!X415=2),2,0)</f>
        <v>0</v>
      </c>
      <c r="AH915" s="0">
        <f>IF(AG915&gt;0,COUNTIFS($AG$13:AG915,"&gt;0"),"")</f>
      </c>
    </row>
    <row r="916">
      <c r="AB916" s="0">
        <f>IF(AND('PEGAR'!O416=0,'PEGAR'!X416=2),"Fila 416","")</f>
      </c>
      <c r="AC916" s="0">
        <f>IF(AND('PEGAR'!O416=0,'PEGAR'!X416=2),'PEGAR'!B416&amp;"","")</f>
      </c>
      <c r="AD916" s="0">
        <f>IF(AND('PEGAR'!O416=0,'PEGAR'!X416=2),'PEGAR'!C416&amp;"","")</f>
      </c>
      <c r="AE916" s="0">
        <f>IF(AND('PEGAR'!O416=0,'PEGAR'!X416=2),'PEGAR'!D416&amp;"","")</f>
      </c>
      <c r="AF916" s="0">
        <f>IF(AND('PEGAR'!O416=0,'PEGAR'!X416=2),'PEGAR'!N416,"")</f>
      </c>
      <c r="AG916" s="0" t="n">
        <f>IF(AND('PEGAR'!O416=0,'PEGAR'!X416=2),2,0)</f>
        <v>0</v>
      </c>
      <c r="AH916" s="0">
        <f>IF(AG916&gt;0,COUNTIFS($AG$13:AG916,"&gt;0"),"")</f>
      </c>
    </row>
    <row r="917">
      <c r="AB917" s="0">
        <f>IF(AND('PEGAR'!O417=0,'PEGAR'!X417=2),"Fila 417","")</f>
      </c>
      <c r="AC917" s="0">
        <f>IF(AND('PEGAR'!O417=0,'PEGAR'!X417=2),'PEGAR'!B417&amp;"","")</f>
      </c>
      <c r="AD917" s="0">
        <f>IF(AND('PEGAR'!O417=0,'PEGAR'!X417=2),'PEGAR'!C417&amp;"","")</f>
      </c>
      <c r="AE917" s="0">
        <f>IF(AND('PEGAR'!O417=0,'PEGAR'!X417=2),'PEGAR'!D417&amp;"","")</f>
      </c>
      <c r="AF917" s="0">
        <f>IF(AND('PEGAR'!O417=0,'PEGAR'!X417=2),'PEGAR'!N417,"")</f>
      </c>
      <c r="AG917" s="0" t="n">
        <f>IF(AND('PEGAR'!O417=0,'PEGAR'!X417=2),2,0)</f>
        <v>0</v>
      </c>
      <c r="AH917" s="0">
        <f>IF(AG917&gt;0,COUNTIFS($AG$13:AG917,"&gt;0"),"")</f>
      </c>
    </row>
    <row r="918">
      <c r="AB918" s="0">
        <f>IF(AND('PEGAR'!O418=0,'PEGAR'!X418=2),"Fila 418","")</f>
      </c>
      <c r="AC918" s="0">
        <f>IF(AND('PEGAR'!O418=0,'PEGAR'!X418=2),'PEGAR'!B418&amp;"","")</f>
      </c>
      <c r="AD918" s="0">
        <f>IF(AND('PEGAR'!O418=0,'PEGAR'!X418=2),'PEGAR'!C418&amp;"","")</f>
      </c>
      <c r="AE918" s="0">
        <f>IF(AND('PEGAR'!O418=0,'PEGAR'!X418=2),'PEGAR'!D418&amp;"","")</f>
      </c>
      <c r="AF918" s="0">
        <f>IF(AND('PEGAR'!O418=0,'PEGAR'!X418=2),'PEGAR'!N418,"")</f>
      </c>
      <c r="AG918" s="0" t="n">
        <f>IF(AND('PEGAR'!O418=0,'PEGAR'!X418=2),2,0)</f>
        <v>0</v>
      </c>
      <c r="AH918" s="0">
        <f>IF(AG918&gt;0,COUNTIFS($AG$13:AG918,"&gt;0"),"")</f>
      </c>
    </row>
    <row r="919">
      <c r="AB919" s="0">
        <f>IF(AND('PEGAR'!O419=0,'PEGAR'!X419=2),"Fila 419","")</f>
      </c>
      <c r="AC919" s="0">
        <f>IF(AND('PEGAR'!O419=0,'PEGAR'!X419=2),'PEGAR'!B419&amp;"","")</f>
      </c>
      <c r="AD919" s="0">
        <f>IF(AND('PEGAR'!O419=0,'PEGAR'!X419=2),'PEGAR'!C419&amp;"","")</f>
      </c>
      <c r="AE919" s="0">
        <f>IF(AND('PEGAR'!O419=0,'PEGAR'!X419=2),'PEGAR'!D419&amp;"","")</f>
      </c>
      <c r="AF919" s="0">
        <f>IF(AND('PEGAR'!O419=0,'PEGAR'!X419=2),'PEGAR'!N419,"")</f>
      </c>
      <c r="AG919" s="0" t="n">
        <f>IF(AND('PEGAR'!O419=0,'PEGAR'!X419=2),2,0)</f>
        <v>0</v>
      </c>
      <c r="AH919" s="0">
        <f>IF(AG919&gt;0,COUNTIFS($AG$13:AG919,"&gt;0"),"")</f>
      </c>
    </row>
    <row r="920">
      <c r="AB920" s="0">
        <f>IF(AND('PEGAR'!O420=0,'PEGAR'!X420=2),"Fila 420","")</f>
      </c>
      <c r="AC920" s="0">
        <f>IF(AND('PEGAR'!O420=0,'PEGAR'!X420=2),'PEGAR'!B420&amp;"","")</f>
      </c>
      <c r="AD920" s="0">
        <f>IF(AND('PEGAR'!O420=0,'PEGAR'!X420=2),'PEGAR'!C420&amp;"","")</f>
      </c>
      <c r="AE920" s="0">
        <f>IF(AND('PEGAR'!O420=0,'PEGAR'!X420=2),'PEGAR'!D420&amp;"","")</f>
      </c>
      <c r="AF920" s="0">
        <f>IF(AND('PEGAR'!O420=0,'PEGAR'!X420=2),'PEGAR'!N420,"")</f>
      </c>
      <c r="AG920" s="0" t="n">
        <f>IF(AND('PEGAR'!O420=0,'PEGAR'!X420=2),2,0)</f>
        <v>0</v>
      </c>
      <c r="AH920" s="0">
        <f>IF(AG920&gt;0,COUNTIFS($AG$13:AG920,"&gt;0"),"")</f>
      </c>
    </row>
    <row r="921">
      <c r="AB921" s="0">
        <f>IF(AND('PEGAR'!O421=0,'PEGAR'!X421=2),"Fila 421","")</f>
      </c>
      <c r="AC921" s="0">
        <f>IF(AND('PEGAR'!O421=0,'PEGAR'!X421=2),'PEGAR'!B421&amp;"","")</f>
      </c>
      <c r="AD921" s="0">
        <f>IF(AND('PEGAR'!O421=0,'PEGAR'!X421=2),'PEGAR'!C421&amp;"","")</f>
      </c>
      <c r="AE921" s="0">
        <f>IF(AND('PEGAR'!O421=0,'PEGAR'!X421=2),'PEGAR'!D421&amp;"","")</f>
      </c>
      <c r="AF921" s="0">
        <f>IF(AND('PEGAR'!O421=0,'PEGAR'!X421=2),'PEGAR'!N421,"")</f>
      </c>
      <c r="AG921" s="0" t="n">
        <f>IF(AND('PEGAR'!O421=0,'PEGAR'!X421=2),2,0)</f>
        <v>0</v>
      </c>
      <c r="AH921" s="0">
        <f>IF(AG921&gt;0,COUNTIFS($AG$13:AG921,"&gt;0"),"")</f>
      </c>
    </row>
    <row r="922">
      <c r="AB922" s="0">
        <f>IF(AND('PEGAR'!O422=0,'PEGAR'!X422=2),"Fila 422","")</f>
      </c>
      <c r="AC922" s="0">
        <f>IF(AND('PEGAR'!O422=0,'PEGAR'!X422=2),'PEGAR'!B422&amp;"","")</f>
      </c>
      <c r="AD922" s="0">
        <f>IF(AND('PEGAR'!O422=0,'PEGAR'!X422=2),'PEGAR'!C422&amp;"","")</f>
      </c>
      <c r="AE922" s="0">
        <f>IF(AND('PEGAR'!O422=0,'PEGAR'!X422=2),'PEGAR'!D422&amp;"","")</f>
      </c>
      <c r="AF922" s="0">
        <f>IF(AND('PEGAR'!O422=0,'PEGAR'!X422=2),'PEGAR'!N422,"")</f>
      </c>
      <c r="AG922" s="0" t="n">
        <f>IF(AND('PEGAR'!O422=0,'PEGAR'!X422=2),2,0)</f>
        <v>0</v>
      </c>
      <c r="AH922" s="0">
        <f>IF(AG922&gt;0,COUNTIFS($AG$13:AG922,"&gt;0"),"")</f>
      </c>
    </row>
    <row r="923">
      <c r="AB923" s="0">
        <f>IF(AND('PEGAR'!O423=0,'PEGAR'!X423=2),"Fila 423","")</f>
      </c>
      <c r="AC923" s="0">
        <f>IF(AND('PEGAR'!O423=0,'PEGAR'!X423=2),'PEGAR'!B423&amp;"","")</f>
      </c>
      <c r="AD923" s="0">
        <f>IF(AND('PEGAR'!O423=0,'PEGAR'!X423=2),'PEGAR'!C423&amp;"","")</f>
      </c>
      <c r="AE923" s="0">
        <f>IF(AND('PEGAR'!O423=0,'PEGAR'!X423=2),'PEGAR'!D423&amp;"","")</f>
      </c>
      <c r="AF923" s="0">
        <f>IF(AND('PEGAR'!O423=0,'PEGAR'!X423=2),'PEGAR'!N423,"")</f>
      </c>
      <c r="AG923" s="0" t="n">
        <f>IF(AND('PEGAR'!O423=0,'PEGAR'!X423=2),2,0)</f>
        <v>0</v>
      </c>
      <c r="AH923" s="0">
        <f>IF(AG923&gt;0,COUNTIFS($AG$13:AG923,"&gt;0"),"")</f>
      </c>
    </row>
    <row r="924">
      <c r="AB924" s="0">
        <f>IF(AND('PEGAR'!O424=0,'PEGAR'!X424=2),"Fila 424","")</f>
      </c>
      <c r="AC924" s="0">
        <f>IF(AND('PEGAR'!O424=0,'PEGAR'!X424=2),'PEGAR'!B424&amp;"","")</f>
      </c>
      <c r="AD924" s="0">
        <f>IF(AND('PEGAR'!O424=0,'PEGAR'!X424=2),'PEGAR'!C424&amp;"","")</f>
      </c>
      <c r="AE924" s="0">
        <f>IF(AND('PEGAR'!O424=0,'PEGAR'!X424=2),'PEGAR'!D424&amp;"","")</f>
      </c>
      <c r="AF924" s="0">
        <f>IF(AND('PEGAR'!O424=0,'PEGAR'!X424=2),'PEGAR'!N424,"")</f>
      </c>
      <c r="AG924" s="0" t="n">
        <f>IF(AND('PEGAR'!O424=0,'PEGAR'!X424=2),2,0)</f>
        <v>0</v>
      </c>
      <c r="AH924" s="0">
        <f>IF(AG924&gt;0,COUNTIFS($AG$13:AG924,"&gt;0"),"")</f>
      </c>
    </row>
    <row r="925">
      <c r="AB925" s="0">
        <f>IF(AND('PEGAR'!O425=0,'PEGAR'!X425=2),"Fila 425","")</f>
      </c>
      <c r="AC925" s="0">
        <f>IF(AND('PEGAR'!O425=0,'PEGAR'!X425=2),'PEGAR'!B425&amp;"","")</f>
      </c>
      <c r="AD925" s="0">
        <f>IF(AND('PEGAR'!O425=0,'PEGAR'!X425=2),'PEGAR'!C425&amp;"","")</f>
      </c>
      <c r="AE925" s="0">
        <f>IF(AND('PEGAR'!O425=0,'PEGAR'!X425=2),'PEGAR'!D425&amp;"","")</f>
      </c>
      <c r="AF925" s="0">
        <f>IF(AND('PEGAR'!O425=0,'PEGAR'!X425=2),'PEGAR'!N425,"")</f>
      </c>
      <c r="AG925" s="0" t="n">
        <f>IF(AND('PEGAR'!O425=0,'PEGAR'!X425=2),2,0)</f>
        <v>0</v>
      </c>
      <c r="AH925" s="0">
        <f>IF(AG925&gt;0,COUNTIFS($AG$13:AG925,"&gt;0"),"")</f>
      </c>
    </row>
    <row r="926">
      <c r="AB926" s="0">
        <f>IF(AND('PEGAR'!O426=0,'PEGAR'!X426=2),"Fila 426","")</f>
      </c>
      <c r="AC926" s="0">
        <f>IF(AND('PEGAR'!O426=0,'PEGAR'!X426=2),'PEGAR'!B426&amp;"","")</f>
      </c>
      <c r="AD926" s="0">
        <f>IF(AND('PEGAR'!O426=0,'PEGAR'!X426=2),'PEGAR'!C426&amp;"","")</f>
      </c>
      <c r="AE926" s="0">
        <f>IF(AND('PEGAR'!O426=0,'PEGAR'!X426=2),'PEGAR'!D426&amp;"","")</f>
      </c>
      <c r="AF926" s="0">
        <f>IF(AND('PEGAR'!O426=0,'PEGAR'!X426=2),'PEGAR'!N426,"")</f>
      </c>
      <c r="AG926" s="0" t="n">
        <f>IF(AND('PEGAR'!O426=0,'PEGAR'!X426=2),2,0)</f>
        <v>0</v>
      </c>
      <c r="AH926" s="0">
        <f>IF(AG926&gt;0,COUNTIFS($AG$13:AG926,"&gt;0"),"")</f>
      </c>
    </row>
    <row r="927">
      <c r="AB927" s="0">
        <f>IF(AND('PEGAR'!O427=0,'PEGAR'!X427=2),"Fila 427","")</f>
      </c>
      <c r="AC927" s="0">
        <f>IF(AND('PEGAR'!O427=0,'PEGAR'!X427=2),'PEGAR'!B427&amp;"","")</f>
      </c>
      <c r="AD927" s="0">
        <f>IF(AND('PEGAR'!O427=0,'PEGAR'!X427=2),'PEGAR'!C427&amp;"","")</f>
      </c>
      <c r="AE927" s="0">
        <f>IF(AND('PEGAR'!O427=0,'PEGAR'!X427=2),'PEGAR'!D427&amp;"","")</f>
      </c>
      <c r="AF927" s="0">
        <f>IF(AND('PEGAR'!O427=0,'PEGAR'!X427=2),'PEGAR'!N427,"")</f>
      </c>
      <c r="AG927" s="0" t="n">
        <f>IF(AND('PEGAR'!O427=0,'PEGAR'!X427=2),2,0)</f>
        <v>0</v>
      </c>
      <c r="AH927" s="0">
        <f>IF(AG927&gt;0,COUNTIFS($AG$13:AG927,"&gt;0"),"")</f>
      </c>
    </row>
    <row r="928">
      <c r="AB928" s="0">
        <f>IF(AND('PEGAR'!O428=0,'PEGAR'!X428=2),"Fila 428","")</f>
      </c>
      <c r="AC928" s="0">
        <f>IF(AND('PEGAR'!O428=0,'PEGAR'!X428=2),'PEGAR'!B428&amp;"","")</f>
      </c>
      <c r="AD928" s="0">
        <f>IF(AND('PEGAR'!O428=0,'PEGAR'!X428=2),'PEGAR'!C428&amp;"","")</f>
      </c>
      <c r="AE928" s="0">
        <f>IF(AND('PEGAR'!O428=0,'PEGAR'!X428=2),'PEGAR'!D428&amp;"","")</f>
      </c>
      <c r="AF928" s="0">
        <f>IF(AND('PEGAR'!O428=0,'PEGAR'!X428=2),'PEGAR'!N428,"")</f>
      </c>
      <c r="AG928" s="0" t="n">
        <f>IF(AND('PEGAR'!O428=0,'PEGAR'!X428=2),2,0)</f>
        <v>0</v>
      </c>
      <c r="AH928" s="0">
        <f>IF(AG928&gt;0,COUNTIFS($AG$13:AG928,"&gt;0"),"")</f>
      </c>
    </row>
    <row r="929">
      <c r="AB929" s="0">
        <f>IF(AND('PEGAR'!O429=0,'PEGAR'!X429=2),"Fila 429","")</f>
      </c>
      <c r="AC929" s="0">
        <f>IF(AND('PEGAR'!O429=0,'PEGAR'!X429=2),'PEGAR'!B429&amp;"","")</f>
      </c>
      <c r="AD929" s="0">
        <f>IF(AND('PEGAR'!O429=0,'PEGAR'!X429=2),'PEGAR'!C429&amp;"","")</f>
      </c>
      <c r="AE929" s="0">
        <f>IF(AND('PEGAR'!O429=0,'PEGAR'!X429=2),'PEGAR'!D429&amp;"","")</f>
      </c>
      <c r="AF929" s="0">
        <f>IF(AND('PEGAR'!O429=0,'PEGAR'!X429=2),'PEGAR'!N429,"")</f>
      </c>
      <c r="AG929" s="0" t="n">
        <f>IF(AND('PEGAR'!O429=0,'PEGAR'!X429=2),2,0)</f>
        <v>0</v>
      </c>
      <c r="AH929" s="0">
        <f>IF(AG929&gt;0,COUNTIFS($AG$13:AG929,"&gt;0"),"")</f>
      </c>
    </row>
    <row r="930">
      <c r="AB930" s="0">
        <f>IF(AND('PEGAR'!O430=0,'PEGAR'!X430=2),"Fila 430","")</f>
      </c>
      <c r="AC930" s="0">
        <f>IF(AND('PEGAR'!O430=0,'PEGAR'!X430=2),'PEGAR'!B430&amp;"","")</f>
      </c>
      <c r="AD930" s="0">
        <f>IF(AND('PEGAR'!O430=0,'PEGAR'!X430=2),'PEGAR'!C430&amp;"","")</f>
      </c>
      <c r="AE930" s="0">
        <f>IF(AND('PEGAR'!O430=0,'PEGAR'!X430=2),'PEGAR'!D430&amp;"","")</f>
      </c>
      <c r="AF930" s="0">
        <f>IF(AND('PEGAR'!O430=0,'PEGAR'!X430=2),'PEGAR'!N430,"")</f>
      </c>
      <c r="AG930" s="0" t="n">
        <f>IF(AND('PEGAR'!O430=0,'PEGAR'!X430=2),2,0)</f>
        <v>0</v>
      </c>
      <c r="AH930" s="0">
        <f>IF(AG930&gt;0,COUNTIFS($AG$13:AG930,"&gt;0"),"")</f>
      </c>
    </row>
    <row r="931">
      <c r="AB931" s="0">
        <f>IF(AND('PEGAR'!O431=0,'PEGAR'!X431=2),"Fila 431","")</f>
      </c>
      <c r="AC931" s="0">
        <f>IF(AND('PEGAR'!O431=0,'PEGAR'!X431=2),'PEGAR'!B431&amp;"","")</f>
      </c>
      <c r="AD931" s="0">
        <f>IF(AND('PEGAR'!O431=0,'PEGAR'!X431=2),'PEGAR'!C431&amp;"","")</f>
      </c>
      <c r="AE931" s="0">
        <f>IF(AND('PEGAR'!O431=0,'PEGAR'!X431=2),'PEGAR'!D431&amp;"","")</f>
      </c>
      <c r="AF931" s="0">
        <f>IF(AND('PEGAR'!O431=0,'PEGAR'!X431=2),'PEGAR'!N431,"")</f>
      </c>
      <c r="AG931" s="0" t="n">
        <f>IF(AND('PEGAR'!O431=0,'PEGAR'!X431=2),2,0)</f>
        <v>0</v>
      </c>
      <c r="AH931" s="0">
        <f>IF(AG931&gt;0,COUNTIFS($AG$13:AG931,"&gt;0"),"")</f>
      </c>
    </row>
    <row r="932">
      <c r="AB932" s="0">
        <f>IF(AND('PEGAR'!O432=0,'PEGAR'!X432=2),"Fila 432","")</f>
      </c>
      <c r="AC932" s="0">
        <f>IF(AND('PEGAR'!O432=0,'PEGAR'!X432=2),'PEGAR'!B432&amp;"","")</f>
      </c>
      <c r="AD932" s="0">
        <f>IF(AND('PEGAR'!O432=0,'PEGAR'!X432=2),'PEGAR'!C432&amp;"","")</f>
      </c>
      <c r="AE932" s="0">
        <f>IF(AND('PEGAR'!O432=0,'PEGAR'!X432=2),'PEGAR'!D432&amp;"","")</f>
      </c>
      <c r="AF932" s="0">
        <f>IF(AND('PEGAR'!O432=0,'PEGAR'!X432=2),'PEGAR'!N432,"")</f>
      </c>
      <c r="AG932" s="0" t="n">
        <f>IF(AND('PEGAR'!O432=0,'PEGAR'!X432=2),2,0)</f>
        <v>0</v>
      </c>
      <c r="AH932" s="0">
        <f>IF(AG932&gt;0,COUNTIFS($AG$13:AG932,"&gt;0"),"")</f>
      </c>
    </row>
    <row r="933">
      <c r="AB933" s="0">
        <f>IF(AND('PEGAR'!O433=0,'PEGAR'!X433=2),"Fila 433","")</f>
      </c>
      <c r="AC933" s="0">
        <f>IF(AND('PEGAR'!O433=0,'PEGAR'!X433=2),'PEGAR'!B433&amp;"","")</f>
      </c>
      <c r="AD933" s="0">
        <f>IF(AND('PEGAR'!O433=0,'PEGAR'!X433=2),'PEGAR'!C433&amp;"","")</f>
      </c>
      <c r="AE933" s="0">
        <f>IF(AND('PEGAR'!O433=0,'PEGAR'!X433=2),'PEGAR'!D433&amp;"","")</f>
      </c>
      <c r="AF933" s="0">
        <f>IF(AND('PEGAR'!O433=0,'PEGAR'!X433=2),'PEGAR'!N433,"")</f>
      </c>
      <c r="AG933" s="0" t="n">
        <f>IF(AND('PEGAR'!O433=0,'PEGAR'!X433=2),2,0)</f>
        <v>0</v>
      </c>
      <c r="AH933" s="0">
        <f>IF(AG933&gt;0,COUNTIFS($AG$13:AG933,"&gt;0"),"")</f>
      </c>
    </row>
    <row r="934">
      <c r="AB934" s="0">
        <f>IF(AND('PEGAR'!O434=0,'PEGAR'!X434=2),"Fila 434","")</f>
      </c>
      <c r="AC934" s="0">
        <f>IF(AND('PEGAR'!O434=0,'PEGAR'!X434=2),'PEGAR'!B434&amp;"","")</f>
      </c>
      <c r="AD934" s="0">
        <f>IF(AND('PEGAR'!O434=0,'PEGAR'!X434=2),'PEGAR'!C434&amp;"","")</f>
      </c>
      <c r="AE934" s="0">
        <f>IF(AND('PEGAR'!O434=0,'PEGAR'!X434=2),'PEGAR'!D434&amp;"","")</f>
      </c>
      <c r="AF934" s="0">
        <f>IF(AND('PEGAR'!O434=0,'PEGAR'!X434=2),'PEGAR'!N434,"")</f>
      </c>
      <c r="AG934" s="0" t="n">
        <f>IF(AND('PEGAR'!O434=0,'PEGAR'!X434=2),2,0)</f>
        <v>0</v>
      </c>
      <c r="AH934" s="0">
        <f>IF(AG934&gt;0,COUNTIFS($AG$13:AG934,"&gt;0"),"")</f>
      </c>
    </row>
    <row r="935">
      <c r="AB935" s="0">
        <f>IF(AND('PEGAR'!O435=0,'PEGAR'!X435=2),"Fila 435","")</f>
      </c>
      <c r="AC935" s="0">
        <f>IF(AND('PEGAR'!O435=0,'PEGAR'!X435=2),'PEGAR'!B435&amp;"","")</f>
      </c>
      <c r="AD935" s="0">
        <f>IF(AND('PEGAR'!O435=0,'PEGAR'!X435=2),'PEGAR'!C435&amp;"","")</f>
      </c>
      <c r="AE935" s="0">
        <f>IF(AND('PEGAR'!O435=0,'PEGAR'!X435=2),'PEGAR'!D435&amp;"","")</f>
      </c>
      <c r="AF935" s="0">
        <f>IF(AND('PEGAR'!O435=0,'PEGAR'!X435=2),'PEGAR'!N435,"")</f>
      </c>
      <c r="AG935" s="0" t="n">
        <f>IF(AND('PEGAR'!O435=0,'PEGAR'!X435=2),2,0)</f>
        <v>0</v>
      </c>
      <c r="AH935" s="0">
        <f>IF(AG935&gt;0,COUNTIFS($AG$13:AG935,"&gt;0"),"")</f>
      </c>
    </row>
    <row r="936">
      <c r="AB936" s="0">
        <f>IF(AND('PEGAR'!O436=0,'PEGAR'!X436=2),"Fila 436","")</f>
      </c>
      <c r="AC936" s="0">
        <f>IF(AND('PEGAR'!O436=0,'PEGAR'!X436=2),'PEGAR'!B436&amp;"","")</f>
      </c>
      <c r="AD936" s="0">
        <f>IF(AND('PEGAR'!O436=0,'PEGAR'!X436=2),'PEGAR'!C436&amp;"","")</f>
      </c>
      <c r="AE936" s="0">
        <f>IF(AND('PEGAR'!O436=0,'PEGAR'!X436=2),'PEGAR'!D436&amp;"","")</f>
      </c>
      <c r="AF936" s="0">
        <f>IF(AND('PEGAR'!O436=0,'PEGAR'!X436=2),'PEGAR'!N436,"")</f>
      </c>
      <c r="AG936" s="0" t="n">
        <f>IF(AND('PEGAR'!O436=0,'PEGAR'!X436=2),2,0)</f>
        <v>0</v>
      </c>
      <c r="AH936" s="0">
        <f>IF(AG936&gt;0,COUNTIFS($AG$13:AG936,"&gt;0"),"")</f>
      </c>
    </row>
    <row r="937">
      <c r="AB937" s="0">
        <f>IF(AND('PEGAR'!O437=0,'PEGAR'!X437=2),"Fila 437","")</f>
      </c>
      <c r="AC937" s="0">
        <f>IF(AND('PEGAR'!O437=0,'PEGAR'!X437=2),'PEGAR'!B437&amp;"","")</f>
      </c>
      <c r="AD937" s="0">
        <f>IF(AND('PEGAR'!O437=0,'PEGAR'!X437=2),'PEGAR'!C437&amp;"","")</f>
      </c>
      <c r="AE937" s="0">
        <f>IF(AND('PEGAR'!O437=0,'PEGAR'!X437=2),'PEGAR'!D437&amp;"","")</f>
      </c>
      <c r="AF937" s="0">
        <f>IF(AND('PEGAR'!O437=0,'PEGAR'!X437=2),'PEGAR'!N437,"")</f>
      </c>
      <c r="AG937" s="0" t="n">
        <f>IF(AND('PEGAR'!O437=0,'PEGAR'!X437=2),2,0)</f>
        <v>0</v>
      </c>
      <c r="AH937" s="0">
        <f>IF(AG937&gt;0,COUNTIFS($AG$13:AG937,"&gt;0"),"")</f>
      </c>
    </row>
    <row r="938">
      <c r="AB938" s="0">
        <f>IF(AND('PEGAR'!O438=0,'PEGAR'!X438=2),"Fila 438","")</f>
      </c>
      <c r="AC938" s="0">
        <f>IF(AND('PEGAR'!O438=0,'PEGAR'!X438=2),'PEGAR'!B438&amp;"","")</f>
      </c>
      <c r="AD938" s="0">
        <f>IF(AND('PEGAR'!O438=0,'PEGAR'!X438=2),'PEGAR'!C438&amp;"","")</f>
      </c>
      <c r="AE938" s="0">
        <f>IF(AND('PEGAR'!O438=0,'PEGAR'!X438=2),'PEGAR'!D438&amp;"","")</f>
      </c>
      <c r="AF938" s="0">
        <f>IF(AND('PEGAR'!O438=0,'PEGAR'!X438=2),'PEGAR'!N438,"")</f>
      </c>
      <c r="AG938" s="0" t="n">
        <f>IF(AND('PEGAR'!O438=0,'PEGAR'!X438=2),2,0)</f>
        <v>0</v>
      </c>
      <c r="AH938" s="0">
        <f>IF(AG938&gt;0,COUNTIFS($AG$13:AG938,"&gt;0"),"")</f>
      </c>
    </row>
    <row r="939">
      <c r="AB939" s="0">
        <f>IF(AND('PEGAR'!O439=0,'PEGAR'!X439=2),"Fila 439","")</f>
      </c>
      <c r="AC939" s="0">
        <f>IF(AND('PEGAR'!O439=0,'PEGAR'!X439=2),'PEGAR'!B439&amp;"","")</f>
      </c>
      <c r="AD939" s="0">
        <f>IF(AND('PEGAR'!O439=0,'PEGAR'!X439=2),'PEGAR'!C439&amp;"","")</f>
      </c>
      <c r="AE939" s="0">
        <f>IF(AND('PEGAR'!O439=0,'PEGAR'!X439=2),'PEGAR'!D439&amp;"","")</f>
      </c>
      <c r="AF939" s="0">
        <f>IF(AND('PEGAR'!O439=0,'PEGAR'!X439=2),'PEGAR'!N439,"")</f>
      </c>
      <c r="AG939" s="0" t="n">
        <f>IF(AND('PEGAR'!O439=0,'PEGAR'!X439=2),2,0)</f>
        <v>0</v>
      </c>
      <c r="AH939" s="0">
        <f>IF(AG939&gt;0,COUNTIFS($AG$13:AG939,"&gt;0"),"")</f>
      </c>
    </row>
    <row r="940">
      <c r="AB940" s="0">
        <f>IF(AND('PEGAR'!O440=0,'PEGAR'!X440=2),"Fila 440","")</f>
      </c>
      <c r="AC940" s="0">
        <f>IF(AND('PEGAR'!O440=0,'PEGAR'!X440=2),'PEGAR'!B440&amp;"","")</f>
      </c>
      <c r="AD940" s="0">
        <f>IF(AND('PEGAR'!O440=0,'PEGAR'!X440=2),'PEGAR'!C440&amp;"","")</f>
      </c>
      <c r="AE940" s="0">
        <f>IF(AND('PEGAR'!O440=0,'PEGAR'!X440=2),'PEGAR'!D440&amp;"","")</f>
      </c>
      <c r="AF940" s="0">
        <f>IF(AND('PEGAR'!O440=0,'PEGAR'!X440=2),'PEGAR'!N440,"")</f>
      </c>
      <c r="AG940" s="0" t="n">
        <f>IF(AND('PEGAR'!O440=0,'PEGAR'!X440=2),2,0)</f>
        <v>0</v>
      </c>
      <c r="AH940" s="0">
        <f>IF(AG940&gt;0,COUNTIFS($AG$13:AG940,"&gt;0"),"")</f>
      </c>
    </row>
    <row r="941">
      <c r="AB941" s="0">
        <f>IF(AND('PEGAR'!O441=0,'PEGAR'!X441=2),"Fila 441","")</f>
      </c>
      <c r="AC941" s="0">
        <f>IF(AND('PEGAR'!O441=0,'PEGAR'!X441=2),'PEGAR'!B441&amp;"","")</f>
      </c>
      <c r="AD941" s="0">
        <f>IF(AND('PEGAR'!O441=0,'PEGAR'!X441=2),'PEGAR'!C441&amp;"","")</f>
      </c>
      <c r="AE941" s="0">
        <f>IF(AND('PEGAR'!O441=0,'PEGAR'!X441=2),'PEGAR'!D441&amp;"","")</f>
      </c>
      <c r="AF941" s="0">
        <f>IF(AND('PEGAR'!O441=0,'PEGAR'!X441=2),'PEGAR'!N441,"")</f>
      </c>
      <c r="AG941" s="0" t="n">
        <f>IF(AND('PEGAR'!O441=0,'PEGAR'!X441=2),2,0)</f>
        <v>0</v>
      </c>
      <c r="AH941" s="0">
        <f>IF(AG941&gt;0,COUNTIFS($AG$13:AG941,"&gt;0"),"")</f>
      </c>
    </row>
    <row r="942">
      <c r="AB942" s="0">
        <f>IF(AND('PEGAR'!O442=0,'PEGAR'!X442=2),"Fila 442","")</f>
      </c>
      <c r="AC942" s="0">
        <f>IF(AND('PEGAR'!O442=0,'PEGAR'!X442=2),'PEGAR'!B442&amp;"","")</f>
      </c>
      <c r="AD942" s="0">
        <f>IF(AND('PEGAR'!O442=0,'PEGAR'!X442=2),'PEGAR'!C442&amp;"","")</f>
      </c>
      <c r="AE942" s="0">
        <f>IF(AND('PEGAR'!O442=0,'PEGAR'!X442=2),'PEGAR'!D442&amp;"","")</f>
      </c>
      <c r="AF942" s="0">
        <f>IF(AND('PEGAR'!O442=0,'PEGAR'!X442=2),'PEGAR'!N442,"")</f>
      </c>
      <c r="AG942" s="0" t="n">
        <f>IF(AND('PEGAR'!O442=0,'PEGAR'!X442=2),2,0)</f>
        <v>0</v>
      </c>
      <c r="AH942" s="0">
        <f>IF(AG942&gt;0,COUNTIFS($AG$13:AG942,"&gt;0"),"")</f>
      </c>
    </row>
    <row r="943">
      <c r="AB943" s="0">
        <f>IF(AND('PEGAR'!O443=0,'PEGAR'!X443=2),"Fila 443","")</f>
      </c>
      <c r="AC943" s="0">
        <f>IF(AND('PEGAR'!O443=0,'PEGAR'!X443=2),'PEGAR'!B443&amp;"","")</f>
      </c>
      <c r="AD943" s="0">
        <f>IF(AND('PEGAR'!O443=0,'PEGAR'!X443=2),'PEGAR'!C443&amp;"","")</f>
      </c>
      <c r="AE943" s="0">
        <f>IF(AND('PEGAR'!O443=0,'PEGAR'!X443=2),'PEGAR'!D443&amp;"","")</f>
      </c>
      <c r="AF943" s="0">
        <f>IF(AND('PEGAR'!O443=0,'PEGAR'!X443=2),'PEGAR'!N443,"")</f>
      </c>
      <c r="AG943" s="0" t="n">
        <f>IF(AND('PEGAR'!O443=0,'PEGAR'!X443=2),2,0)</f>
        <v>0</v>
      </c>
      <c r="AH943" s="0">
        <f>IF(AG943&gt;0,COUNTIFS($AG$13:AG943,"&gt;0"),"")</f>
      </c>
    </row>
    <row r="944">
      <c r="AB944" s="0">
        <f>IF(AND('PEGAR'!O444=0,'PEGAR'!X444=2),"Fila 444","")</f>
      </c>
      <c r="AC944" s="0">
        <f>IF(AND('PEGAR'!O444=0,'PEGAR'!X444=2),'PEGAR'!B444&amp;"","")</f>
      </c>
      <c r="AD944" s="0">
        <f>IF(AND('PEGAR'!O444=0,'PEGAR'!X444=2),'PEGAR'!C444&amp;"","")</f>
      </c>
      <c r="AE944" s="0">
        <f>IF(AND('PEGAR'!O444=0,'PEGAR'!X444=2),'PEGAR'!D444&amp;"","")</f>
      </c>
      <c r="AF944" s="0">
        <f>IF(AND('PEGAR'!O444=0,'PEGAR'!X444=2),'PEGAR'!N444,"")</f>
      </c>
      <c r="AG944" s="0" t="n">
        <f>IF(AND('PEGAR'!O444=0,'PEGAR'!X444=2),2,0)</f>
        <v>0</v>
      </c>
      <c r="AH944" s="0">
        <f>IF(AG944&gt;0,COUNTIFS($AG$13:AG944,"&gt;0"),"")</f>
      </c>
    </row>
    <row r="945">
      <c r="AB945" s="0">
        <f>IF(AND('PEGAR'!O445=0,'PEGAR'!X445=2),"Fila 445","")</f>
      </c>
      <c r="AC945" s="0">
        <f>IF(AND('PEGAR'!O445=0,'PEGAR'!X445=2),'PEGAR'!B445&amp;"","")</f>
      </c>
      <c r="AD945" s="0">
        <f>IF(AND('PEGAR'!O445=0,'PEGAR'!X445=2),'PEGAR'!C445&amp;"","")</f>
      </c>
      <c r="AE945" s="0">
        <f>IF(AND('PEGAR'!O445=0,'PEGAR'!X445=2),'PEGAR'!D445&amp;"","")</f>
      </c>
      <c r="AF945" s="0">
        <f>IF(AND('PEGAR'!O445=0,'PEGAR'!X445=2),'PEGAR'!N445,"")</f>
      </c>
      <c r="AG945" s="0" t="n">
        <f>IF(AND('PEGAR'!O445=0,'PEGAR'!X445=2),2,0)</f>
        <v>0</v>
      </c>
      <c r="AH945" s="0">
        <f>IF(AG945&gt;0,COUNTIFS($AG$13:AG945,"&gt;0"),"")</f>
      </c>
    </row>
    <row r="946">
      <c r="AB946" s="0">
        <f>IF(AND('PEGAR'!O446=0,'PEGAR'!X446=2),"Fila 446","")</f>
      </c>
      <c r="AC946" s="0">
        <f>IF(AND('PEGAR'!O446=0,'PEGAR'!X446=2),'PEGAR'!B446&amp;"","")</f>
      </c>
      <c r="AD946" s="0">
        <f>IF(AND('PEGAR'!O446=0,'PEGAR'!X446=2),'PEGAR'!C446&amp;"","")</f>
      </c>
      <c r="AE946" s="0">
        <f>IF(AND('PEGAR'!O446=0,'PEGAR'!X446=2),'PEGAR'!D446&amp;"","")</f>
      </c>
      <c r="AF946" s="0">
        <f>IF(AND('PEGAR'!O446=0,'PEGAR'!X446=2),'PEGAR'!N446,"")</f>
      </c>
      <c r="AG946" s="0" t="n">
        <f>IF(AND('PEGAR'!O446=0,'PEGAR'!X446=2),2,0)</f>
        <v>0</v>
      </c>
      <c r="AH946" s="0">
        <f>IF(AG946&gt;0,COUNTIFS($AG$13:AG946,"&gt;0"),"")</f>
      </c>
    </row>
    <row r="947">
      <c r="AB947" s="0">
        <f>IF(AND('PEGAR'!O447=0,'PEGAR'!X447=2),"Fila 447","")</f>
      </c>
      <c r="AC947" s="0">
        <f>IF(AND('PEGAR'!O447=0,'PEGAR'!X447=2),'PEGAR'!B447&amp;"","")</f>
      </c>
      <c r="AD947" s="0">
        <f>IF(AND('PEGAR'!O447=0,'PEGAR'!X447=2),'PEGAR'!C447&amp;"","")</f>
      </c>
      <c r="AE947" s="0">
        <f>IF(AND('PEGAR'!O447=0,'PEGAR'!X447=2),'PEGAR'!D447&amp;"","")</f>
      </c>
      <c r="AF947" s="0">
        <f>IF(AND('PEGAR'!O447=0,'PEGAR'!X447=2),'PEGAR'!N447,"")</f>
      </c>
      <c r="AG947" s="0" t="n">
        <f>IF(AND('PEGAR'!O447=0,'PEGAR'!X447=2),2,0)</f>
        <v>0</v>
      </c>
      <c r="AH947" s="0">
        <f>IF(AG947&gt;0,COUNTIFS($AG$13:AG947,"&gt;0"),"")</f>
      </c>
    </row>
    <row r="948">
      <c r="AB948" s="0">
        <f>IF(AND('PEGAR'!O448=0,'PEGAR'!X448=2),"Fila 448","")</f>
      </c>
      <c r="AC948" s="0">
        <f>IF(AND('PEGAR'!O448=0,'PEGAR'!X448=2),'PEGAR'!B448&amp;"","")</f>
      </c>
      <c r="AD948" s="0">
        <f>IF(AND('PEGAR'!O448=0,'PEGAR'!X448=2),'PEGAR'!C448&amp;"","")</f>
      </c>
      <c r="AE948" s="0">
        <f>IF(AND('PEGAR'!O448=0,'PEGAR'!X448=2),'PEGAR'!D448&amp;"","")</f>
      </c>
      <c r="AF948" s="0">
        <f>IF(AND('PEGAR'!O448=0,'PEGAR'!X448=2),'PEGAR'!N448,"")</f>
      </c>
      <c r="AG948" s="0" t="n">
        <f>IF(AND('PEGAR'!O448=0,'PEGAR'!X448=2),2,0)</f>
        <v>0</v>
      </c>
      <c r="AH948" s="0">
        <f>IF(AG948&gt;0,COUNTIFS($AG$13:AG948,"&gt;0"),"")</f>
      </c>
    </row>
    <row r="949">
      <c r="AB949" s="0">
        <f>IF(AND('PEGAR'!O449=0,'PEGAR'!X449=2),"Fila 449","")</f>
      </c>
      <c r="AC949" s="0">
        <f>IF(AND('PEGAR'!O449=0,'PEGAR'!X449=2),'PEGAR'!B449&amp;"","")</f>
      </c>
      <c r="AD949" s="0">
        <f>IF(AND('PEGAR'!O449=0,'PEGAR'!X449=2),'PEGAR'!C449&amp;"","")</f>
      </c>
      <c r="AE949" s="0">
        <f>IF(AND('PEGAR'!O449=0,'PEGAR'!X449=2),'PEGAR'!D449&amp;"","")</f>
      </c>
      <c r="AF949" s="0">
        <f>IF(AND('PEGAR'!O449=0,'PEGAR'!X449=2),'PEGAR'!N449,"")</f>
      </c>
      <c r="AG949" s="0" t="n">
        <f>IF(AND('PEGAR'!O449=0,'PEGAR'!X449=2),2,0)</f>
        <v>0</v>
      </c>
      <c r="AH949" s="0">
        <f>IF(AG949&gt;0,COUNTIFS($AG$13:AG949,"&gt;0"),"")</f>
      </c>
    </row>
    <row r="950">
      <c r="AB950" s="0">
        <f>IF(AND('PEGAR'!O450=0,'PEGAR'!X450=2),"Fila 450","")</f>
      </c>
      <c r="AC950" s="0">
        <f>IF(AND('PEGAR'!O450=0,'PEGAR'!X450=2),'PEGAR'!B450&amp;"","")</f>
      </c>
      <c r="AD950" s="0">
        <f>IF(AND('PEGAR'!O450=0,'PEGAR'!X450=2),'PEGAR'!C450&amp;"","")</f>
      </c>
      <c r="AE950" s="0">
        <f>IF(AND('PEGAR'!O450=0,'PEGAR'!X450=2),'PEGAR'!D450&amp;"","")</f>
      </c>
      <c r="AF950" s="0">
        <f>IF(AND('PEGAR'!O450=0,'PEGAR'!X450=2),'PEGAR'!N450,"")</f>
      </c>
      <c r="AG950" s="0" t="n">
        <f>IF(AND('PEGAR'!O450=0,'PEGAR'!X450=2),2,0)</f>
        <v>0</v>
      </c>
      <c r="AH950" s="0">
        <f>IF(AG950&gt;0,COUNTIFS($AG$13:AG950,"&gt;0"),"")</f>
      </c>
    </row>
    <row r="951">
      <c r="AB951" s="0">
        <f>IF(AND('PEGAR'!O451=0,'PEGAR'!X451=2),"Fila 451","")</f>
      </c>
      <c r="AC951" s="0">
        <f>IF(AND('PEGAR'!O451=0,'PEGAR'!X451=2),'PEGAR'!B451&amp;"","")</f>
      </c>
      <c r="AD951" s="0">
        <f>IF(AND('PEGAR'!O451=0,'PEGAR'!X451=2),'PEGAR'!C451&amp;"","")</f>
      </c>
      <c r="AE951" s="0">
        <f>IF(AND('PEGAR'!O451=0,'PEGAR'!X451=2),'PEGAR'!D451&amp;"","")</f>
      </c>
      <c r="AF951" s="0">
        <f>IF(AND('PEGAR'!O451=0,'PEGAR'!X451=2),'PEGAR'!N451,"")</f>
      </c>
      <c r="AG951" s="0" t="n">
        <f>IF(AND('PEGAR'!O451=0,'PEGAR'!X451=2),2,0)</f>
        <v>0</v>
      </c>
      <c r="AH951" s="0">
        <f>IF(AG951&gt;0,COUNTIFS($AG$13:AG951,"&gt;0"),"")</f>
      </c>
    </row>
    <row r="952">
      <c r="AB952" s="0">
        <f>IF(AND('PEGAR'!O452=0,'PEGAR'!X452=2),"Fila 452","")</f>
      </c>
      <c r="AC952" s="0">
        <f>IF(AND('PEGAR'!O452=0,'PEGAR'!X452=2),'PEGAR'!B452&amp;"","")</f>
      </c>
      <c r="AD952" s="0">
        <f>IF(AND('PEGAR'!O452=0,'PEGAR'!X452=2),'PEGAR'!C452&amp;"","")</f>
      </c>
      <c r="AE952" s="0">
        <f>IF(AND('PEGAR'!O452=0,'PEGAR'!X452=2),'PEGAR'!D452&amp;"","")</f>
      </c>
      <c r="AF952" s="0">
        <f>IF(AND('PEGAR'!O452=0,'PEGAR'!X452=2),'PEGAR'!N452,"")</f>
      </c>
      <c r="AG952" s="0" t="n">
        <f>IF(AND('PEGAR'!O452=0,'PEGAR'!X452=2),2,0)</f>
        <v>0</v>
      </c>
      <c r="AH952" s="0">
        <f>IF(AG952&gt;0,COUNTIFS($AG$13:AG952,"&gt;0"),"")</f>
      </c>
    </row>
    <row r="953">
      <c r="AB953" s="0">
        <f>IF(AND('PEGAR'!O453=0,'PEGAR'!X453=2),"Fila 453","")</f>
      </c>
      <c r="AC953" s="0">
        <f>IF(AND('PEGAR'!O453=0,'PEGAR'!X453=2),'PEGAR'!B453&amp;"","")</f>
      </c>
      <c r="AD953" s="0">
        <f>IF(AND('PEGAR'!O453=0,'PEGAR'!X453=2),'PEGAR'!C453&amp;"","")</f>
      </c>
      <c r="AE953" s="0">
        <f>IF(AND('PEGAR'!O453=0,'PEGAR'!X453=2),'PEGAR'!D453&amp;"","")</f>
      </c>
      <c r="AF953" s="0">
        <f>IF(AND('PEGAR'!O453=0,'PEGAR'!X453=2),'PEGAR'!N453,"")</f>
      </c>
      <c r="AG953" s="0" t="n">
        <f>IF(AND('PEGAR'!O453=0,'PEGAR'!X453=2),2,0)</f>
        <v>0</v>
      </c>
      <c r="AH953" s="0">
        <f>IF(AG953&gt;0,COUNTIFS($AG$13:AG953,"&gt;0"),"")</f>
      </c>
    </row>
    <row r="954">
      <c r="AB954" s="0">
        <f>IF(AND('PEGAR'!O454=0,'PEGAR'!X454=2),"Fila 454","")</f>
      </c>
      <c r="AC954" s="0">
        <f>IF(AND('PEGAR'!O454=0,'PEGAR'!X454=2),'PEGAR'!B454&amp;"","")</f>
      </c>
      <c r="AD954" s="0">
        <f>IF(AND('PEGAR'!O454=0,'PEGAR'!X454=2),'PEGAR'!C454&amp;"","")</f>
      </c>
      <c r="AE954" s="0">
        <f>IF(AND('PEGAR'!O454=0,'PEGAR'!X454=2),'PEGAR'!D454&amp;"","")</f>
      </c>
      <c r="AF954" s="0">
        <f>IF(AND('PEGAR'!O454=0,'PEGAR'!X454=2),'PEGAR'!N454,"")</f>
      </c>
      <c r="AG954" s="0" t="n">
        <f>IF(AND('PEGAR'!O454=0,'PEGAR'!X454=2),2,0)</f>
        <v>0</v>
      </c>
      <c r="AH954" s="0">
        <f>IF(AG954&gt;0,COUNTIFS($AG$13:AG954,"&gt;0"),"")</f>
      </c>
    </row>
    <row r="955">
      <c r="AB955" s="0">
        <f>IF(AND('PEGAR'!O455=0,'PEGAR'!X455=2),"Fila 455","")</f>
      </c>
      <c r="AC955" s="0">
        <f>IF(AND('PEGAR'!O455=0,'PEGAR'!X455=2),'PEGAR'!B455&amp;"","")</f>
      </c>
      <c r="AD955" s="0">
        <f>IF(AND('PEGAR'!O455=0,'PEGAR'!X455=2),'PEGAR'!C455&amp;"","")</f>
      </c>
      <c r="AE955" s="0">
        <f>IF(AND('PEGAR'!O455=0,'PEGAR'!X455=2),'PEGAR'!D455&amp;"","")</f>
      </c>
      <c r="AF955" s="0">
        <f>IF(AND('PEGAR'!O455=0,'PEGAR'!X455=2),'PEGAR'!N455,"")</f>
      </c>
      <c r="AG955" s="0" t="n">
        <f>IF(AND('PEGAR'!O455=0,'PEGAR'!X455=2),2,0)</f>
        <v>0</v>
      </c>
      <c r="AH955" s="0">
        <f>IF(AG955&gt;0,COUNTIFS($AG$13:AG955,"&gt;0"),"")</f>
      </c>
    </row>
    <row r="956">
      <c r="AB956" s="0">
        <f>IF(AND('PEGAR'!O456=0,'PEGAR'!X456=2),"Fila 456","")</f>
      </c>
      <c r="AC956" s="0">
        <f>IF(AND('PEGAR'!O456=0,'PEGAR'!X456=2),'PEGAR'!B456&amp;"","")</f>
      </c>
      <c r="AD956" s="0">
        <f>IF(AND('PEGAR'!O456=0,'PEGAR'!X456=2),'PEGAR'!C456&amp;"","")</f>
      </c>
      <c r="AE956" s="0">
        <f>IF(AND('PEGAR'!O456=0,'PEGAR'!X456=2),'PEGAR'!D456&amp;"","")</f>
      </c>
      <c r="AF956" s="0">
        <f>IF(AND('PEGAR'!O456=0,'PEGAR'!X456=2),'PEGAR'!N456,"")</f>
      </c>
      <c r="AG956" s="0" t="n">
        <f>IF(AND('PEGAR'!O456=0,'PEGAR'!X456=2),2,0)</f>
        <v>0</v>
      </c>
      <c r="AH956" s="0">
        <f>IF(AG956&gt;0,COUNTIFS($AG$13:AG956,"&gt;0"),"")</f>
      </c>
    </row>
    <row r="957">
      <c r="AB957" s="0">
        <f>IF(AND('PEGAR'!O457=0,'PEGAR'!X457=2),"Fila 457","")</f>
      </c>
      <c r="AC957" s="0">
        <f>IF(AND('PEGAR'!O457=0,'PEGAR'!X457=2),'PEGAR'!B457&amp;"","")</f>
      </c>
      <c r="AD957" s="0">
        <f>IF(AND('PEGAR'!O457=0,'PEGAR'!X457=2),'PEGAR'!C457&amp;"","")</f>
      </c>
      <c r="AE957" s="0">
        <f>IF(AND('PEGAR'!O457=0,'PEGAR'!X457=2),'PEGAR'!D457&amp;"","")</f>
      </c>
      <c r="AF957" s="0">
        <f>IF(AND('PEGAR'!O457=0,'PEGAR'!X457=2),'PEGAR'!N457,"")</f>
      </c>
      <c r="AG957" s="0" t="n">
        <f>IF(AND('PEGAR'!O457=0,'PEGAR'!X457=2),2,0)</f>
        <v>0</v>
      </c>
      <c r="AH957" s="0">
        <f>IF(AG957&gt;0,COUNTIFS($AG$13:AG957,"&gt;0"),"")</f>
      </c>
    </row>
    <row r="958">
      <c r="AB958" s="0">
        <f>IF(AND('PEGAR'!O458=0,'PEGAR'!X458=2),"Fila 458","")</f>
      </c>
      <c r="AC958" s="0">
        <f>IF(AND('PEGAR'!O458=0,'PEGAR'!X458=2),'PEGAR'!B458&amp;"","")</f>
      </c>
      <c r="AD958" s="0">
        <f>IF(AND('PEGAR'!O458=0,'PEGAR'!X458=2),'PEGAR'!C458&amp;"","")</f>
      </c>
      <c r="AE958" s="0">
        <f>IF(AND('PEGAR'!O458=0,'PEGAR'!X458=2),'PEGAR'!D458&amp;"","")</f>
      </c>
      <c r="AF958" s="0">
        <f>IF(AND('PEGAR'!O458=0,'PEGAR'!X458=2),'PEGAR'!N458,"")</f>
      </c>
      <c r="AG958" s="0" t="n">
        <f>IF(AND('PEGAR'!O458=0,'PEGAR'!X458=2),2,0)</f>
        <v>0</v>
      </c>
      <c r="AH958" s="0">
        <f>IF(AG958&gt;0,COUNTIFS($AG$13:AG958,"&gt;0"),"")</f>
      </c>
    </row>
    <row r="959">
      <c r="AB959" s="0">
        <f>IF(AND('PEGAR'!O459=0,'PEGAR'!X459=2),"Fila 459","")</f>
      </c>
      <c r="AC959" s="0">
        <f>IF(AND('PEGAR'!O459=0,'PEGAR'!X459=2),'PEGAR'!B459&amp;"","")</f>
      </c>
      <c r="AD959" s="0">
        <f>IF(AND('PEGAR'!O459=0,'PEGAR'!X459=2),'PEGAR'!C459&amp;"","")</f>
      </c>
      <c r="AE959" s="0">
        <f>IF(AND('PEGAR'!O459=0,'PEGAR'!X459=2),'PEGAR'!D459&amp;"","")</f>
      </c>
      <c r="AF959" s="0">
        <f>IF(AND('PEGAR'!O459=0,'PEGAR'!X459=2),'PEGAR'!N459,"")</f>
      </c>
      <c r="AG959" s="0" t="n">
        <f>IF(AND('PEGAR'!O459=0,'PEGAR'!X459=2),2,0)</f>
        <v>0</v>
      </c>
      <c r="AH959" s="0">
        <f>IF(AG959&gt;0,COUNTIFS($AG$13:AG959,"&gt;0"),"")</f>
      </c>
    </row>
    <row r="960">
      <c r="AB960" s="0">
        <f>IF(AND('PEGAR'!O460=0,'PEGAR'!X460=2),"Fila 460","")</f>
      </c>
      <c r="AC960" s="0">
        <f>IF(AND('PEGAR'!O460=0,'PEGAR'!X460=2),'PEGAR'!B460&amp;"","")</f>
      </c>
      <c r="AD960" s="0">
        <f>IF(AND('PEGAR'!O460=0,'PEGAR'!X460=2),'PEGAR'!C460&amp;"","")</f>
      </c>
      <c r="AE960" s="0">
        <f>IF(AND('PEGAR'!O460=0,'PEGAR'!X460=2),'PEGAR'!D460&amp;"","")</f>
      </c>
      <c r="AF960" s="0">
        <f>IF(AND('PEGAR'!O460=0,'PEGAR'!X460=2),'PEGAR'!N460,"")</f>
      </c>
      <c r="AG960" s="0" t="n">
        <f>IF(AND('PEGAR'!O460=0,'PEGAR'!X460=2),2,0)</f>
        <v>0</v>
      </c>
      <c r="AH960" s="0">
        <f>IF(AG960&gt;0,COUNTIFS($AG$13:AG960,"&gt;0"),"")</f>
      </c>
    </row>
    <row r="961">
      <c r="AB961" s="0">
        <f>IF(AND('PEGAR'!O461=0,'PEGAR'!X461=2),"Fila 461","")</f>
      </c>
      <c r="AC961" s="0">
        <f>IF(AND('PEGAR'!O461=0,'PEGAR'!X461=2),'PEGAR'!B461&amp;"","")</f>
      </c>
      <c r="AD961" s="0">
        <f>IF(AND('PEGAR'!O461=0,'PEGAR'!X461=2),'PEGAR'!C461&amp;"","")</f>
      </c>
      <c r="AE961" s="0">
        <f>IF(AND('PEGAR'!O461=0,'PEGAR'!X461=2),'PEGAR'!D461&amp;"","")</f>
      </c>
      <c r="AF961" s="0">
        <f>IF(AND('PEGAR'!O461=0,'PEGAR'!X461=2),'PEGAR'!N461,"")</f>
      </c>
      <c r="AG961" s="0" t="n">
        <f>IF(AND('PEGAR'!O461=0,'PEGAR'!X461=2),2,0)</f>
        <v>0</v>
      </c>
      <c r="AH961" s="0">
        <f>IF(AG961&gt;0,COUNTIFS($AG$13:AG961,"&gt;0"),"")</f>
      </c>
    </row>
    <row r="962">
      <c r="AB962" s="0">
        <f>IF(AND('PEGAR'!O462=0,'PEGAR'!X462=2),"Fila 462","")</f>
      </c>
      <c r="AC962" s="0">
        <f>IF(AND('PEGAR'!O462=0,'PEGAR'!X462=2),'PEGAR'!B462&amp;"","")</f>
      </c>
      <c r="AD962" s="0">
        <f>IF(AND('PEGAR'!O462=0,'PEGAR'!X462=2),'PEGAR'!C462&amp;"","")</f>
      </c>
      <c r="AE962" s="0">
        <f>IF(AND('PEGAR'!O462=0,'PEGAR'!X462=2),'PEGAR'!D462&amp;"","")</f>
      </c>
      <c r="AF962" s="0">
        <f>IF(AND('PEGAR'!O462=0,'PEGAR'!X462=2),'PEGAR'!N462,"")</f>
      </c>
      <c r="AG962" s="0" t="n">
        <f>IF(AND('PEGAR'!O462=0,'PEGAR'!X462=2),2,0)</f>
        <v>0</v>
      </c>
      <c r="AH962" s="0">
        <f>IF(AG962&gt;0,COUNTIFS($AG$13:AG962,"&gt;0"),"")</f>
      </c>
    </row>
    <row r="963">
      <c r="AB963" s="0">
        <f>IF(AND('PEGAR'!O463=0,'PEGAR'!X463=2),"Fila 463","")</f>
      </c>
      <c r="AC963" s="0">
        <f>IF(AND('PEGAR'!O463=0,'PEGAR'!X463=2),'PEGAR'!B463&amp;"","")</f>
      </c>
      <c r="AD963" s="0">
        <f>IF(AND('PEGAR'!O463=0,'PEGAR'!X463=2),'PEGAR'!C463&amp;"","")</f>
      </c>
      <c r="AE963" s="0">
        <f>IF(AND('PEGAR'!O463=0,'PEGAR'!X463=2),'PEGAR'!D463&amp;"","")</f>
      </c>
      <c r="AF963" s="0">
        <f>IF(AND('PEGAR'!O463=0,'PEGAR'!X463=2),'PEGAR'!N463,"")</f>
      </c>
      <c r="AG963" s="0" t="n">
        <f>IF(AND('PEGAR'!O463=0,'PEGAR'!X463=2),2,0)</f>
        <v>0</v>
      </c>
      <c r="AH963" s="0">
        <f>IF(AG963&gt;0,COUNTIFS($AG$13:AG963,"&gt;0"),"")</f>
      </c>
    </row>
    <row r="964">
      <c r="AB964" s="0">
        <f>IF(AND('PEGAR'!O464=0,'PEGAR'!X464=2),"Fila 464","")</f>
      </c>
      <c r="AC964" s="0">
        <f>IF(AND('PEGAR'!O464=0,'PEGAR'!X464=2),'PEGAR'!B464&amp;"","")</f>
      </c>
      <c r="AD964" s="0">
        <f>IF(AND('PEGAR'!O464=0,'PEGAR'!X464=2),'PEGAR'!C464&amp;"","")</f>
      </c>
      <c r="AE964" s="0">
        <f>IF(AND('PEGAR'!O464=0,'PEGAR'!X464=2),'PEGAR'!D464&amp;"","")</f>
      </c>
      <c r="AF964" s="0">
        <f>IF(AND('PEGAR'!O464=0,'PEGAR'!X464=2),'PEGAR'!N464,"")</f>
      </c>
      <c r="AG964" s="0" t="n">
        <f>IF(AND('PEGAR'!O464=0,'PEGAR'!X464=2),2,0)</f>
        <v>0</v>
      </c>
      <c r="AH964" s="0">
        <f>IF(AG964&gt;0,COUNTIFS($AG$13:AG964,"&gt;0"),"")</f>
      </c>
    </row>
    <row r="965">
      <c r="AB965" s="0">
        <f>IF(AND('PEGAR'!O465=0,'PEGAR'!X465=2),"Fila 465","")</f>
      </c>
      <c r="AC965" s="0">
        <f>IF(AND('PEGAR'!O465=0,'PEGAR'!X465=2),'PEGAR'!B465&amp;"","")</f>
      </c>
      <c r="AD965" s="0">
        <f>IF(AND('PEGAR'!O465=0,'PEGAR'!X465=2),'PEGAR'!C465&amp;"","")</f>
      </c>
      <c r="AE965" s="0">
        <f>IF(AND('PEGAR'!O465=0,'PEGAR'!X465=2),'PEGAR'!D465&amp;"","")</f>
      </c>
      <c r="AF965" s="0">
        <f>IF(AND('PEGAR'!O465=0,'PEGAR'!X465=2),'PEGAR'!N465,"")</f>
      </c>
      <c r="AG965" s="0" t="n">
        <f>IF(AND('PEGAR'!O465=0,'PEGAR'!X465=2),2,0)</f>
        <v>0</v>
      </c>
      <c r="AH965" s="0">
        <f>IF(AG965&gt;0,COUNTIFS($AG$13:AG965,"&gt;0"),"")</f>
      </c>
    </row>
    <row r="966">
      <c r="AB966" s="0">
        <f>IF(AND('PEGAR'!O466=0,'PEGAR'!X466=2),"Fila 466","")</f>
      </c>
      <c r="AC966" s="0">
        <f>IF(AND('PEGAR'!O466=0,'PEGAR'!X466=2),'PEGAR'!B466&amp;"","")</f>
      </c>
      <c r="AD966" s="0">
        <f>IF(AND('PEGAR'!O466=0,'PEGAR'!X466=2),'PEGAR'!C466&amp;"","")</f>
      </c>
      <c r="AE966" s="0">
        <f>IF(AND('PEGAR'!O466=0,'PEGAR'!X466=2),'PEGAR'!D466&amp;"","")</f>
      </c>
      <c r="AF966" s="0">
        <f>IF(AND('PEGAR'!O466=0,'PEGAR'!X466=2),'PEGAR'!N466,"")</f>
      </c>
      <c r="AG966" s="0" t="n">
        <f>IF(AND('PEGAR'!O466=0,'PEGAR'!X466=2),2,0)</f>
        <v>0</v>
      </c>
      <c r="AH966" s="0">
        <f>IF(AG966&gt;0,COUNTIFS($AG$13:AG966,"&gt;0"),"")</f>
      </c>
    </row>
    <row r="967">
      <c r="AB967" s="0">
        <f>IF(AND('PEGAR'!O467=0,'PEGAR'!X467=2),"Fila 467","")</f>
      </c>
      <c r="AC967" s="0">
        <f>IF(AND('PEGAR'!O467=0,'PEGAR'!X467=2),'PEGAR'!B467&amp;"","")</f>
      </c>
      <c r="AD967" s="0">
        <f>IF(AND('PEGAR'!O467=0,'PEGAR'!X467=2),'PEGAR'!C467&amp;"","")</f>
      </c>
      <c r="AE967" s="0">
        <f>IF(AND('PEGAR'!O467=0,'PEGAR'!X467=2),'PEGAR'!D467&amp;"","")</f>
      </c>
      <c r="AF967" s="0">
        <f>IF(AND('PEGAR'!O467=0,'PEGAR'!X467=2),'PEGAR'!N467,"")</f>
      </c>
      <c r="AG967" s="0" t="n">
        <f>IF(AND('PEGAR'!O467=0,'PEGAR'!X467=2),2,0)</f>
        <v>0</v>
      </c>
      <c r="AH967" s="0">
        <f>IF(AG967&gt;0,COUNTIFS($AG$13:AG967,"&gt;0"),"")</f>
      </c>
    </row>
    <row r="968">
      <c r="AB968" s="0">
        <f>IF(AND('PEGAR'!O468=0,'PEGAR'!X468=2),"Fila 468","")</f>
      </c>
      <c r="AC968" s="0">
        <f>IF(AND('PEGAR'!O468=0,'PEGAR'!X468=2),'PEGAR'!B468&amp;"","")</f>
      </c>
      <c r="AD968" s="0">
        <f>IF(AND('PEGAR'!O468=0,'PEGAR'!X468=2),'PEGAR'!C468&amp;"","")</f>
      </c>
      <c r="AE968" s="0">
        <f>IF(AND('PEGAR'!O468=0,'PEGAR'!X468=2),'PEGAR'!D468&amp;"","")</f>
      </c>
      <c r="AF968" s="0">
        <f>IF(AND('PEGAR'!O468=0,'PEGAR'!X468=2),'PEGAR'!N468,"")</f>
      </c>
      <c r="AG968" s="0" t="n">
        <f>IF(AND('PEGAR'!O468=0,'PEGAR'!X468=2),2,0)</f>
        <v>0</v>
      </c>
      <c r="AH968" s="0">
        <f>IF(AG968&gt;0,COUNTIFS($AG$13:AG968,"&gt;0"),"")</f>
      </c>
    </row>
    <row r="969">
      <c r="AB969" s="0">
        <f>IF(AND('PEGAR'!O469=0,'PEGAR'!X469=2),"Fila 469","")</f>
      </c>
      <c r="AC969" s="0">
        <f>IF(AND('PEGAR'!O469=0,'PEGAR'!X469=2),'PEGAR'!B469&amp;"","")</f>
      </c>
      <c r="AD969" s="0">
        <f>IF(AND('PEGAR'!O469=0,'PEGAR'!X469=2),'PEGAR'!C469&amp;"","")</f>
      </c>
      <c r="AE969" s="0">
        <f>IF(AND('PEGAR'!O469=0,'PEGAR'!X469=2),'PEGAR'!D469&amp;"","")</f>
      </c>
      <c r="AF969" s="0">
        <f>IF(AND('PEGAR'!O469=0,'PEGAR'!X469=2),'PEGAR'!N469,"")</f>
      </c>
      <c r="AG969" s="0" t="n">
        <f>IF(AND('PEGAR'!O469=0,'PEGAR'!X469=2),2,0)</f>
        <v>0</v>
      </c>
      <c r="AH969" s="0">
        <f>IF(AG969&gt;0,COUNTIFS($AG$13:AG969,"&gt;0"),"")</f>
      </c>
    </row>
    <row r="970">
      <c r="AB970" s="0">
        <f>IF(AND('PEGAR'!O470=0,'PEGAR'!X470=2),"Fila 470","")</f>
      </c>
      <c r="AC970" s="0">
        <f>IF(AND('PEGAR'!O470=0,'PEGAR'!X470=2),'PEGAR'!B470&amp;"","")</f>
      </c>
      <c r="AD970" s="0">
        <f>IF(AND('PEGAR'!O470=0,'PEGAR'!X470=2),'PEGAR'!C470&amp;"","")</f>
      </c>
      <c r="AE970" s="0">
        <f>IF(AND('PEGAR'!O470=0,'PEGAR'!X470=2),'PEGAR'!D470&amp;"","")</f>
      </c>
      <c r="AF970" s="0">
        <f>IF(AND('PEGAR'!O470=0,'PEGAR'!X470=2),'PEGAR'!N470,"")</f>
      </c>
      <c r="AG970" s="0" t="n">
        <f>IF(AND('PEGAR'!O470=0,'PEGAR'!X470=2),2,0)</f>
        <v>0</v>
      </c>
      <c r="AH970" s="0">
        <f>IF(AG970&gt;0,COUNTIFS($AG$13:AG970,"&gt;0"),"")</f>
      </c>
    </row>
    <row r="971">
      <c r="AB971" s="0">
        <f>IF(AND('PEGAR'!O471=0,'PEGAR'!X471=2),"Fila 471","")</f>
      </c>
      <c r="AC971" s="0">
        <f>IF(AND('PEGAR'!O471=0,'PEGAR'!X471=2),'PEGAR'!B471&amp;"","")</f>
      </c>
      <c r="AD971" s="0">
        <f>IF(AND('PEGAR'!O471=0,'PEGAR'!X471=2),'PEGAR'!C471&amp;"","")</f>
      </c>
      <c r="AE971" s="0">
        <f>IF(AND('PEGAR'!O471=0,'PEGAR'!X471=2),'PEGAR'!D471&amp;"","")</f>
      </c>
      <c r="AF971" s="0">
        <f>IF(AND('PEGAR'!O471=0,'PEGAR'!X471=2),'PEGAR'!N471,"")</f>
      </c>
      <c r="AG971" s="0" t="n">
        <f>IF(AND('PEGAR'!O471=0,'PEGAR'!X471=2),2,0)</f>
        <v>0</v>
      </c>
      <c r="AH971" s="0">
        <f>IF(AG971&gt;0,COUNTIFS($AG$13:AG971,"&gt;0"),"")</f>
      </c>
    </row>
    <row r="972">
      <c r="AB972" s="0">
        <f>IF(AND('PEGAR'!O472=0,'PEGAR'!X472=2),"Fila 472","")</f>
      </c>
      <c r="AC972" s="0">
        <f>IF(AND('PEGAR'!O472=0,'PEGAR'!X472=2),'PEGAR'!B472&amp;"","")</f>
      </c>
      <c r="AD972" s="0">
        <f>IF(AND('PEGAR'!O472=0,'PEGAR'!X472=2),'PEGAR'!C472&amp;"","")</f>
      </c>
      <c r="AE972" s="0">
        <f>IF(AND('PEGAR'!O472=0,'PEGAR'!X472=2),'PEGAR'!D472&amp;"","")</f>
      </c>
      <c r="AF972" s="0">
        <f>IF(AND('PEGAR'!O472=0,'PEGAR'!X472=2),'PEGAR'!N472,"")</f>
      </c>
      <c r="AG972" s="0" t="n">
        <f>IF(AND('PEGAR'!O472=0,'PEGAR'!X472=2),2,0)</f>
        <v>0</v>
      </c>
      <c r="AH972" s="0">
        <f>IF(AG972&gt;0,COUNTIFS($AG$13:AG972,"&gt;0"),"")</f>
      </c>
    </row>
    <row r="973">
      <c r="AB973" s="0">
        <f>IF(AND('PEGAR'!O473=0,'PEGAR'!X473=2),"Fila 473","")</f>
      </c>
      <c r="AC973" s="0">
        <f>IF(AND('PEGAR'!O473=0,'PEGAR'!X473=2),'PEGAR'!B473&amp;"","")</f>
      </c>
      <c r="AD973" s="0">
        <f>IF(AND('PEGAR'!O473=0,'PEGAR'!X473=2),'PEGAR'!C473&amp;"","")</f>
      </c>
      <c r="AE973" s="0">
        <f>IF(AND('PEGAR'!O473=0,'PEGAR'!X473=2),'PEGAR'!D473&amp;"","")</f>
      </c>
      <c r="AF973" s="0">
        <f>IF(AND('PEGAR'!O473=0,'PEGAR'!X473=2),'PEGAR'!N473,"")</f>
      </c>
      <c r="AG973" s="0" t="n">
        <f>IF(AND('PEGAR'!O473=0,'PEGAR'!X473=2),2,0)</f>
        <v>0</v>
      </c>
      <c r="AH973" s="0">
        <f>IF(AG973&gt;0,COUNTIFS($AG$13:AG973,"&gt;0"),"")</f>
      </c>
    </row>
    <row r="974">
      <c r="AB974" s="0">
        <f>IF(AND('PEGAR'!O474=0,'PEGAR'!X474=2),"Fila 474","")</f>
      </c>
      <c r="AC974" s="0">
        <f>IF(AND('PEGAR'!O474=0,'PEGAR'!X474=2),'PEGAR'!B474&amp;"","")</f>
      </c>
      <c r="AD974" s="0">
        <f>IF(AND('PEGAR'!O474=0,'PEGAR'!X474=2),'PEGAR'!C474&amp;"","")</f>
      </c>
      <c r="AE974" s="0">
        <f>IF(AND('PEGAR'!O474=0,'PEGAR'!X474=2),'PEGAR'!D474&amp;"","")</f>
      </c>
      <c r="AF974" s="0">
        <f>IF(AND('PEGAR'!O474=0,'PEGAR'!X474=2),'PEGAR'!N474,"")</f>
      </c>
      <c r="AG974" s="0" t="n">
        <f>IF(AND('PEGAR'!O474=0,'PEGAR'!X474=2),2,0)</f>
        <v>0</v>
      </c>
      <c r="AH974" s="0">
        <f>IF(AG974&gt;0,COUNTIFS($AG$13:AG974,"&gt;0"),"")</f>
      </c>
    </row>
    <row r="975">
      <c r="AB975" s="0">
        <f>IF(AND('PEGAR'!O475=0,'PEGAR'!X475=2),"Fila 475","")</f>
      </c>
      <c r="AC975" s="0">
        <f>IF(AND('PEGAR'!O475=0,'PEGAR'!X475=2),'PEGAR'!B475&amp;"","")</f>
      </c>
      <c r="AD975" s="0">
        <f>IF(AND('PEGAR'!O475=0,'PEGAR'!X475=2),'PEGAR'!C475&amp;"","")</f>
      </c>
      <c r="AE975" s="0">
        <f>IF(AND('PEGAR'!O475=0,'PEGAR'!X475=2),'PEGAR'!D475&amp;"","")</f>
      </c>
      <c r="AF975" s="0">
        <f>IF(AND('PEGAR'!O475=0,'PEGAR'!X475=2),'PEGAR'!N475,"")</f>
      </c>
      <c r="AG975" s="0" t="n">
        <f>IF(AND('PEGAR'!O475=0,'PEGAR'!X475=2),2,0)</f>
        <v>0</v>
      </c>
      <c r="AH975" s="0">
        <f>IF(AG975&gt;0,COUNTIFS($AG$13:AG975,"&gt;0"),"")</f>
      </c>
    </row>
    <row r="976">
      <c r="AB976" s="0">
        <f>IF(AND('PEGAR'!O476=0,'PEGAR'!X476=2),"Fila 476","")</f>
      </c>
      <c r="AC976" s="0">
        <f>IF(AND('PEGAR'!O476=0,'PEGAR'!X476=2),'PEGAR'!B476&amp;"","")</f>
      </c>
      <c r="AD976" s="0">
        <f>IF(AND('PEGAR'!O476=0,'PEGAR'!X476=2),'PEGAR'!C476&amp;"","")</f>
      </c>
      <c r="AE976" s="0">
        <f>IF(AND('PEGAR'!O476=0,'PEGAR'!X476=2),'PEGAR'!D476&amp;"","")</f>
      </c>
      <c r="AF976" s="0">
        <f>IF(AND('PEGAR'!O476=0,'PEGAR'!X476=2),'PEGAR'!N476,"")</f>
      </c>
      <c r="AG976" s="0" t="n">
        <f>IF(AND('PEGAR'!O476=0,'PEGAR'!X476=2),2,0)</f>
        <v>0</v>
      </c>
      <c r="AH976" s="0">
        <f>IF(AG976&gt;0,COUNTIFS($AG$13:AG976,"&gt;0"),"")</f>
      </c>
    </row>
    <row r="977">
      <c r="AB977" s="0">
        <f>IF(AND('PEGAR'!O477=0,'PEGAR'!X477=2),"Fila 477","")</f>
      </c>
      <c r="AC977" s="0">
        <f>IF(AND('PEGAR'!O477=0,'PEGAR'!X477=2),'PEGAR'!B477&amp;"","")</f>
      </c>
      <c r="AD977" s="0">
        <f>IF(AND('PEGAR'!O477=0,'PEGAR'!X477=2),'PEGAR'!C477&amp;"","")</f>
      </c>
      <c r="AE977" s="0">
        <f>IF(AND('PEGAR'!O477=0,'PEGAR'!X477=2),'PEGAR'!D477&amp;"","")</f>
      </c>
      <c r="AF977" s="0">
        <f>IF(AND('PEGAR'!O477=0,'PEGAR'!X477=2),'PEGAR'!N477,"")</f>
      </c>
      <c r="AG977" s="0" t="n">
        <f>IF(AND('PEGAR'!O477=0,'PEGAR'!X477=2),2,0)</f>
        <v>0</v>
      </c>
      <c r="AH977" s="0">
        <f>IF(AG977&gt;0,COUNTIFS($AG$13:AG977,"&gt;0"),"")</f>
      </c>
    </row>
    <row r="978">
      <c r="AB978" s="0">
        <f>IF(AND('PEGAR'!O478=0,'PEGAR'!X478=2),"Fila 478","")</f>
      </c>
      <c r="AC978" s="0">
        <f>IF(AND('PEGAR'!O478=0,'PEGAR'!X478=2),'PEGAR'!B478&amp;"","")</f>
      </c>
      <c r="AD978" s="0">
        <f>IF(AND('PEGAR'!O478=0,'PEGAR'!X478=2),'PEGAR'!C478&amp;"","")</f>
      </c>
      <c r="AE978" s="0">
        <f>IF(AND('PEGAR'!O478=0,'PEGAR'!X478=2),'PEGAR'!D478&amp;"","")</f>
      </c>
      <c r="AF978" s="0">
        <f>IF(AND('PEGAR'!O478=0,'PEGAR'!X478=2),'PEGAR'!N478,"")</f>
      </c>
      <c r="AG978" s="0" t="n">
        <f>IF(AND('PEGAR'!O478=0,'PEGAR'!X478=2),2,0)</f>
        <v>0</v>
      </c>
      <c r="AH978" s="0">
        <f>IF(AG978&gt;0,COUNTIFS($AG$13:AG978,"&gt;0"),"")</f>
      </c>
    </row>
    <row r="979">
      <c r="AB979" s="0">
        <f>IF(AND('PEGAR'!O479=0,'PEGAR'!X479=2),"Fila 479","")</f>
      </c>
      <c r="AC979" s="0">
        <f>IF(AND('PEGAR'!O479=0,'PEGAR'!X479=2),'PEGAR'!B479&amp;"","")</f>
      </c>
      <c r="AD979" s="0">
        <f>IF(AND('PEGAR'!O479=0,'PEGAR'!X479=2),'PEGAR'!C479&amp;"","")</f>
      </c>
      <c r="AE979" s="0">
        <f>IF(AND('PEGAR'!O479=0,'PEGAR'!X479=2),'PEGAR'!D479&amp;"","")</f>
      </c>
      <c r="AF979" s="0">
        <f>IF(AND('PEGAR'!O479=0,'PEGAR'!X479=2),'PEGAR'!N479,"")</f>
      </c>
      <c r="AG979" s="0" t="n">
        <f>IF(AND('PEGAR'!O479=0,'PEGAR'!X479=2),2,0)</f>
        <v>0</v>
      </c>
      <c r="AH979" s="0">
        <f>IF(AG979&gt;0,COUNTIFS($AG$13:AG979,"&gt;0"),"")</f>
      </c>
    </row>
    <row r="980">
      <c r="AB980" s="0">
        <f>IF(AND('PEGAR'!O480=0,'PEGAR'!X480=2),"Fila 480","")</f>
      </c>
      <c r="AC980" s="0">
        <f>IF(AND('PEGAR'!O480=0,'PEGAR'!X480=2),'PEGAR'!B480&amp;"","")</f>
      </c>
      <c r="AD980" s="0">
        <f>IF(AND('PEGAR'!O480=0,'PEGAR'!X480=2),'PEGAR'!C480&amp;"","")</f>
      </c>
      <c r="AE980" s="0">
        <f>IF(AND('PEGAR'!O480=0,'PEGAR'!X480=2),'PEGAR'!D480&amp;"","")</f>
      </c>
      <c r="AF980" s="0">
        <f>IF(AND('PEGAR'!O480=0,'PEGAR'!X480=2),'PEGAR'!N480,"")</f>
      </c>
      <c r="AG980" s="0" t="n">
        <f>IF(AND('PEGAR'!O480=0,'PEGAR'!X480=2),2,0)</f>
        <v>0</v>
      </c>
      <c r="AH980" s="0">
        <f>IF(AG980&gt;0,COUNTIFS($AG$13:AG980,"&gt;0"),"")</f>
      </c>
    </row>
    <row r="981">
      <c r="AB981" s="0">
        <f>IF(AND('PEGAR'!O481=0,'PEGAR'!X481=2),"Fila 481","")</f>
      </c>
      <c r="AC981" s="0">
        <f>IF(AND('PEGAR'!O481=0,'PEGAR'!X481=2),'PEGAR'!B481&amp;"","")</f>
      </c>
      <c r="AD981" s="0">
        <f>IF(AND('PEGAR'!O481=0,'PEGAR'!X481=2),'PEGAR'!C481&amp;"","")</f>
      </c>
      <c r="AE981" s="0">
        <f>IF(AND('PEGAR'!O481=0,'PEGAR'!X481=2),'PEGAR'!D481&amp;"","")</f>
      </c>
      <c r="AF981" s="0">
        <f>IF(AND('PEGAR'!O481=0,'PEGAR'!X481=2),'PEGAR'!N481,"")</f>
      </c>
      <c r="AG981" s="0" t="n">
        <f>IF(AND('PEGAR'!O481=0,'PEGAR'!X481=2),2,0)</f>
        <v>0</v>
      </c>
      <c r="AH981" s="0">
        <f>IF(AG981&gt;0,COUNTIFS($AG$13:AG981,"&gt;0"),"")</f>
      </c>
    </row>
    <row r="982">
      <c r="AB982" s="0">
        <f>IF(AND('PEGAR'!O482=0,'PEGAR'!X482=2),"Fila 482","")</f>
      </c>
      <c r="AC982" s="0">
        <f>IF(AND('PEGAR'!O482=0,'PEGAR'!X482=2),'PEGAR'!B482&amp;"","")</f>
      </c>
      <c r="AD982" s="0">
        <f>IF(AND('PEGAR'!O482=0,'PEGAR'!X482=2),'PEGAR'!C482&amp;"","")</f>
      </c>
      <c r="AE982" s="0">
        <f>IF(AND('PEGAR'!O482=0,'PEGAR'!X482=2),'PEGAR'!D482&amp;"","")</f>
      </c>
      <c r="AF982" s="0">
        <f>IF(AND('PEGAR'!O482=0,'PEGAR'!X482=2),'PEGAR'!N482,"")</f>
      </c>
      <c r="AG982" s="0" t="n">
        <f>IF(AND('PEGAR'!O482=0,'PEGAR'!X482=2),2,0)</f>
        <v>0</v>
      </c>
      <c r="AH982" s="0">
        <f>IF(AG982&gt;0,COUNTIFS($AG$13:AG982,"&gt;0"),"")</f>
      </c>
    </row>
    <row r="983">
      <c r="AB983" s="0">
        <f>IF(AND('PEGAR'!O483=0,'PEGAR'!X483=2),"Fila 483","")</f>
      </c>
      <c r="AC983" s="0">
        <f>IF(AND('PEGAR'!O483=0,'PEGAR'!X483=2),'PEGAR'!B483&amp;"","")</f>
      </c>
      <c r="AD983" s="0">
        <f>IF(AND('PEGAR'!O483=0,'PEGAR'!X483=2),'PEGAR'!C483&amp;"","")</f>
      </c>
      <c r="AE983" s="0">
        <f>IF(AND('PEGAR'!O483=0,'PEGAR'!X483=2),'PEGAR'!D483&amp;"","")</f>
      </c>
      <c r="AF983" s="0">
        <f>IF(AND('PEGAR'!O483=0,'PEGAR'!X483=2),'PEGAR'!N483,"")</f>
      </c>
      <c r="AG983" s="0" t="n">
        <f>IF(AND('PEGAR'!O483=0,'PEGAR'!X483=2),2,0)</f>
        <v>0</v>
      </c>
      <c r="AH983" s="0">
        <f>IF(AG983&gt;0,COUNTIFS($AG$13:AG983,"&gt;0"),"")</f>
      </c>
    </row>
    <row r="984">
      <c r="AB984" s="0">
        <f>IF(AND('PEGAR'!O484=0,'PEGAR'!X484=2),"Fila 484","")</f>
      </c>
      <c r="AC984" s="0">
        <f>IF(AND('PEGAR'!O484=0,'PEGAR'!X484=2),'PEGAR'!B484&amp;"","")</f>
      </c>
      <c r="AD984" s="0">
        <f>IF(AND('PEGAR'!O484=0,'PEGAR'!X484=2),'PEGAR'!C484&amp;"","")</f>
      </c>
      <c r="AE984" s="0">
        <f>IF(AND('PEGAR'!O484=0,'PEGAR'!X484=2),'PEGAR'!D484&amp;"","")</f>
      </c>
      <c r="AF984" s="0">
        <f>IF(AND('PEGAR'!O484=0,'PEGAR'!X484=2),'PEGAR'!N484,"")</f>
      </c>
      <c r="AG984" s="0" t="n">
        <f>IF(AND('PEGAR'!O484=0,'PEGAR'!X484=2),2,0)</f>
        <v>0</v>
      </c>
      <c r="AH984" s="0">
        <f>IF(AG984&gt;0,COUNTIFS($AG$13:AG984,"&gt;0"),"")</f>
      </c>
    </row>
    <row r="985">
      <c r="AB985" s="0">
        <f>IF(AND('PEGAR'!O485=0,'PEGAR'!X485=2),"Fila 485","")</f>
      </c>
      <c r="AC985" s="0">
        <f>IF(AND('PEGAR'!O485=0,'PEGAR'!X485=2),'PEGAR'!B485&amp;"","")</f>
      </c>
      <c r="AD985" s="0">
        <f>IF(AND('PEGAR'!O485=0,'PEGAR'!X485=2),'PEGAR'!C485&amp;"","")</f>
      </c>
      <c r="AE985" s="0">
        <f>IF(AND('PEGAR'!O485=0,'PEGAR'!X485=2),'PEGAR'!D485&amp;"","")</f>
      </c>
      <c r="AF985" s="0">
        <f>IF(AND('PEGAR'!O485=0,'PEGAR'!X485=2),'PEGAR'!N485,"")</f>
      </c>
      <c r="AG985" s="0" t="n">
        <f>IF(AND('PEGAR'!O485=0,'PEGAR'!X485=2),2,0)</f>
        <v>0</v>
      </c>
      <c r="AH985" s="0">
        <f>IF(AG985&gt;0,COUNTIFS($AG$13:AG985,"&gt;0"),"")</f>
      </c>
    </row>
    <row r="986">
      <c r="AB986" s="0">
        <f>IF(AND('PEGAR'!O486=0,'PEGAR'!X486=2),"Fila 486","")</f>
      </c>
      <c r="AC986" s="0">
        <f>IF(AND('PEGAR'!O486=0,'PEGAR'!X486=2),'PEGAR'!B486&amp;"","")</f>
      </c>
      <c r="AD986" s="0">
        <f>IF(AND('PEGAR'!O486=0,'PEGAR'!X486=2),'PEGAR'!C486&amp;"","")</f>
      </c>
      <c r="AE986" s="0">
        <f>IF(AND('PEGAR'!O486=0,'PEGAR'!X486=2),'PEGAR'!D486&amp;"","")</f>
      </c>
      <c r="AF986" s="0">
        <f>IF(AND('PEGAR'!O486=0,'PEGAR'!X486=2),'PEGAR'!N486,"")</f>
      </c>
      <c r="AG986" s="0" t="n">
        <f>IF(AND('PEGAR'!O486=0,'PEGAR'!X486=2),2,0)</f>
        <v>0</v>
      </c>
      <c r="AH986" s="0">
        <f>IF(AG986&gt;0,COUNTIFS($AG$13:AG986,"&gt;0"),"")</f>
      </c>
    </row>
    <row r="987">
      <c r="AB987" s="0">
        <f>IF(AND('PEGAR'!O487=0,'PEGAR'!X487=2),"Fila 487","")</f>
      </c>
      <c r="AC987" s="0">
        <f>IF(AND('PEGAR'!O487=0,'PEGAR'!X487=2),'PEGAR'!B487&amp;"","")</f>
      </c>
      <c r="AD987" s="0">
        <f>IF(AND('PEGAR'!O487=0,'PEGAR'!X487=2),'PEGAR'!C487&amp;"","")</f>
      </c>
      <c r="AE987" s="0">
        <f>IF(AND('PEGAR'!O487=0,'PEGAR'!X487=2),'PEGAR'!D487&amp;"","")</f>
      </c>
      <c r="AF987" s="0">
        <f>IF(AND('PEGAR'!O487=0,'PEGAR'!X487=2),'PEGAR'!N487,"")</f>
      </c>
      <c r="AG987" s="0" t="n">
        <f>IF(AND('PEGAR'!O487=0,'PEGAR'!X487=2),2,0)</f>
        <v>0</v>
      </c>
      <c r="AH987" s="0">
        <f>IF(AG987&gt;0,COUNTIFS($AG$13:AG987,"&gt;0"),"")</f>
      </c>
    </row>
    <row r="988">
      <c r="AB988" s="0">
        <f>IF(AND('PEGAR'!O488=0,'PEGAR'!X488=2),"Fila 488","")</f>
      </c>
      <c r="AC988" s="0">
        <f>IF(AND('PEGAR'!O488=0,'PEGAR'!X488=2),'PEGAR'!B488&amp;"","")</f>
      </c>
      <c r="AD988" s="0">
        <f>IF(AND('PEGAR'!O488=0,'PEGAR'!X488=2),'PEGAR'!C488&amp;"","")</f>
      </c>
      <c r="AE988" s="0">
        <f>IF(AND('PEGAR'!O488=0,'PEGAR'!X488=2),'PEGAR'!D488&amp;"","")</f>
      </c>
      <c r="AF988" s="0">
        <f>IF(AND('PEGAR'!O488=0,'PEGAR'!X488=2),'PEGAR'!N488,"")</f>
      </c>
      <c r="AG988" s="0" t="n">
        <f>IF(AND('PEGAR'!O488=0,'PEGAR'!X488=2),2,0)</f>
        <v>0</v>
      </c>
      <c r="AH988" s="0">
        <f>IF(AG988&gt;0,COUNTIFS($AG$13:AG988,"&gt;0"),"")</f>
      </c>
    </row>
    <row r="989">
      <c r="AB989" s="0">
        <f>IF(AND('PEGAR'!O489=0,'PEGAR'!X489=2),"Fila 489","")</f>
      </c>
      <c r="AC989" s="0">
        <f>IF(AND('PEGAR'!O489=0,'PEGAR'!X489=2),'PEGAR'!B489&amp;"","")</f>
      </c>
      <c r="AD989" s="0">
        <f>IF(AND('PEGAR'!O489=0,'PEGAR'!X489=2),'PEGAR'!C489&amp;"","")</f>
      </c>
      <c r="AE989" s="0">
        <f>IF(AND('PEGAR'!O489=0,'PEGAR'!X489=2),'PEGAR'!D489&amp;"","")</f>
      </c>
      <c r="AF989" s="0">
        <f>IF(AND('PEGAR'!O489=0,'PEGAR'!X489=2),'PEGAR'!N489,"")</f>
      </c>
      <c r="AG989" s="0" t="n">
        <f>IF(AND('PEGAR'!O489=0,'PEGAR'!X489=2),2,0)</f>
        <v>0</v>
      </c>
      <c r="AH989" s="0">
        <f>IF(AG989&gt;0,COUNTIFS($AG$13:AG989,"&gt;0"),"")</f>
      </c>
    </row>
    <row r="990">
      <c r="AB990" s="0">
        <f>IF(AND('PEGAR'!O490=0,'PEGAR'!X490=2),"Fila 490","")</f>
      </c>
      <c r="AC990" s="0">
        <f>IF(AND('PEGAR'!O490=0,'PEGAR'!X490=2),'PEGAR'!B490&amp;"","")</f>
      </c>
      <c r="AD990" s="0">
        <f>IF(AND('PEGAR'!O490=0,'PEGAR'!X490=2),'PEGAR'!C490&amp;"","")</f>
      </c>
      <c r="AE990" s="0">
        <f>IF(AND('PEGAR'!O490=0,'PEGAR'!X490=2),'PEGAR'!D490&amp;"","")</f>
      </c>
      <c r="AF990" s="0">
        <f>IF(AND('PEGAR'!O490=0,'PEGAR'!X490=2),'PEGAR'!N490,"")</f>
      </c>
      <c r="AG990" s="0" t="n">
        <f>IF(AND('PEGAR'!O490=0,'PEGAR'!X490=2),2,0)</f>
        <v>0</v>
      </c>
      <c r="AH990" s="0">
        <f>IF(AG990&gt;0,COUNTIFS($AG$13:AG990,"&gt;0"),"")</f>
      </c>
    </row>
    <row r="991">
      <c r="AB991" s="0">
        <f>IF(AND('PEGAR'!O491=0,'PEGAR'!X491=2),"Fila 491","")</f>
      </c>
      <c r="AC991" s="0">
        <f>IF(AND('PEGAR'!O491=0,'PEGAR'!X491=2),'PEGAR'!B491&amp;"","")</f>
      </c>
      <c r="AD991" s="0">
        <f>IF(AND('PEGAR'!O491=0,'PEGAR'!X491=2),'PEGAR'!C491&amp;"","")</f>
      </c>
      <c r="AE991" s="0">
        <f>IF(AND('PEGAR'!O491=0,'PEGAR'!X491=2),'PEGAR'!D491&amp;"","")</f>
      </c>
      <c r="AF991" s="0">
        <f>IF(AND('PEGAR'!O491=0,'PEGAR'!X491=2),'PEGAR'!N491,"")</f>
      </c>
      <c r="AG991" s="0" t="n">
        <f>IF(AND('PEGAR'!O491=0,'PEGAR'!X491=2),2,0)</f>
        <v>0</v>
      </c>
      <c r="AH991" s="0">
        <f>IF(AG991&gt;0,COUNTIFS($AG$13:AG991,"&gt;0"),"")</f>
      </c>
    </row>
    <row r="992">
      <c r="AB992" s="0">
        <f>IF(AND('PEGAR'!O492=0,'PEGAR'!X492=2),"Fila 492","")</f>
      </c>
      <c r="AC992" s="0">
        <f>IF(AND('PEGAR'!O492=0,'PEGAR'!X492=2),'PEGAR'!B492&amp;"","")</f>
      </c>
      <c r="AD992" s="0">
        <f>IF(AND('PEGAR'!O492=0,'PEGAR'!X492=2),'PEGAR'!C492&amp;"","")</f>
      </c>
      <c r="AE992" s="0">
        <f>IF(AND('PEGAR'!O492=0,'PEGAR'!X492=2),'PEGAR'!D492&amp;"","")</f>
      </c>
      <c r="AF992" s="0">
        <f>IF(AND('PEGAR'!O492=0,'PEGAR'!X492=2),'PEGAR'!N492,"")</f>
      </c>
      <c r="AG992" s="0" t="n">
        <f>IF(AND('PEGAR'!O492=0,'PEGAR'!X492=2),2,0)</f>
        <v>0</v>
      </c>
      <c r="AH992" s="0">
        <f>IF(AG992&gt;0,COUNTIFS($AG$13:AG992,"&gt;0"),"")</f>
      </c>
    </row>
    <row r="993">
      <c r="AB993" s="0">
        <f>IF(AND('PEGAR'!O493=0,'PEGAR'!X493=2),"Fila 493","")</f>
      </c>
      <c r="AC993" s="0">
        <f>IF(AND('PEGAR'!O493=0,'PEGAR'!X493=2),'PEGAR'!B493&amp;"","")</f>
      </c>
      <c r="AD993" s="0">
        <f>IF(AND('PEGAR'!O493=0,'PEGAR'!X493=2),'PEGAR'!C493&amp;"","")</f>
      </c>
      <c r="AE993" s="0">
        <f>IF(AND('PEGAR'!O493=0,'PEGAR'!X493=2),'PEGAR'!D493&amp;"","")</f>
      </c>
      <c r="AF993" s="0">
        <f>IF(AND('PEGAR'!O493=0,'PEGAR'!X493=2),'PEGAR'!N493,"")</f>
      </c>
      <c r="AG993" s="0" t="n">
        <f>IF(AND('PEGAR'!O493=0,'PEGAR'!X493=2),2,0)</f>
        <v>0</v>
      </c>
      <c r="AH993" s="0">
        <f>IF(AG993&gt;0,COUNTIFS($AG$13:AG993,"&gt;0"),"")</f>
      </c>
    </row>
    <row r="994">
      <c r="AB994" s="0">
        <f>IF(AND('PEGAR'!O494=0,'PEGAR'!X494=2),"Fila 494","")</f>
      </c>
      <c r="AC994" s="0">
        <f>IF(AND('PEGAR'!O494=0,'PEGAR'!X494=2),'PEGAR'!B494&amp;"","")</f>
      </c>
      <c r="AD994" s="0">
        <f>IF(AND('PEGAR'!O494=0,'PEGAR'!X494=2),'PEGAR'!C494&amp;"","")</f>
      </c>
      <c r="AE994" s="0">
        <f>IF(AND('PEGAR'!O494=0,'PEGAR'!X494=2),'PEGAR'!D494&amp;"","")</f>
      </c>
      <c r="AF994" s="0">
        <f>IF(AND('PEGAR'!O494=0,'PEGAR'!X494=2),'PEGAR'!N494,"")</f>
      </c>
      <c r="AG994" s="0" t="n">
        <f>IF(AND('PEGAR'!O494=0,'PEGAR'!X494=2),2,0)</f>
        <v>0</v>
      </c>
      <c r="AH994" s="0">
        <f>IF(AG994&gt;0,COUNTIFS($AG$13:AG994,"&gt;0"),"")</f>
      </c>
    </row>
    <row r="995">
      <c r="AB995" s="0">
        <f>IF(AND('PEGAR'!O495=0,'PEGAR'!X495=2),"Fila 495","")</f>
      </c>
      <c r="AC995" s="0">
        <f>IF(AND('PEGAR'!O495=0,'PEGAR'!X495=2),'PEGAR'!B495&amp;"","")</f>
      </c>
      <c r="AD995" s="0">
        <f>IF(AND('PEGAR'!O495=0,'PEGAR'!X495=2),'PEGAR'!C495&amp;"","")</f>
      </c>
      <c r="AE995" s="0">
        <f>IF(AND('PEGAR'!O495=0,'PEGAR'!X495=2),'PEGAR'!D495&amp;"","")</f>
      </c>
      <c r="AF995" s="0">
        <f>IF(AND('PEGAR'!O495=0,'PEGAR'!X495=2),'PEGAR'!N495,"")</f>
      </c>
      <c r="AG995" s="0" t="n">
        <f>IF(AND('PEGAR'!O495=0,'PEGAR'!X495=2),2,0)</f>
        <v>0</v>
      </c>
      <c r="AH995" s="0">
        <f>IF(AG995&gt;0,COUNTIFS($AG$13:AG995,"&gt;0"),"")</f>
      </c>
    </row>
    <row r="996">
      <c r="AB996" s="0">
        <f>IF(AND('PEGAR'!O496=0,'PEGAR'!X496=2),"Fila 496","")</f>
      </c>
      <c r="AC996" s="0">
        <f>IF(AND('PEGAR'!O496=0,'PEGAR'!X496=2),'PEGAR'!B496&amp;"","")</f>
      </c>
      <c r="AD996" s="0">
        <f>IF(AND('PEGAR'!O496=0,'PEGAR'!X496=2),'PEGAR'!C496&amp;"","")</f>
      </c>
      <c r="AE996" s="0">
        <f>IF(AND('PEGAR'!O496=0,'PEGAR'!X496=2),'PEGAR'!D496&amp;"","")</f>
      </c>
      <c r="AF996" s="0">
        <f>IF(AND('PEGAR'!O496=0,'PEGAR'!X496=2),'PEGAR'!N496,"")</f>
      </c>
      <c r="AG996" s="0" t="n">
        <f>IF(AND('PEGAR'!O496=0,'PEGAR'!X496=2),2,0)</f>
        <v>0</v>
      </c>
      <c r="AH996" s="0">
        <f>IF(AG996&gt;0,COUNTIFS($AG$13:AG996,"&gt;0"),"")</f>
      </c>
    </row>
    <row r="997">
      <c r="AB997" s="0">
        <f>IF(AND('PEGAR'!O497=0,'PEGAR'!X497=2),"Fila 497","")</f>
      </c>
      <c r="AC997" s="0">
        <f>IF(AND('PEGAR'!O497=0,'PEGAR'!X497=2),'PEGAR'!B497&amp;"","")</f>
      </c>
      <c r="AD997" s="0">
        <f>IF(AND('PEGAR'!O497=0,'PEGAR'!X497=2),'PEGAR'!C497&amp;"","")</f>
      </c>
      <c r="AE997" s="0">
        <f>IF(AND('PEGAR'!O497=0,'PEGAR'!X497=2),'PEGAR'!D497&amp;"","")</f>
      </c>
      <c r="AF997" s="0">
        <f>IF(AND('PEGAR'!O497=0,'PEGAR'!X497=2),'PEGAR'!N497,"")</f>
      </c>
      <c r="AG997" s="0" t="n">
        <f>IF(AND('PEGAR'!O497=0,'PEGAR'!X497=2),2,0)</f>
        <v>0</v>
      </c>
      <c r="AH997" s="0">
        <f>IF(AG997&gt;0,COUNTIFS($AG$13:AG997,"&gt;0"),"")</f>
      </c>
    </row>
    <row r="998">
      <c r="AB998" s="0">
        <f>IF(AND('PEGAR'!O498=0,'PEGAR'!X498=2),"Fila 498","")</f>
      </c>
      <c r="AC998" s="0">
        <f>IF(AND('PEGAR'!O498=0,'PEGAR'!X498=2),'PEGAR'!B498&amp;"","")</f>
      </c>
      <c r="AD998" s="0">
        <f>IF(AND('PEGAR'!O498=0,'PEGAR'!X498=2),'PEGAR'!C498&amp;"","")</f>
      </c>
      <c r="AE998" s="0">
        <f>IF(AND('PEGAR'!O498=0,'PEGAR'!X498=2),'PEGAR'!D498&amp;"","")</f>
      </c>
      <c r="AF998" s="0">
        <f>IF(AND('PEGAR'!O498=0,'PEGAR'!X498=2),'PEGAR'!N498,"")</f>
      </c>
      <c r="AG998" s="0" t="n">
        <f>IF(AND('PEGAR'!O498=0,'PEGAR'!X498=2),2,0)</f>
        <v>0</v>
      </c>
      <c r="AH998" s="0">
        <f>IF(AG998&gt;0,COUNTIFS($AG$13:AG998,"&gt;0"),"")</f>
      </c>
    </row>
    <row r="999">
      <c r="AB999" s="0">
        <f>IF(AND('PEGAR'!O499=0,'PEGAR'!X499=2),"Fila 499","")</f>
      </c>
      <c r="AC999" s="0">
        <f>IF(AND('PEGAR'!O499=0,'PEGAR'!X499=2),'PEGAR'!B499&amp;"","")</f>
      </c>
      <c r="AD999" s="0">
        <f>IF(AND('PEGAR'!O499=0,'PEGAR'!X499=2),'PEGAR'!C499&amp;"","")</f>
      </c>
      <c r="AE999" s="0">
        <f>IF(AND('PEGAR'!O499=0,'PEGAR'!X499=2),'PEGAR'!D499&amp;"","")</f>
      </c>
      <c r="AF999" s="0">
        <f>IF(AND('PEGAR'!O499=0,'PEGAR'!X499=2),'PEGAR'!N499,"")</f>
      </c>
      <c r="AG999" s="0" t="n">
        <f>IF(AND('PEGAR'!O499=0,'PEGAR'!X499=2),2,0)</f>
        <v>0</v>
      </c>
      <c r="AH999" s="0">
        <f>IF(AG999&gt;0,COUNTIFS($AG$13:AG999,"&gt;0"),"")</f>
      </c>
    </row>
    <row r="1000">
      <c r="AB1000" s="0">
        <f>IF(AND('PEGAR'!O500=0,'PEGAR'!X500=2),"Fila 500","")</f>
      </c>
      <c r="AC1000" s="0">
        <f>IF(AND('PEGAR'!O500=0,'PEGAR'!X500=2),'PEGAR'!B500&amp;"","")</f>
      </c>
      <c r="AD1000" s="0">
        <f>IF(AND('PEGAR'!O500=0,'PEGAR'!X500=2),'PEGAR'!C500&amp;"","")</f>
      </c>
      <c r="AE1000" s="0">
        <f>IF(AND('PEGAR'!O500=0,'PEGAR'!X500=2),'PEGAR'!D500&amp;"","")</f>
      </c>
      <c r="AF1000" s="0">
        <f>IF(AND('PEGAR'!O500=0,'PEGAR'!X500=2),'PEGAR'!N500,"")</f>
      </c>
      <c r="AG1000" s="0" t="n">
        <f>IF(AND('PEGAR'!O500=0,'PEGAR'!X500=2),2,0)</f>
        <v>0</v>
      </c>
      <c r="AH1000" s="0">
        <f>IF(AG1000&gt;0,COUNTIFS($AG$13:AG1000,"&gt;0"),"")</f>
      </c>
    </row>
    <row r="1001">
      <c r="AB1001" s="0">
        <f>IF(AND('PEGAR'!O501=0,'PEGAR'!X501=2),"Fila 501","")</f>
      </c>
      <c r="AC1001" s="0">
        <f>IF(AND('PEGAR'!O501=0,'PEGAR'!X501=2),'PEGAR'!B501&amp;"","")</f>
      </c>
      <c r="AD1001" s="0">
        <f>IF(AND('PEGAR'!O501=0,'PEGAR'!X501=2),'PEGAR'!C501&amp;"","")</f>
      </c>
      <c r="AE1001" s="0">
        <f>IF(AND('PEGAR'!O501=0,'PEGAR'!X501=2),'PEGAR'!D501&amp;"","")</f>
      </c>
      <c r="AF1001" s="0">
        <f>IF(AND('PEGAR'!O501=0,'PEGAR'!X501=2),'PEGAR'!N501,"")</f>
      </c>
      <c r="AG1001" s="0" t="n">
        <f>IF(AND('PEGAR'!O501=0,'PEGAR'!X501=2),2,0)</f>
        <v>0</v>
      </c>
      <c r="AH1001" s="0">
        <f>IF(AG1001&gt;0,COUNTIFS($AG$13:AG1001,"&gt;0"),"")</f>
      </c>
    </row>
    <row r="1002">
      <c r="AB1002" s="0">
        <f>IF(AND('PEGAR'!O502=0,'PEGAR'!X502=2),"Fila 502","")</f>
      </c>
      <c r="AC1002" s="0">
        <f>IF(AND('PEGAR'!O502=0,'PEGAR'!X502=2),'PEGAR'!B502&amp;"","")</f>
      </c>
      <c r="AD1002" s="0">
        <f>IF(AND('PEGAR'!O502=0,'PEGAR'!X502=2),'PEGAR'!C502&amp;"","")</f>
      </c>
      <c r="AE1002" s="0">
        <f>IF(AND('PEGAR'!O502=0,'PEGAR'!X502=2),'PEGAR'!D502&amp;"","")</f>
      </c>
      <c r="AF1002" s="0">
        <f>IF(AND('PEGAR'!O502=0,'PEGAR'!X502=2),'PEGAR'!N502,"")</f>
      </c>
      <c r="AG1002" s="0" t="n">
        <f>IF(AND('PEGAR'!O502=0,'PEGAR'!X502=2),2,0)</f>
        <v>0</v>
      </c>
      <c r="AH1002" s="0">
        <f>IF(AG1002&gt;0,COUNTIFS($AG$13:AG1002,"&gt;0"),"")</f>
      </c>
    </row>
    <row r="1003">
      <c r="AB1003" s="0">
        <f>IF(AND('PEGAR'!O503=0,'PEGAR'!X503=2),"Fila 503","")</f>
      </c>
      <c r="AC1003" s="0">
        <f>IF(AND('PEGAR'!O503=0,'PEGAR'!X503=2),'PEGAR'!B503&amp;"","")</f>
      </c>
      <c r="AD1003" s="0">
        <f>IF(AND('PEGAR'!O503=0,'PEGAR'!X503=2),'PEGAR'!C503&amp;"","")</f>
      </c>
      <c r="AE1003" s="0">
        <f>IF(AND('PEGAR'!O503=0,'PEGAR'!X503=2),'PEGAR'!D503&amp;"","")</f>
      </c>
      <c r="AF1003" s="0">
        <f>IF(AND('PEGAR'!O503=0,'PEGAR'!X503=2),'PEGAR'!N503,"")</f>
      </c>
      <c r="AG1003" s="0" t="n">
        <f>IF(AND('PEGAR'!O503=0,'PEGAR'!X503=2),2,0)</f>
        <v>0</v>
      </c>
      <c r="AH1003" s="0">
        <f>IF(AG1003&gt;0,COUNTIFS($AG$13:AG1003,"&gt;0"),"")</f>
      </c>
    </row>
    <row r="1004">
      <c r="AB1004" s="0">
        <f>IF(AND('PEGAR'!O504=0,'PEGAR'!X504=2),"Fila 504","")</f>
      </c>
      <c r="AC1004" s="0">
        <f>IF(AND('PEGAR'!O504=0,'PEGAR'!X504=2),'PEGAR'!B504&amp;"","")</f>
      </c>
      <c r="AD1004" s="0">
        <f>IF(AND('PEGAR'!O504=0,'PEGAR'!X504=2),'PEGAR'!C504&amp;"","")</f>
      </c>
      <c r="AE1004" s="0">
        <f>IF(AND('PEGAR'!O504=0,'PEGAR'!X504=2),'PEGAR'!D504&amp;"","")</f>
      </c>
      <c r="AF1004" s="0">
        <f>IF(AND('PEGAR'!O504=0,'PEGAR'!X504=2),'PEGAR'!N504,"")</f>
      </c>
      <c r="AG1004" s="0" t="n">
        <f>IF(AND('PEGAR'!O504=0,'PEGAR'!X504=2),2,0)</f>
        <v>0</v>
      </c>
      <c r="AH1004" s="0">
        <f>IF(AG1004&gt;0,COUNTIFS($AG$13:AG1004,"&gt;0"),"")</f>
      </c>
    </row>
    <row r="1005">
      <c r="AB1005" s="0">
        <f>IF(AND('PEGAR'!O505=0,'PEGAR'!X505=2),"Fila 505","")</f>
      </c>
      <c r="AC1005" s="0">
        <f>IF(AND('PEGAR'!O505=0,'PEGAR'!X505=2),'PEGAR'!B505&amp;"","")</f>
      </c>
      <c r="AD1005" s="0">
        <f>IF(AND('PEGAR'!O505=0,'PEGAR'!X505=2),'PEGAR'!C505&amp;"","")</f>
      </c>
      <c r="AE1005" s="0">
        <f>IF(AND('PEGAR'!O505=0,'PEGAR'!X505=2),'PEGAR'!D505&amp;"","")</f>
      </c>
      <c r="AF1005" s="0">
        <f>IF(AND('PEGAR'!O505=0,'PEGAR'!X505=2),'PEGAR'!N505,"")</f>
      </c>
      <c r="AG1005" s="0" t="n">
        <f>IF(AND('PEGAR'!O505=0,'PEGAR'!X505=2),2,0)</f>
        <v>0</v>
      </c>
      <c r="AH1005" s="0">
        <f>IF(AG1005&gt;0,COUNTIFS($AG$13:AG1005,"&gt;0"),"")</f>
      </c>
    </row>
    <row r="1006">
      <c r="AB1006" s="0">
        <f>IF(AND('PEGAR'!O506=0,'PEGAR'!X506=2),"Fila 506","")</f>
      </c>
      <c r="AC1006" s="0">
        <f>IF(AND('PEGAR'!O506=0,'PEGAR'!X506=2),'PEGAR'!B506&amp;"","")</f>
      </c>
      <c r="AD1006" s="0">
        <f>IF(AND('PEGAR'!O506=0,'PEGAR'!X506=2),'PEGAR'!C506&amp;"","")</f>
      </c>
      <c r="AE1006" s="0">
        <f>IF(AND('PEGAR'!O506=0,'PEGAR'!X506=2),'PEGAR'!D506&amp;"","")</f>
      </c>
      <c r="AF1006" s="0">
        <f>IF(AND('PEGAR'!O506=0,'PEGAR'!X506=2),'PEGAR'!N506,"")</f>
      </c>
      <c r="AG1006" s="0" t="n">
        <f>IF(AND('PEGAR'!O506=0,'PEGAR'!X506=2),2,0)</f>
        <v>0</v>
      </c>
      <c r="AH1006" s="0">
        <f>IF(AG1006&gt;0,COUNTIFS($AG$13:AG1006,"&gt;0"),"")</f>
      </c>
    </row>
    <row r="1007">
      <c r="AB1007" s="0">
        <f>IF(AND('PEGAR'!O507=0,'PEGAR'!X507=2),"Fila 507","")</f>
      </c>
      <c r="AC1007" s="0">
        <f>IF(AND('PEGAR'!O507=0,'PEGAR'!X507=2),'PEGAR'!B507&amp;"","")</f>
      </c>
      <c r="AD1007" s="0">
        <f>IF(AND('PEGAR'!O507=0,'PEGAR'!X507=2),'PEGAR'!C507&amp;"","")</f>
      </c>
      <c r="AE1007" s="0">
        <f>IF(AND('PEGAR'!O507=0,'PEGAR'!X507=2),'PEGAR'!D507&amp;"","")</f>
      </c>
      <c r="AF1007" s="0">
        <f>IF(AND('PEGAR'!O507=0,'PEGAR'!X507=2),'PEGAR'!N507,"")</f>
      </c>
      <c r="AG1007" s="0" t="n">
        <f>IF(AND('PEGAR'!O507=0,'PEGAR'!X507=2),2,0)</f>
        <v>0</v>
      </c>
      <c r="AH1007" s="0">
        <f>IF(AG1007&gt;0,COUNTIFS($AG$13:AG1007,"&gt;0"),"")</f>
      </c>
    </row>
    <row r="1008">
      <c r="AB1008" s="0">
        <f>IF(AND('PEGAR'!O508=0,'PEGAR'!X508=2),"Fila 508","")</f>
      </c>
      <c r="AC1008" s="0">
        <f>IF(AND('PEGAR'!O508=0,'PEGAR'!X508=2),'PEGAR'!B508&amp;"","")</f>
      </c>
      <c r="AD1008" s="0">
        <f>IF(AND('PEGAR'!O508=0,'PEGAR'!X508=2),'PEGAR'!C508&amp;"","")</f>
      </c>
      <c r="AE1008" s="0">
        <f>IF(AND('PEGAR'!O508=0,'PEGAR'!X508=2),'PEGAR'!D508&amp;"","")</f>
      </c>
      <c r="AF1008" s="0">
        <f>IF(AND('PEGAR'!O508=0,'PEGAR'!X508=2),'PEGAR'!N508,"")</f>
      </c>
      <c r="AG1008" s="0" t="n">
        <f>IF(AND('PEGAR'!O508=0,'PEGAR'!X508=2),2,0)</f>
        <v>0</v>
      </c>
      <c r="AH1008" s="0">
        <f>IF(AG1008&gt;0,COUNTIFS($AG$13:AG1008,"&gt;0"),"")</f>
      </c>
    </row>
    <row r="1009">
      <c r="AB1009" s="0">
        <f>IF(AND('PEGAR'!O509=0,'PEGAR'!X509=2),"Fila 509","")</f>
      </c>
      <c r="AC1009" s="0">
        <f>IF(AND('PEGAR'!O509=0,'PEGAR'!X509=2),'PEGAR'!B509&amp;"","")</f>
      </c>
      <c r="AD1009" s="0">
        <f>IF(AND('PEGAR'!O509=0,'PEGAR'!X509=2),'PEGAR'!C509&amp;"","")</f>
      </c>
      <c r="AE1009" s="0">
        <f>IF(AND('PEGAR'!O509=0,'PEGAR'!X509=2),'PEGAR'!D509&amp;"","")</f>
      </c>
      <c r="AF1009" s="0">
        <f>IF(AND('PEGAR'!O509=0,'PEGAR'!X509=2),'PEGAR'!N509,"")</f>
      </c>
      <c r="AG1009" s="0" t="n">
        <f>IF(AND('PEGAR'!O509=0,'PEGAR'!X509=2),2,0)</f>
        <v>0</v>
      </c>
      <c r="AH1009" s="0">
        <f>IF(AG1009&gt;0,COUNTIFS($AG$13:AG1009,"&gt;0"),"")</f>
      </c>
    </row>
    <row r="1010">
      <c r="AB1010" s="0">
        <f>IF(AND('PEGAR'!O510=0,'PEGAR'!X510=2),"Fila 510","")</f>
      </c>
      <c r="AC1010" s="0">
        <f>IF(AND('PEGAR'!O510=0,'PEGAR'!X510=2),'PEGAR'!B510&amp;"","")</f>
      </c>
      <c r="AD1010" s="0">
        <f>IF(AND('PEGAR'!O510=0,'PEGAR'!X510=2),'PEGAR'!C510&amp;"","")</f>
      </c>
      <c r="AE1010" s="0">
        <f>IF(AND('PEGAR'!O510=0,'PEGAR'!X510=2),'PEGAR'!D510&amp;"","")</f>
      </c>
      <c r="AF1010" s="0">
        <f>IF(AND('PEGAR'!O510=0,'PEGAR'!X510=2),'PEGAR'!N510,"")</f>
      </c>
      <c r="AG1010" s="0" t="n">
        <f>IF(AND('PEGAR'!O510=0,'PEGAR'!X510=2),2,0)</f>
        <v>0</v>
      </c>
      <c r="AH1010" s="0">
        <f>IF(AG1010&gt;0,COUNTIFS($AG$13:AG1010,"&gt;0"),"")</f>
      </c>
    </row>
    <row r="1011">
      <c r="AB1011" s="0">
        <f>IF(AND('PEGAR'!O511=0,'PEGAR'!X511=2),"Fila 511","")</f>
      </c>
      <c r="AC1011" s="0">
        <f>IF(AND('PEGAR'!O511=0,'PEGAR'!X511=2),'PEGAR'!B511&amp;"","")</f>
      </c>
      <c r="AD1011" s="0">
        <f>IF(AND('PEGAR'!O511=0,'PEGAR'!X511=2),'PEGAR'!C511&amp;"","")</f>
      </c>
      <c r="AE1011" s="0">
        <f>IF(AND('PEGAR'!O511=0,'PEGAR'!X511=2),'PEGAR'!D511&amp;"","")</f>
      </c>
      <c r="AF1011" s="0">
        <f>IF(AND('PEGAR'!O511=0,'PEGAR'!X511=2),'PEGAR'!N511,"")</f>
      </c>
      <c r="AG1011" s="0" t="n">
        <f>IF(AND('PEGAR'!O511=0,'PEGAR'!X511=2),2,0)</f>
        <v>0</v>
      </c>
      <c r="AH1011" s="0">
        <f>IF(AG1011&gt;0,COUNTIFS($AG$13:AG1011,"&gt;0"),"")</f>
      </c>
    </row>
    <row r="1012">
      <c r="AB1012" s="0">
        <f>IF(AND('PEGAR'!O512=0,'PEGAR'!X512=2),"Fila 512","")</f>
      </c>
      <c r="AC1012" s="0">
        <f>IF(AND('PEGAR'!O512=0,'PEGAR'!X512=2),'PEGAR'!B512&amp;"","")</f>
      </c>
      <c r="AD1012" s="0">
        <f>IF(AND('PEGAR'!O512=0,'PEGAR'!X512=2),'PEGAR'!C512&amp;"","")</f>
      </c>
      <c r="AE1012" s="0">
        <f>IF(AND('PEGAR'!O512=0,'PEGAR'!X512=2),'PEGAR'!D512&amp;"","")</f>
      </c>
      <c r="AF1012" s="0">
        <f>IF(AND('PEGAR'!O512=0,'PEGAR'!X512=2),'PEGAR'!N512,"")</f>
      </c>
      <c r="AG1012" s="0" t="n">
        <f>IF(AND('PEGAR'!O512=0,'PEGAR'!X512=2),2,0)</f>
        <v>0</v>
      </c>
      <c r="AH1012" s="0">
        <f>IF(AG1012&gt;0,COUNTIFS($AG$13:AG1012,"&gt;0"),"")</f>
      </c>
    </row>
  </sheetData>
  <sheetProtection sheet="1" objects="1" scenarios="1" selectLockedCells="0" selectUnlockedCells="0" formatCells="1" formatColumns="0" formatRows="0" insertColumns="1" insertRows="1" deleteColumns="1" deleteRows="1" sort="1" autoFilter="1" pivotTables="1"/>
  <mergeCells>
    <mergeCell ref="B2:I3"/>
    <mergeCell ref="B6:D6"/>
    <mergeCell ref="B8:G8"/>
    <mergeCell ref="B520:J520"/>
    <mergeCell ref="B535:J536"/>
  </mergeCells>
  <conditionalFormatting sqref="I13:J512">
    <cfRule type="expression" dxfId="3" priority="1">
      <formula>AND(ISNUMBER($W13),$W13=0)</formula>
    </cfRule>
    <cfRule type="expression" dxfId="4" priority="2">
      <formula>AND(ISNUMBER($W13),$W13=1)</formula>
    </cfRule>
    <cfRule type="expression" dxfId="5" priority="3">
      <formula>AND(ISNUMBER($W13),$W13=2)</formula>
    </cfRule>
  </conditionalFormatting>
  <hyperlinks>
    <hyperlink ref="J8" location="'CONTROLES'!B520"/>
  </hyperlinks>
  <printOptions horizontalCentered="1"/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1da7cff961a74fb4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A6AFBA"/>
    <pageSetUpPr fitToPage="1"/>
  </sheetPr>
  <sheetViews>
    <sheetView showGridLines="0" workbookViewId="0" zoomScale="80"/>
  </sheetViews>
  <sheetFormatPr defaultRowHeight="15"/>
  <cols>
    <col min="1" max="1" width="3" hidden="0" customWidth="1"/>
    <col min="2" max="2" width="27" hidden="0" customWidth="1"/>
    <col min="3" max="3" width="20" hidden="0" customWidth="1"/>
    <col min="4" max="4" width="17" hidden="0" customWidth="1"/>
    <col min="5" max="5" width="20" hidden="0" customWidth="1"/>
    <col min="6" max="6" width="20" hidden="0" customWidth="1"/>
    <col min="7" max="7" width="24" hidden="0" customWidth="1"/>
    <col min="8" max="8" width="44" hidden="0" customWidth="1"/>
  </cols>
  <sheetData>
    <row r="1" ht="22" customHeight="1">
      <c r="B1" s="27"/>
      <c r="C1" s="27"/>
      <c r="D1" s="27"/>
      <c r="E1" s="27"/>
      <c r="F1" s="27"/>
      <c r="G1" s="27"/>
      <c r="H1" s="27"/>
    </row>
    <row r="2" ht="24" customHeight="1">
      <c r="B2" s="28" t="str">
        <v>Cómo revisamos las mediciones</v>
      </c>
      <c r="C2" s="28"/>
      <c r="D2" s="28"/>
      <c r="E2" s="28"/>
      <c r="F2" s="28"/>
      <c r="G2" s="28"/>
      <c r="H2" s="27"/>
    </row>
    <row r="3" ht="24" customHeight="1">
      <c r="B3" s="28"/>
      <c r="C3" s="28"/>
      <c r="D3" s="28"/>
      <c r="E3" s="28"/>
      <c r="F3" s="28"/>
      <c r="G3" s="28"/>
      <c r="H3" s="27"/>
    </row>
    <row r="4" ht="22" customHeight="1">
      <c r="B4" s="29"/>
      <c r="C4" s="29"/>
      <c r="D4" s="29"/>
      <c r="E4" s="29"/>
      <c r="F4" s="29"/>
      <c r="G4" s="29"/>
      <c r="H4" s="29"/>
    </row>
    <row r="5" ht="22" customHeight="1">
      <c r="B5" s="27"/>
      <c r="C5" s="27"/>
      <c r="D5" s="27"/>
      <c r="E5" s="27"/>
      <c r="F5" s="27"/>
      <c r="G5" s="27"/>
      <c r="H5" s="27"/>
    </row>
    <row r="6" ht="25" customHeight="1">
      <c r="B6" s="30" t="str">
        <v>Pegamos valores en PEGAR, con una fila por línea de medición. Conservamos los nueve campos originales en B:J y añadimos un ID numérico en K para cada partida distinta.</v>
      </c>
      <c r="C6" s="30"/>
      <c r="D6" s="30"/>
      <c r="E6" s="30"/>
      <c r="F6" s="30"/>
      <c r="G6" s="30"/>
      <c r="H6" s="30"/>
    </row>
    <row r="7" ht="25" customHeight="1">
      <c r="B7" s="30"/>
      <c r="C7" s="30"/>
      <c r="D7" s="30"/>
      <c r="E7" s="30"/>
      <c r="F7" s="30"/>
      <c r="G7" s="30"/>
      <c r="H7" s="30"/>
    </row>
    <row r="8" ht="22" customHeight="1">
      <c r="B8" s="27"/>
      <c r="C8" s="27"/>
      <c r="D8" s="27"/>
      <c r="E8" s="27"/>
      <c r="F8" s="27"/>
      <c r="G8" s="27"/>
      <c r="H8" s="27"/>
    </row>
    <row r="9" ht="25" customHeight="1">
      <c r="B9" s="30" t="str">
        <v>Cantidad (F) siempre es el TOTAL de la partida. Podemos repetirlo en sus líneas o dejarlo vacío después de la primera. No pegamos el parcial de cada línea en esa columna.</v>
      </c>
      <c r="C9" s="30"/>
      <c r="D9" s="30"/>
      <c r="E9" s="30"/>
      <c r="F9" s="30"/>
      <c r="G9" s="30"/>
      <c r="H9" s="30"/>
    </row>
    <row r="10" ht="25" customHeight="1">
      <c r="B10" s="30"/>
      <c r="C10" s="30"/>
      <c r="D10" s="30"/>
      <c r="E10" s="30"/>
      <c r="F10" s="30"/>
      <c r="G10" s="30"/>
      <c r="H10" s="30"/>
    </row>
    <row r="11" ht="22" customHeight="1">
      <c r="B11" s="27"/>
      <c r="C11" s="27"/>
      <c r="D11" s="27"/>
      <c r="E11" s="27"/>
      <c r="F11" s="27"/>
      <c r="G11" s="27"/>
      <c r="H11" s="27"/>
    </row>
    <row r="12" ht="25" customHeight="1">
      <c r="B12" s="30" t="str">
        <v>Un ID une las líneas de una sola aparición de partida. Aunque coincidan capítulo y código, una partida distinta lleva otro ID. No podemos adivinar que se reutilizó un ID para dos partidas idénticas.</v>
      </c>
      <c r="C12" s="30"/>
      <c r="D12" s="30"/>
      <c r="E12" s="30"/>
      <c r="F12" s="30"/>
      <c r="G12" s="30"/>
      <c r="H12" s="30"/>
    </row>
    <row r="13" ht="25" customHeight="1">
      <c r="B13" s="30"/>
      <c r="C13" s="30"/>
      <c r="D13" s="30"/>
      <c r="E13" s="30"/>
      <c r="F13" s="30"/>
      <c r="G13" s="30"/>
      <c r="H13" s="30"/>
    </row>
    <row r="14" ht="22" customHeight="1">
      <c r="B14" s="27"/>
      <c r="C14" s="27"/>
      <c r="D14" s="27"/>
      <c r="E14" s="27"/>
      <c r="F14" s="27"/>
      <c r="G14" s="27"/>
      <c r="H14" s="27"/>
    </row>
    <row r="15" ht="25" customHeight="1">
      <c r="B15" s="30" t="str">
        <v>El tipo es opcional: si hay datos en Uds/Largo/Ancho/Alto, lo tratamos como Dimensiones. Una casilla vacía no añade factor; un cero es cero. Si no hay ningún dato, no inventamos una medición.</v>
      </c>
      <c r="C15" s="30"/>
      <c r="D15" s="30"/>
      <c r="E15" s="30"/>
      <c r="F15" s="30"/>
      <c r="G15" s="30"/>
      <c r="H15" s="30"/>
    </row>
    <row r="16" ht="25" customHeight="1">
      <c r="B16" s="30"/>
      <c r="C16" s="30"/>
      <c r="D16" s="30"/>
      <c r="E16" s="30"/>
      <c r="F16" s="30"/>
      <c r="G16" s="30"/>
      <c r="H16" s="30"/>
    </row>
    <row r="17" ht="22" customHeight="1">
      <c r="B17" s="27"/>
      <c r="C17" s="27"/>
      <c r="D17" s="27"/>
      <c r="E17" s="27"/>
      <c r="F17" s="27"/>
      <c r="G17" s="27"/>
      <c r="H17" s="27"/>
    </row>
    <row r="18" ht="25" customHeight="1">
      <c r="B18" s="30" t="str">
        <v>Directa usa la cantidad que escribimos en Uds y exige Largo/Ancho/Alto vacíos. Cabecera permite una fila descriptiva y toma las medidas de las demás líneas del ID. Sin líneas deja la medición pendiente.</v>
      </c>
      <c r="C18" s="30"/>
      <c r="D18" s="30"/>
      <c r="E18" s="30"/>
      <c r="F18" s="30"/>
      <c r="G18" s="30"/>
      <c r="H18" s="30"/>
    </row>
    <row r="19" ht="25" customHeight="1">
      <c r="B19" s="30"/>
      <c r="C19" s="30"/>
      <c r="D19" s="30"/>
      <c r="E19" s="30"/>
      <c r="F19" s="30"/>
      <c r="G19" s="30"/>
      <c r="H19" s="30"/>
    </row>
    <row r="20" ht="22" customHeight="1">
      <c r="B20" s="27"/>
      <c r="C20" s="27"/>
      <c r="D20" s="27"/>
      <c r="E20" s="27"/>
      <c r="F20" s="27"/>
      <c r="G20" s="27"/>
      <c r="H20" s="27"/>
    </row>
    <row r="21" ht="25" customHeight="1">
      <c r="B21" s="30" t="str">
        <v>Si repetimos capítulo, código, unidad o total dentro de un ID, deben ser coherentes. Ante una contradicción no escogemos un total por suposición. Podemos ordenar todas las columnas juntas conservando sus ID.</v>
      </c>
      <c r="C21" s="30"/>
      <c r="D21" s="30"/>
      <c r="E21" s="30"/>
      <c r="F21" s="30"/>
      <c r="G21" s="30"/>
      <c r="H21" s="30"/>
    </row>
    <row r="22" ht="25" customHeight="1">
      <c r="B22" s="30"/>
      <c r="C22" s="30"/>
      <c r="D22" s="30"/>
      <c r="E22" s="30"/>
      <c r="F22" s="30"/>
      <c r="G22" s="30"/>
      <c r="H22" s="30"/>
    </row>
    <row r="23" ht="22" customHeight="1">
      <c r="B23" s="27"/>
      <c r="C23" s="27"/>
      <c r="D23" s="27"/>
      <c r="E23" s="27"/>
      <c r="F23" s="27"/>
      <c r="G23" s="27"/>
      <c r="H23" s="27"/>
    </row>
    <row r="24" ht="25" customHeight="1">
      <c r="B24" s="30" t="str">
        <v>La tolerancia de suma es 0,01 inclusive. Conservamos todos los decimales al multiplicar y sumar. Admitimos deducciones negativas y ceros, pero los señalamos para confirmar su intención.</v>
      </c>
      <c r="C24" s="30"/>
      <c r="D24" s="30"/>
      <c r="E24" s="30"/>
      <c r="F24" s="30"/>
      <c r="G24" s="30"/>
      <c r="H24" s="30"/>
    </row>
    <row r="25" ht="25" customHeight="1">
      <c r="B25" s="30"/>
      <c r="C25" s="30"/>
      <c r="D25" s="30"/>
      <c r="E25" s="30"/>
      <c r="F25" s="30"/>
      <c r="G25" s="30"/>
      <c r="H25" s="30"/>
    </row>
    <row r="26" ht="22" customHeight="1">
      <c r="B26" s="27"/>
      <c r="C26" s="27"/>
      <c r="D26" s="27"/>
      <c r="E26" s="27"/>
      <c r="F26" s="27"/>
      <c r="G26" s="27"/>
      <c r="H26" s="27"/>
    </row>
    <row r="27" ht="25" customHeight="1">
      <c r="B27" s="30" t="str">
        <v>Parece m³ es un aviso, no una corrección automática: tres longitudes bajo m² requieren leer qué significa cada dimensión. Una cantidad directa permite comprobar la suma, pero no su geometría.</v>
      </c>
      <c r="C27" s="30"/>
      <c r="D27" s="30"/>
      <c r="E27" s="30"/>
      <c r="F27" s="30"/>
      <c r="G27" s="30"/>
      <c r="H27" s="30"/>
    </row>
    <row r="28" ht="25" customHeight="1">
      <c r="B28" s="30"/>
      <c r="C28" s="30"/>
      <c r="D28" s="30"/>
      <c r="E28" s="30"/>
      <c r="F28" s="30"/>
      <c r="G28" s="30"/>
      <c r="H28" s="30"/>
    </row>
    <row r="29" ht="22" customHeight="1">
      <c r="B29" s="27"/>
      <c r="C29" s="27"/>
      <c r="D29" s="27"/>
      <c r="E29" s="27"/>
      <c r="F29" s="27"/>
      <c r="G29" s="27"/>
      <c r="H29" s="27"/>
    </row>
    <row r="30" ht="25" customHeight="1">
      <c r="B30" s="30" t="str">
        <v>Decimales: mostramos seis y comparamos con el número indicado en PEGAR!E6 (dos en el ejemplo). Avisamos si hay más precisión. Al pegar valores no podemos saber el formato visible del original; lo cotejamos aparte.</v>
      </c>
      <c r="C30" s="30"/>
      <c r="D30" s="30"/>
      <c r="E30" s="30"/>
      <c r="F30" s="30"/>
      <c r="G30" s="30"/>
      <c r="H30" s="30"/>
    </row>
    <row r="31" ht="25" customHeight="1">
      <c r="B31" s="30"/>
      <c r="C31" s="30"/>
      <c r="D31" s="30"/>
      <c r="E31" s="30"/>
      <c r="F31" s="30"/>
      <c r="G31" s="30"/>
      <c r="H31" s="30"/>
    </row>
    <row r="32" ht="22" customHeight="1">
      <c r="B32" s="27"/>
      <c r="C32" s="27"/>
      <c r="D32" s="27"/>
      <c r="E32" s="27"/>
      <c r="F32" s="27"/>
      <c r="G32" s="27"/>
      <c r="H32" s="27"/>
    </row>
    <row r="33" ht="25" customHeight="1">
      <c r="B33" s="30" t="str">
        <v>Códigos repetidos: distinguimos dentro de un capítulo y entre capítulos, contando partidas distintas, no sus líneas. El mismo código con unidades diferentes requiere aclaración. No fusionamos ni convertimos cantidades.</v>
      </c>
      <c r="C33" s="30"/>
      <c r="D33" s="30"/>
      <c r="E33" s="30"/>
      <c r="F33" s="30"/>
      <c r="G33" s="30"/>
      <c r="H33" s="30"/>
    </row>
    <row r="34" ht="25" customHeight="1">
      <c r="B34" s="30"/>
      <c r="C34" s="30"/>
      <c r="D34" s="30"/>
      <c r="E34" s="30"/>
      <c r="F34" s="30"/>
      <c r="G34" s="30"/>
      <c r="H34" s="30"/>
    </row>
    <row r="35" ht="22" customHeight="1">
      <c r="B35" s="27"/>
      <c r="C35" s="27"/>
      <c r="D35" s="27"/>
      <c r="E35" s="27"/>
      <c r="F35" s="27"/>
      <c r="G35" s="27"/>
      <c r="H35" s="27"/>
    </row>
    <row r="36" ht="25" customHeight="1">
      <c r="B36" s="36" t="str">
        <v>Ejemplo aproximado del muro: la suma cuadra, pero las cinco líneas multiplican largo, ancho y alto bajo m². Revisamos la unidad antes de valorar. Las dimensiones se han redondeado para anonimizar.</v>
      </c>
      <c r="C36" s="36"/>
      <c r="D36" s="36"/>
      <c r="E36" s="36"/>
      <c r="F36" s="36"/>
      <c r="G36" s="36"/>
      <c r="H36" s="36"/>
    </row>
    <row r="37" ht="25" customHeight="1">
      <c r="B37" s="36"/>
      <c r="C37" s="36"/>
      <c r="D37" s="36"/>
      <c r="E37" s="36"/>
      <c r="F37" s="36"/>
      <c r="G37" s="36"/>
      <c r="H37" s="36"/>
    </row>
    <row r="38" ht="22" customHeight="1">
      <c r="B38" s="27"/>
      <c r="C38" s="27"/>
      <c r="D38" s="27"/>
      <c r="E38" s="27"/>
      <c r="F38" s="27"/>
      <c r="G38" s="27"/>
      <c r="H38" s="27"/>
    </row>
    <row r="39" ht="25" customHeight="1">
      <c r="B39" s="36" t="str">
        <v>Ejemplo real anonimizado de solera: dos líneas suman 74 m². Repetir 74 en ambas no da 148. Su descripción incluye encachado y también figura un encachado aparte: debemos comprobar si corresponden a las mismas zonas.</v>
      </c>
      <c r="C39" s="36"/>
      <c r="D39" s="36"/>
      <c r="E39" s="36"/>
      <c r="F39" s="36"/>
      <c r="G39" s="36"/>
      <c r="H39" s="36"/>
    </row>
    <row r="40" ht="25" customHeight="1">
      <c r="B40" s="36"/>
      <c r="C40" s="36"/>
      <c r="D40" s="36"/>
      <c r="E40" s="36"/>
      <c r="F40" s="36"/>
      <c r="G40" s="36"/>
      <c r="H40" s="36"/>
    </row>
    <row r="41" ht="22" customHeight="1">
      <c r="B41" s="27"/>
      <c r="C41" s="27"/>
      <c r="D41" s="27"/>
      <c r="E41" s="27"/>
      <c r="F41" s="27"/>
      <c r="G41" s="27"/>
      <c r="H41" s="27"/>
    </row>
    <row r="42" ht="25" customHeight="1">
      <c r="B42" s="30" t="str">
        <v>El posible solape de solera y encachado no lo descubren estas fórmulas. Leemos las inclusiones y contrastamos planos y zonas; ni 25 m³ ni 74 m² por 0,15 m prueban por sí solos una duplicación.</v>
      </c>
      <c r="C42" s="30"/>
      <c r="D42" s="30"/>
      <c r="E42" s="30"/>
      <c r="F42" s="30"/>
      <c r="G42" s="30"/>
      <c r="H42" s="30"/>
    </row>
    <row r="43" ht="25" customHeight="1">
      <c r="B43" s="30"/>
      <c r="C43" s="30"/>
      <c r="D43" s="30"/>
      <c r="E43" s="30"/>
      <c r="F43" s="30"/>
      <c r="G43" s="30"/>
      <c r="H43" s="30"/>
    </row>
    <row r="44" ht="22" customHeight="1">
      <c r="B44" s="27"/>
      <c r="C44" s="27"/>
      <c r="D44" s="27"/>
      <c r="E44" s="27"/>
      <c r="F44" s="27"/>
      <c r="G44" s="27"/>
      <c r="H44" s="27"/>
    </row>
    <row r="45" ht="25" customHeight="1">
      <c r="B45" s="30" t="str">
        <v>Tercer ejemplo real anonimizado: un equipamiento tiene total 0 y una línea de 1 ud. Pedimos confirmar si es una exclusión deliberada o un error. No cambiamos automáticamente el cero por uno.</v>
      </c>
      <c r="C45" s="30"/>
      <c r="D45" s="30"/>
      <c r="E45" s="30"/>
      <c r="F45" s="30"/>
      <c r="G45" s="30"/>
      <c r="H45" s="30"/>
    </row>
    <row r="46" ht="25" customHeight="1">
      <c r="B46" s="30"/>
      <c r="C46" s="30"/>
      <c r="D46" s="30"/>
      <c r="E46" s="30"/>
      <c r="F46" s="30"/>
      <c r="G46" s="30"/>
      <c r="H46" s="30"/>
    </row>
    <row r="47" ht="22" customHeight="1">
      <c r="B47" s="27"/>
      <c r="C47" s="27"/>
      <c r="D47" s="27"/>
      <c r="E47" s="27"/>
      <c r="F47" s="27"/>
      <c r="G47" s="27"/>
      <c r="H47" s="27"/>
    </row>
    <row r="48" ht="25" customHeight="1">
      <c r="B48" s="30" t="str">
        <v>RESUMEN reúne los avisos. En su nota amarilla anotamos una duda de alcance manual; sustituimos o borramos la del ejemplo. Verde no certifica el proyecto: revisamos el alcance y el original.</v>
      </c>
      <c r="C48" s="30"/>
      <c r="D48" s="30"/>
      <c r="E48" s="30"/>
      <c r="F48" s="30"/>
      <c r="G48" s="30"/>
      <c r="H48" s="30"/>
    </row>
    <row r="49" ht="25" customHeight="1">
      <c r="B49" s="30"/>
      <c r="C49" s="30"/>
      <c r="D49" s="30"/>
      <c r="E49" s="30"/>
      <c r="F49" s="30"/>
      <c r="G49" s="30"/>
      <c r="H49" s="30"/>
    </row>
    <row r="50" ht="22" customHeight="1">
      <c r="B50" s="27"/>
      <c r="C50" s="27"/>
      <c r="D50" s="27"/>
      <c r="E50" s="27"/>
      <c r="F50" s="27"/>
      <c r="G50" s="27"/>
      <c r="H50" s="27"/>
    </row>
    <row r="51" ht="25" customHeight="1">
      <c r="B51" s="30" t="str">
        <v>Las entradas son amarillas. Las fórmulas están bloqueadas y las hojas protegidas sin contraseña. Podemos ajustar anchos o altos para leer el texto y quitar la protección si necesitamos otra configuración.</v>
      </c>
      <c r="C51" s="30"/>
      <c r="D51" s="30"/>
      <c r="E51" s="30"/>
      <c r="F51" s="30"/>
      <c r="G51" s="30"/>
      <c r="H51" s="30"/>
    </row>
    <row r="52" ht="25" customHeight="1">
      <c r="B52" s="30"/>
      <c r="C52" s="30"/>
      <c r="D52" s="30"/>
      <c r="E52" s="30"/>
      <c r="F52" s="30"/>
      <c r="G52" s="30"/>
      <c r="H52" s="30"/>
    </row>
    <row r="53" ht="22" customHeight="1">
      <c r="B53" s="27"/>
      <c r="C53" s="27"/>
      <c r="D53" s="27"/>
      <c r="E53" s="27"/>
      <c r="F53" s="27"/>
      <c r="G53" s="27"/>
      <c r="H53" s="27"/>
    </row>
    <row r="54" ht="25" customHeight="1">
      <c r="B54" s="30" t="str">
        <v>La plantilla admite 500 filas. Para trabajar por bloques no partimos un ID; comprobamos los códigos entre bloques por separado. No hay macros, importación automática de PDF ni conexiones externas.</v>
      </c>
      <c r="C54" s="30"/>
      <c r="D54" s="30"/>
      <c r="E54" s="30"/>
      <c r="F54" s="30"/>
      <c r="G54" s="30"/>
      <c r="H54" s="30"/>
    </row>
    <row r="55" ht="25" customHeight="1">
      <c r="B55" s="30"/>
      <c r="C55" s="30"/>
      <c r="D55" s="30"/>
      <c r="E55" s="30"/>
      <c r="F55" s="30"/>
      <c r="G55" s="30"/>
      <c r="H55" s="30"/>
    </row>
    <row r="56" ht="22" customHeight="1">
      <c r="B56" s="27"/>
      <c r="C56" s="27"/>
      <c r="D56" s="27"/>
      <c r="E56" s="27"/>
      <c r="F56" s="27"/>
      <c r="G56" s="27"/>
      <c r="H56" s="27"/>
    </row>
    <row r="57" ht="25" customHeight="1">
      <c r="B57" s="30" t="str">
        <v>Los ejemplos no incluyen precios ni datos identificativos. Sus fuentes se conservan por separado. La primera práctica deriva de un caso real con cantidades aproximadas; las otras dos conservan cantidades de medición sin identidad.</v>
      </c>
      <c r="C57" s="30"/>
      <c r="D57" s="30"/>
      <c r="E57" s="30"/>
      <c r="F57" s="30"/>
      <c r="G57" s="30"/>
      <c r="H57" s="30"/>
    </row>
    <row r="58" ht="25" customHeight="1">
      <c r="B58" s="30"/>
      <c r="C58" s="30"/>
      <c r="D58" s="30"/>
      <c r="E58" s="30"/>
      <c r="F58" s="30"/>
      <c r="G58" s="30"/>
      <c r="H58" s="30"/>
    </row>
    <row r="59" ht="22" customHeight="1">
      <c r="B59" s="27"/>
      <c r="C59" s="27"/>
      <c r="D59" s="27"/>
      <c r="E59" s="27"/>
      <c r="F59" s="27"/>
      <c r="G59" s="27"/>
      <c r="H59" s="27"/>
    </row>
    <row r="60" ht="24" customHeight="1">
      <c r="B60" s="42" t="str">
        <v>Cuitó Digital · cuitodigital.com</v>
      </c>
      <c r="C60" s="42"/>
      <c r="D60" s="42"/>
      <c r="E60" s="42"/>
      <c r="F60" s="42"/>
      <c r="G60" s="42"/>
      <c r="H60" s="42"/>
    </row>
    <row r="61" ht="22" customHeight="1">
      <c r="B61" s="27"/>
      <c r="C61" s="27"/>
      <c r="D61" s="27"/>
      <c r="E61" s="27"/>
      <c r="F61" s="27"/>
      <c r="G61" s="27"/>
      <c r="H61" s="27"/>
    </row>
    <row r="62" ht="27" customHeight="1">
      <c r="B62" s="36"/>
      <c r="C62" s="36"/>
      <c r="D62" s="36"/>
      <c r="E62" s="36"/>
      <c r="F62" s="36"/>
      <c r="G62" s="36"/>
      <c r="H62" s="36"/>
    </row>
    <row r="63" ht="22" customHeight="1">
      <c r="B63" s="27"/>
      <c r="C63" s="27"/>
      <c r="D63" s="27"/>
      <c r="E63" s="27"/>
      <c r="F63" s="27"/>
      <c r="G63" s="27"/>
      <c r="H63" s="27"/>
    </row>
    <row r="64" ht="40" customHeight="1">
      <c r="B64" s="34" t="str">
        <v>Texto normalizado</v>
      </c>
      <c r="C64" s="34" t="str">
        <v>Unidad usada</v>
      </c>
      <c r="D64" s="27"/>
      <c r="E64" s="27"/>
      <c r="F64" s="27"/>
      <c r="G64" s="27"/>
      <c r="H64" s="27"/>
    </row>
    <row r="65" ht="26" customHeight="1">
      <c r="B65" s="27" t="str">
        <v>M</v>
      </c>
      <c r="C65" s="27" t="str">
        <v>m</v>
      </c>
      <c r="D65" s="27"/>
      <c r="E65" s="33" t="str">
        <v>Equivalencias: solo cambiamos la escritura de una misma unidad. No convertimos kg en t, m² en m³ ni una longitud en superficie. Interpretamos ml como metro lineal en este recurso; si significa otra cosa, conservamos otra unidad y revisamos el dato.</v>
      </c>
      <c r="F65" s="33"/>
      <c r="G65" s="33"/>
      <c r="H65" s="33"/>
    </row>
    <row r="66" ht="26" customHeight="1">
      <c r="B66" s="27" t="str">
        <v>ML</v>
      </c>
      <c r="C66" s="27" t="str">
        <v>m</v>
      </c>
      <c r="D66" s="27"/>
      <c r="E66" s="33"/>
      <c r="F66" s="33"/>
      <c r="G66" s="33"/>
      <c r="H66" s="33"/>
    </row>
    <row r="67" ht="26" customHeight="1">
      <c r="B67" s="27" t="str">
        <v>METRO</v>
      </c>
      <c r="C67" s="27" t="str">
        <v>m</v>
      </c>
      <c r="D67" s="27"/>
      <c r="E67" s="33"/>
      <c r="F67" s="33"/>
      <c r="G67" s="33"/>
      <c r="H67" s="33"/>
    </row>
    <row r="68" ht="26" customHeight="1">
      <c r="B68" s="27" t="str">
        <v>M2</v>
      </c>
      <c r="C68" s="27" t="str">
        <v>m²</v>
      </c>
      <c r="D68" s="27"/>
      <c r="E68" s="33"/>
      <c r="F68" s="33"/>
      <c r="G68" s="33"/>
      <c r="H68" s="33"/>
    </row>
    <row r="69" ht="22" customHeight="1">
      <c r="B69" s="27" t="str">
        <v>M3</v>
      </c>
      <c r="C69" s="27" t="str">
        <v>m³</v>
      </c>
      <c r="D69" s="27"/>
      <c r="E69" s="27"/>
      <c r="F69" s="27"/>
      <c r="G69" s="27"/>
      <c r="H69" s="27"/>
    </row>
    <row r="70" ht="22" customHeight="1">
      <c r="B70" s="27" t="str">
        <v>UD</v>
      </c>
      <c r="C70" s="27" t="str">
        <v>ud</v>
      </c>
      <c r="D70" s="27"/>
      <c r="E70" s="27"/>
      <c r="F70" s="27"/>
      <c r="G70" s="27"/>
      <c r="H70" s="27"/>
    </row>
    <row r="71" ht="22" customHeight="1">
      <c r="B71" s="27" t="str">
        <v>UDS</v>
      </c>
      <c r="C71" s="27" t="str">
        <v>ud</v>
      </c>
      <c r="D71" s="27"/>
      <c r="E71" s="27"/>
      <c r="F71" s="27"/>
      <c r="G71" s="27"/>
      <c r="H71" s="27"/>
    </row>
    <row r="72" ht="22" customHeight="1">
      <c r="B72" s="27" t="str">
        <v>U</v>
      </c>
      <c r="C72" s="27" t="str">
        <v>ud</v>
      </c>
      <c r="D72" s="27"/>
      <c r="E72" s="27"/>
      <c r="F72" s="27"/>
      <c r="G72" s="27"/>
      <c r="H72" s="27"/>
    </row>
    <row r="73" ht="22" customHeight="1">
      <c r="B73" s="27" t="str">
        <v>UN</v>
      </c>
      <c r="C73" s="27" t="str">
        <v>ud</v>
      </c>
      <c r="D73" s="27"/>
      <c r="E73" s="27"/>
      <c r="F73" s="27"/>
      <c r="G73" s="27"/>
      <c r="H73" s="27"/>
    </row>
    <row r="74" ht="22" customHeight="1">
      <c r="B74" s="27" t="str">
        <v>KG</v>
      </c>
      <c r="C74" s="27" t="str">
        <v>kg</v>
      </c>
      <c r="D74" s="27"/>
      <c r="E74" s="27"/>
      <c r="F74" s="27"/>
      <c r="G74" s="27"/>
      <c r="H74" s="27"/>
    </row>
    <row r="75" ht="22" customHeight="1">
      <c r="B75" s="27" t="str">
        <v>T</v>
      </c>
      <c r="C75" s="27" t="str">
        <v>t</v>
      </c>
      <c r="D75" s="27"/>
      <c r="E75" s="27"/>
      <c r="F75" s="27"/>
      <c r="G75" s="27"/>
      <c r="H75" s="27"/>
    </row>
    <row r="76" ht="22" customHeight="1">
      <c r="B76" s="27" t="str">
        <v>TN</v>
      </c>
      <c r="C76" s="27" t="str">
        <v>t</v>
      </c>
      <c r="D76" s="27"/>
      <c r="E76" s="27"/>
      <c r="F76" s="27"/>
      <c r="G76" s="27"/>
      <c r="H76" s="27"/>
    </row>
    <row r="77" ht="22" customHeight="1">
      <c r="B77" s="27" t="str">
        <v>H</v>
      </c>
      <c r="C77" s="27" t="str">
        <v>h</v>
      </c>
      <c r="D77" s="27"/>
      <c r="E77" s="27"/>
      <c r="F77" s="27"/>
      <c r="G77" s="27"/>
      <c r="H77" s="27"/>
    </row>
    <row r="78" ht="22" customHeight="1">
      <c r="B78" s="27" t="str">
        <v>HR</v>
      </c>
      <c r="C78" s="27" t="str">
        <v>h</v>
      </c>
      <c r="D78" s="27"/>
      <c r="E78" s="27"/>
      <c r="F78" s="27"/>
      <c r="G78" s="27"/>
      <c r="H78" s="27"/>
    </row>
    <row r="79" ht="22" customHeight="1">
      <c r="B79" s="27" t="str">
        <v>HORAS</v>
      </c>
      <c r="C79" s="27" t="str">
        <v>h</v>
      </c>
      <c r="D79" s="27"/>
      <c r="E79" s="27"/>
      <c r="F79" s="27"/>
      <c r="G79" s="27"/>
      <c r="H79" s="27"/>
    </row>
    <row r="80" ht="22" customHeight="1">
      <c r="B80" s="27" t="str">
        <v>L</v>
      </c>
      <c r="C80" s="27" t="str">
        <v>l</v>
      </c>
      <c r="D80" s="27"/>
      <c r="E80" s="27"/>
      <c r="F80" s="27"/>
      <c r="G80" s="27"/>
      <c r="H80" s="27"/>
    </row>
    <row r="81" ht="22" customHeight="1">
      <c r="B81" s="27" t="str">
        <v>LITRO</v>
      </c>
      <c r="C81" s="27" t="str">
        <v>l</v>
      </c>
      <c r="D81" s="27"/>
      <c r="E81" s="27"/>
      <c r="F81" s="27"/>
      <c r="G81" s="27"/>
      <c r="H81" s="27"/>
    </row>
    <row r="82" ht="22" customHeight="1">
      <c r="B82" s="27" t="str">
        <v>PA</v>
      </c>
      <c r="C82" s="27" t="str">
        <v>pa</v>
      </c>
      <c r="D82" s="27"/>
      <c r="E82" s="27"/>
      <c r="F82" s="27"/>
      <c r="G82" s="27"/>
      <c r="H82" s="27"/>
    </row>
    <row r="83" ht="22" customHeight="1">
      <c r="B83" s="27" t="str">
        <v>D</v>
      </c>
      <c r="C83" s="27" t="str">
        <v>d</v>
      </c>
      <c r="D83" s="27"/>
      <c r="E83" s="27"/>
      <c r="F83" s="27"/>
      <c r="G83" s="27"/>
      <c r="H83" s="27"/>
    </row>
    <row r="84" ht="22" customHeight="1">
      <c r="B84" s="27" t="str">
        <v>DIA</v>
      </c>
      <c r="C84" s="27" t="str">
        <v>d</v>
      </c>
      <c r="D84" s="27"/>
      <c r="E84" s="27"/>
      <c r="F84" s="27"/>
      <c r="G84" s="27"/>
      <c r="H84" s="27"/>
    </row>
    <row r="85" ht="22" customHeight="1">
      <c r="B85" s="27" t="str">
        <v>DÍA</v>
      </c>
      <c r="C85" s="27" t="str">
        <v>d</v>
      </c>
      <c r="D85" s="27"/>
      <c r="E85" s="27"/>
      <c r="F85" s="27"/>
      <c r="G85" s="27"/>
      <c r="H85" s="27"/>
    </row>
    <row r="86" ht="22" customHeight="1">
      <c r="B86" s="27" t="str">
        <v>JORNADA</v>
      </c>
      <c r="C86" s="27" t="str">
        <v>jornada</v>
      </c>
      <c r="D86" s="27"/>
      <c r="E86" s="27"/>
      <c r="F86" s="27"/>
      <c r="G86" s="27"/>
      <c r="H86" s="27"/>
    </row>
    <row r="87" ht="22" customHeight="1">
      <c r="B87" s="27"/>
      <c r="C87" s="27"/>
      <c r="D87" s="27"/>
      <c r="E87" s="27"/>
      <c r="F87" s="27"/>
      <c r="G87" s="27"/>
      <c r="H87" s="27"/>
    </row>
    <row r="88" ht="22" customHeight="1">
      <c r="B88" s="27"/>
      <c r="C88" s="27"/>
      <c r="D88" s="27"/>
      <c r="E88" s="27"/>
      <c r="F88" s="27"/>
      <c r="G88" s="27"/>
      <c r="H88" s="27"/>
    </row>
    <row r="89" ht="22" customHeight="1">
      <c r="B89" s="27"/>
      <c r="C89" s="27"/>
      <c r="D89" s="27"/>
      <c r="E89" s="27"/>
      <c r="F89" s="27"/>
      <c r="G89" s="27"/>
      <c r="H89" s="27"/>
    </row>
    <row r="90" ht="22" customHeight="1">
      <c r="B90" s="27"/>
      <c r="C90" s="27"/>
      <c r="D90" s="27"/>
      <c r="E90" s="27"/>
      <c r="F90" s="27"/>
      <c r="G90" s="27"/>
      <c r="H90" s="27"/>
    </row>
    <row r="91" ht="22" customHeight="1">
      <c r="B91" s="27"/>
      <c r="C91" s="27"/>
      <c r="D91" s="27"/>
      <c r="E91" s="27"/>
      <c r="F91" s="27"/>
      <c r="G91" s="27"/>
      <c r="H91" s="27"/>
    </row>
    <row r="92" ht="22" customHeight="1">
      <c r="B92" s="27"/>
      <c r="C92" s="27"/>
      <c r="D92" s="27"/>
      <c r="E92" s="27"/>
      <c r="F92" s="27"/>
      <c r="G92" s="27"/>
      <c r="H92" s="27"/>
    </row>
    <row r="93" ht="22" customHeight="1">
      <c r="B93" s="27"/>
      <c r="C93" s="27"/>
      <c r="D93" s="27"/>
      <c r="E93" s="27"/>
      <c r="F93" s="27"/>
      <c r="G93" s="27"/>
      <c r="H93" s="27"/>
    </row>
    <row r="94" ht="22" customHeight="1">
      <c r="B94" s="27"/>
      <c r="C94" s="27"/>
      <c r="D94" s="27"/>
      <c r="E94" s="27"/>
      <c r="F94" s="27"/>
      <c r="G94" s="27"/>
      <c r="H94" s="27"/>
    </row>
    <row r="90" ht="29" customHeight="1">
      <c r="B90" s="36" t="str">
        <v>¿Lo quieres hecho? cuitodigital.com/presupuestos-a-medida</v>
      </c>
    </row>
  </sheetData>
  <sheetProtection sheet="1" objects="1" scenarios="1" selectLockedCells="0" selectUnlockedCells="0" formatCells="1" formatColumns="0" formatRows="0" insertColumns="1" insertRows="1" deleteColumns="1" deleteRows="1" sort="1" autoFilter="1" pivotTables="1"/>
  <mergeCells count="23">
    <mergeCell ref="B2:G3"/>
    <mergeCell ref="B6:H7"/>
    <mergeCell ref="B9:H10"/>
    <mergeCell ref="B12:H13"/>
    <mergeCell ref="B15:H16"/>
    <mergeCell ref="B18:H19"/>
    <mergeCell ref="B21:H22"/>
    <mergeCell ref="B24:H25"/>
    <mergeCell ref="B27:H28"/>
    <mergeCell ref="B30:H31"/>
    <mergeCell ref="B33:H34"/>
    <mergeCell ref="B36:H37"/>
    <mergeCell ref="B39:H40"/>
    <mergeCell ref="B42:H43"/>
    <mergeCell ref="B45:H46"/>
    <mergeCell ref="B48:H49"/>
    <mergeCell ref="B51:H52"/>
    <mergeCell ref="B54:H55"/>
    <mergeCell ref="B57:H58"/>
    <mergeCell ref="B60:H60"/>
    <mergeCell ref="B62:H62"/>
    <mergeCell ref="E65:H68"/>
    <mergeCell ref="B90:H90"/>
  </mergeCells>
  <printOptions horizontalCentered="1"/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b6d4ba98379043ab"/>
</worksheet>
</file>